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WorkFromHome2020\Papers\WheatPapers\MichelePaper\2020\September\"/>
    </mc:Choice>
  </mc:AlternateContent>
  <bookViews>
    <workbookView xWindow="0" yWindow="0" windowWidth="27885" windowHeight="12660" tabRatio="916"/>
  </bookViews>
  <sheets>
    <sheet name="Notes" sheetId="39" r:id="rId1"/>
    <sheet name="FD1" sheetId="15" r:id="rId2"/>
    <sheet name="FD2" sheetId="16" r:id="rId3"/>
    <sheet name="FD3" sheetId="18" r:id="rId4"/>
    <sheet name="FD4" sheetId="17" r:id="rId5"/>
    <sheet name="FD5" sheetId="19" r:id="rId6"/>
    <sheet name="FD6" sheetId="20" r:id="rId7"/>
    <sheet name="FD7" sheetId="21" r:id="rId8"/>
    <sheet name="FD8" sheetId="22" r:id="rId9"/>
    <sheet name="FD9" sheetId="24" r:id="rId10"/>
    <sheet name="FD10" sheetId="23" r:id="rId11"/>
    <sheet name="FU1" sheetId="26" r:id="rId12"/>
    <sheet name="FU2" sheetId="27" r:id="rId13"/>
    <sheet name="FU3" sheetId="28" r:id="rId14"/>
    <sheet name="FU4" sheetId="29" r:id="rId15"/>
    <sheet name="FU5" sheetId="32" r:id="rId16"/>
    <sheet name="FU6" sheetId="33" r:id="rId17"/>
    <sheet name="FU7" sheetId="34" r:id="rId18"/>
    <sheet name="FU8" sheetId="35" r:id="rId19"/>
    <sheet name="FU9" sheetId="36" r:id="rId20"/>
    <sheet name="FU10" sheetId="37" r:id="rId21"/>
    <sheet name="FU11" sheetId="40" r:id="rId22"/>
    <sheet name="FU12" sheetId="41" r:id="rId23"/>
    <sheet name="FU13" sheetId="42" r:id="rId24"/>
    <sheet name="FU14" sheetId="43" r:id="rId25"/>
    <sheet name="FU15" sheetId="44" r:id="rId26"/>
    <sheet name="FU16" sheetId="45" r:id="rId27"/>
    <sheet name="FU17" sheetId="46" r:id="rId28"/>
    <sheet name="FU18" sheetId="47" r:id="rId29"/>
    <sheet name="FU19" sheetId="48" r:id="rId30"/>
    <sheet name="F1" sheetId="30" r:id="rId31"/>
    <sheet name="F2" sheetId="31" r:id="rId32"/>
    <sheet name="F3" sheetId="38" r:id="rId33"/>
  </sheets>
  <definedNames>
    <definedName name="A_TAIR" localSheetId="30">#REF!</definedName>
    <definedName name="A_TAIR" localSheetId="31">#REF!</definedName>
    <definedName name="A_TAIR" localSheetId="32">#REF!</definedName>
    <definedName name="A_TAIR" localSheetId="11">#REF!</definedName>
    <definedName name="A_TAIR" localSheetId="20">#REF!</definedName>
    <definedName name="A_TAIR" localSheetId="21">#REF!</definedName>
    <definedName name="A_TAIR" localSheetId="22">#REF!</definedName>
    <definedName name="A_TAIR" localSheetId="23">#REF!</definedName>
    <definedName name="A_TAIR" localSheetId="24">#REF!</definedName>
    <definedName name="A_TAIR" localSheetId="25">#REF!</definedName>
    <definedName name="A_TAIR" localSheetId="26">#REF!</definedName>
    <definedName name="A_TAIR" localSheetId="27">#REF!</definedName>
    <definedName name="A_TAIR" localSheetId="28">#REF!</definedName>
    <definedName name="A_TAIR" localSheetId="29">#REF!</definedName>
    <definedName name="A_TAIR" localSheetId="12">#REF!</definedName>
    <definedName name="A_TAIR" localSheetId="13">#REF!</definedName>
    <definedName name="A_TAIR" localSheetId="14">#REF!</definedName>
    <definedName name="A_TAIR" localSheetId="15">#REF!</definedName>
    <definedName name="A_TAIR" localSheetId="16">#REF!</definedName>
    <definedName name="A_TAIR" localSheetId="17">#REF!</definedName>
    <definedName name="A_TAIR" localSheetId="18">#REF!</definedName>
    <definedName name="A_TAIR" localSheetId="19">#REF!</definedName>
    <definedName name="A_TAIR">#REF!</definedName>
    <definedName name="A_TAIR_2" localSheetId="30">#REF!</definedName>
    <definedName name="A_TAIR_2" localSheetId="31">#REF!</definedName>
    <definedName name="A_TAIR_2" localSheetId="32">#REF!</definedName>
    <definedName name="A_TAIR_2" localSheetId="11">#REF!</definedName>
    <definedName name="A_TAIR_2" localSheetId="20">#REF!</definedName>
    <definedName name="A_TAIR_2" localSheetId="21">#REF!</definedName>
    <definedName name="A_TAIR_2" localSheetId="22">#REF!</definedName>
    <definedName name="A_TAIR_2" localSheetId="23">#REF!</definedName>
    <definedName name="A_TAIR_2" localSheetId="24">#REF!</definedName>
    <definedName name="A_TAIR_2" localSheetId="25">#REF!</definedName>
    <definedName name="A_TAIR_2" localSheetId="26">#REF!</definedName>
    <definedName name="A_TAIR_2" localSheetId="27">#REF!</definedName>
    <definedName name="A_TAIR_2" localSheetId="28">#REF!</definedName>
    <definedName name="A_TAIR_2" localSheetId="29">#REF!</definedName>
    <definedName name="A_TAIR_2" localSheetId="12">#REF!</definedName>
    <definedName name="A_TAIR_2" localSheetId="13">#REF!</definedName>
    <definedName name="A_TAIR_2" localSheetId="14">#REF!</definedName>
    <definedName name="A_TAIR_2" localSheetId="15">#REF!</definedName>
    <definedName name="A_TAIR_2" localSheetId="16">#REF!</definedName>
    <definedName name="A_TAIR_2" localSheetId="17">#REF!</definedName>
    <definedName name="A_TAIR_2" localSheetId="18">#REF!</definedName>
    <definedName name="A_TAIR_2" localSheetId="19">#REF!</definedName>
    <definedName name="A_TAIR_2">#REF!</definedName>
    <definedName name="ARA" localSheetId="30">#REF!</definedName>
    <definedName name="ARA" localSheetId="31">#REF!</definedName>
    <definedName name="ARA" localSheetId="32">#REF!</definedName>
    <definedName name="ARA" localSheetId="11">#REF!</definedName>
    <definedName name="ARA" localSheetId="20">#REF!</definedName>
    <definedName name="ARA" localSheetId="21">#REF!</definedName>
    <definedName name="ARA" localSheetId="22">#REF!</definedName>
    <definedName name="ARA" localSheetId="23">#REF!</definedName>
    <definedName name="ARA" localSheetId="24">#REF!</definedName>
    <definedName name="ARA" localSheetId="25">#REF!</definedName>
    <definedName name="ARA" localSheetId="26">#REF!</definedName>
    <definedName name="ARA" localSheetId="27">#REF!</definedName>
    <definedName name="ARA" localSheetId="28">#REF!</definedName>
    <definedName name="ARA" localSheetId="29">#REF!</definedName>
    <definedName name="ARA" localSheetId="12">#REF!</definedName>
    <definedName name="ARA" localSheetId="13">#REF!</definedName>
    <definedName name="ARA" localSheetId="14">#REF!</definedName>
    <definedName name="ARA" localSheetId="15">#REF!</definedName>
    <definedName name="ARA" localSheetId="16">#REF!</definedName>
    <definedName name="ARA" localSheetId="17">#REF!</definedName>
    <definedName name="ARA" localSheetId="18">#REF!</definedName>
    <definedName name="ARA" localSheetId="19">#REF!</definedName>
    <definedName name="ARA">#REF!</definedName>
    <definedName name="B_TAIR" localSheetId="30">#REF!</definedName>
    <definedName name="B_TAIR" localSheetId="31">#REF!</definedName>
    <definedName name="B_TAIR" localSheetId="32">#REF!</definedName>
    <definedName name="B_TAIR" localSheetId="11">#REF!</definedName>
    <definedName name="B_TAIR" localSheetId="20">#REF!</definedName>
    <definedName name="B_TAIR" localSheetId="21">#REF!</definedName>
    <definedName name="B_TAIR" localSheetId="22">#REF!</definedName>
    <definedName name="B_TAIR" localSheetId="23">#REF!</definedName>
    <definedName name="B_TAIR" localSheetId="24">#REF!</definedName>
    <definedName name="B_TAIR" localSheetId="25">#REF!</definedName>
    <definedName name="B_TAIR" localSheetId="26">#REF!</definedName>
    <definedName name="B_TAIR" localSheetId="27">#REF!</definedName>
    <definedName name="B_TAIR" localSheetId="28">#REF!</definedName>
    <definedName name="B_TAIR" localSheetId="29">#REF!</definedName>
    <definedName name="B_TAIR" localSheetId="12">#REF!</definedName>
    <definedName name="B_TAIR" localSheetId="13">#REF!</definedName>
    <definedName name="B_TAIR" localSheetId="14">#REF!</definedName>
    <definedName name="B_TAIR" localSheetId="15">#REF!</definedName>
    <definedName name="B_TAIR" localSheetId="16">#REF!</definedName>
    <definedName name="B_TAIR" localSheetId="17">#REF!</definedName>
    <definedName name="B_TAIR" localSheetId="18">#REF!</definedName>
    <definedName name="B_TAIR" localSheetId="19">#REF!</definedName>
    <definedName name="B_TAIR">#REF!</definedName>
    <definedName name="B_TAIR_2" localSheetId="30">#REF!</definedName>
    <definedName name="B_TAIR_2" localSheetId="31">#REF!</definedName>
    <definedName name="B_TAIR_2" localSheetId="32">#REF!</definedName>
    <definedName name="B_TAIR_2" localSheetId="11">#REF!</definedName>
    <definedName name="B_TAIR_2" localSheetId="20">#REF!</definedName>
    <definedName name="B_TAIR_2" localSheetId="21">#REF!</definedName>
    <definedName name="B_TAIR_2" localSheetId="22">#REF!</definedName>
    <definedName name="B_TAIR_2" localSheetId="23">#REF!</definedName>
    <definedName name="B_TAIR_2" localSheetId="24">#REF!</definedName>
    <definedName name="B_TAIR_2" localSheetId="25">#REF!</definedName>
    <definedName name="B_TAIR_2" localSheetId="26">#REF!</definedName>
    <definedName name="B_TAIR_2" localSheetId="27">#REF!</definedName>
    <definedName name="B_TAIR_2" localSheetId="28">#REF!</definedName>
    <definedName name="B_TAIR_2" localSheetId="29">#REF!</definedName>
    <definedName name="B_TAIR_2" localSheetId="12">#REF!</definedName>
    <definedName name="B_TAIR_2" localSheetId="13">#REF!</definedName>
    <definedName name="B_TAIR_2" localSheetId="14">#REF!</definedName>
    <definedName name="B_TAIR_2" localSheetId="15">#REF!</definedName>
    <definedName name="B_TAIR_2" localSheetId="16">#REF!</definedName>
    <definedName name="B_TAIR_2" localSheetId="17">#REF!</definedName>
    <definedName name="B_TAIR_2" localSheetId="18">#REF!</definedName>
    <definedName name="B_TAIR_2" localSheetId="19">#REF!</definedName>
    <definedName name="B_TAIR_2">#REF!</definedName>
    <definedName name="BP" localSheetId="30">#REF!</definedName>
    <definedName name="BP" localSheetId="31">#REF!</definedName>
    <definedName name="BP" localSheetId="32">#REF!</definedName>
    <definedName name="BP" localSheetId="11">#REF!</definedName>
    <definedName name="BP" localSheetId="20">#REF!</definedName>
    <definedName name="BP" localSheetId="21">#REF!</definedName>
    <definedName name="BP" localSheetId="22">#REF!</definedName>
    <definedName name="BP" localSheetId="23">#REF!</definedName>
    <definedName name="BP" localSheetId="24">#REF!</definedName>
    <definedName name="BP" localSheetId="25">#REF!</definedName>
    <definedName name="BP" localSheetId="26">#REF!</definedName>
    <definedName name="BP" localSheetId="27">#REF!</definedName>
    <definedName name="BP" localSheetId="28">#REF!</definedName>
    <definedName name="BP" localSheetId="29">#REF!</definedName>
    <definedName name="BP" localSheetId="12">#REF!</definedName>
    <definedName name="BP" localSheetId="13">#REF!</definedName>
    <definedName name="BP" localSheetId="14">#REF!</definedName>
    <definedName name="BP" localSheetId="15">#REF!</definedName>
    <definedName name="BP" localSheetId="16">#REF!</definedName>
    <definedName name="BP" localSheetId="17">#REF!</definedName>
    <definedName name="BP" localSheetId="18">#REF!</definedName>
    <definedName name="BP" localSheetId="19">#REF!</definedName>
    <definedName name="BP">#REF!</definedName>
    <definedName name="D_TAIR" localSheetId="30">#REF!</definedName>
    <definedName name="D_TAIR" localSheetId="31">#REF!</definedName>
    <definedName name="D_TAIR" localSheetId="32">#REF!</definedName>
    <definedName name="D_TAIR" localSheetId="11">#REF!</definedName>
    <definedName name="D_TAIR" localSheetId="20">#REF!</definedName>
    <definedName name="D_TAIR" localSheetId="21">#REF!</definedName>
    <definedName name="D_TAIR" localSheetId="22">#REF!</definedName>
    <definedName name="D_TAIR" localSheetId="23">#REF!</definedName>
    <definedName name="D_TAIR" localSheetId="24">#REF!</definedName>
    <definedName name="D_TAIR" localSheetId="25">#REF!</definedName>
    <definedName name="D_TAIR" localSheetId="26">#REF!</definedName>
    <definedName name="D_TAIR" localSheetId="27">#REF!</definedName>
    <definedName name="D_TAIR" localSheetId="28">#REF!</definedName>
    <definedName name="D_TAIR" localSheetId="29">#REF!</definedName>
    <definedName name="D_TAIR" localSheetId="12">#REF!</definedName>
    <definedName name="D_TAIR" localSheetId="13">#REF!</definedName>
    <definedName name="D_TAIR" localSheetId="14">#REF!</definedName>
    <definedName name="D_TAIR" localSheetId="15">#REF!</definedName>
    <definedName name="D_TAIR" localSheetId="16">#REF!</definedName>
    <definedName name="D_TAIR" localSheetId="17">#REF!</definedName>
    <definedName name="D_TAIR" localSheetId="18">#REF!</definedName>
    <definedName name="D_TAIR" localSheetId="19">#REF!</definedName>
    <definedName name="D_TAIR">#REF!</definedName>
    <definedName name="D_TAIR_2" localSheetId="30">#REF!</definedName>
    <definedName name="D_TAIR_2" localSheetId="31">#REF!</definedName>
    <definedName name="D_TAIR_2" localSheetId="32">#REF!</definedName>
    <definedName name="D_TAIR_2" localSheetId="11">#REF!</definedName>
    <definedName name="D_TAIR_2" localSheetId="20">#REF!</definedName>
    <definedName name="D_TAIR_2" localSheetId="21">#REF!</definedName>
    <definedName name="D_TAIR_2" localSheetId="22">#REF!</definedName>
    <definedName name="D_TAIR_2" localSheetId="23">#REF!</definedName>
    <definedName name="D_TAIR_2" localSheetId="24">#REF!</definedName>
    <definedName name="D_TAIR_2" localSheetId="25">#REF!</definedName>
    <definedName name="D_TAIR_2" localSheetId="26">#REF!</definedName>
    <definedName name="D_TAIR_2" localSheetId="27">#REF!</definedName>
    <definedName name="D_TAIR_2" localSheetId="28">#REF!</definedName>
    <definedName name="D_TAIR_2" localSheetId="29">#REF!</definedName>
    <definedName name="D_TAIR_2" localSheetId="12">#REF!</definedName>
    <definedName name="D_TAIR_2" localSheetId="13">#REF!</definedName>
    <definedName name="D_TAIR_2" localSheetId="14">#REF!</definedName>
    <definedName name="D_TAIR_2" localSheetId="15">#REF!</definedName>
    <definedName name="D_TAIR_2" localSheetId="16">#REF!</definedName>
    <definedName name="D_TAIR_2" localSheetId="17">#REF!</definedName>
    <definedName name="D_TAIR_2" localSheetId="18">#REF!</definedName>
    <definedName name="D_TAIR_2" localSheetId="19">#REF!</definedName>
    <definedName name="D_TAIR_2">#REF!</definedName>
    <definedName name="list" localSheetId="30">#REF!</definedName>
    <definedName name="list" localSheetId="31">#REF!</definedName>
    <definedName name="list" localSheetId="32">#REF!</definedName>
    <definedName name="list" localSheetId="11">#REF!</definedName>
    <definedName name="list" localSheetId="20">#REF!</definedName>
    <definedName name="list" localSheetId="21">#REF!</definedName>
    <definedName name="list" localSheetId="22">#REF!</definedName>
    <definedName name="list" localSheetId="23">#REF!</definedName>
    <definedName name="list" localSheetId="24">#REF!</definedName>
    <definedName name="list" localSheetId="25">#REF!</definedName>
    <definedName name="list" localSheetId="26">#REF!</definedName>
    <definedName name="list" localSheetId="27">#REF!</definedName>
    <definedName name="list" localSheetId="28">#REF!</definedName>
    <definedName name="list" localSheetId="29">#REF!</definedName>
    <definedName name="list" localSheetId="12">#REF!</definedName>
    <definedName name="list" localSheetId="13">#REF!</definedName>
    <definedName name="list" localSheetId="14">#REF!</definedName>
    <definedName name="list" localSheetId="15">#REF!</definedName>
    <definedName name="list" localSheetId="16">#REF!</definedName>
    <definedName name="list" localSheetId="17">#REF!</definedName>
    <definedName name="list" localSheetId="18">#REF!</definedName>
    <definedName name="list" localSheetId="19">#REF!</definedName>
    <definedName name="list">#REF!</definedName>
    <definedName name="list_B_A" localSheetId="30">#REF!</definedName>
    <definedName name="list_B_A" localSheetId="31">#REF!</definedName>
    <definedName name="list_B_A" localSheetId="32">#REF!</definedName>
    <definedName name="list_B_A" localSheetId="11">#REF!</definedName>
    <definedName name="list_B_A" localSheetId="20">#REF!</definedName>
    <definedName name="list_B_A" localSheetId="21">#REF!</definedName>
    <definedName name="list_B_A" localSheetId="22">#REF!</definedName>
    <definedName name="list_B_A" localSheetId="23">#REF!</definedName>
    <definedName name="list_B_A" localSheetId="24">#REF!</definedName>
    <definedName name="list_B_A" localSheetId="25">#REF!</definedName>
    <definedName name="list_B_A" localSheetId="26">#REF!</definedName>
    <definedName name="list_B_A" localSheetId="27">#REF!</definedName>
    <definedName name="list_B_A" localSheetId="28">#REF!</definedName>
    <definedName name="list_B_A" localSheetId="29">#REF!</definedName>
    <definedName name="list_B_A" localSheetId="12">#REF!</definedName>
    <definedName name="list_B_A" localSheetId="13">#REF!</definedName>
    <definedName name="list_B_A" localSheetId="14">#REF!</definedName>
    <definedName name="list_B_A" localSheetId="15">#REF!</definedName>
    <definedName name="list_B_A" localSheetId="16">#REF!</definedName>
    <definedName name="list_B_A" localSheetId="17">#REF!</definedName>
    <definedName name="list_B_A" localSheetId="18">#REF!</definedName>
    <definedName name="list_B_A" localSheetId="19">#REF!</definedName>
    <definedName name="list_B_A">#REF!</definedName>
    <definedName name="list_D_A" localSheetId="30">#REF!</definedName>
    <definedName name="list_D_A" localSheetId="31">#REF!</definedName>
    <definedName name="list_D_A" localSheetId="32">#REF!</definedName>
    <definedName name="list_D_A" localSheetId="11">#REF!</definedName>
    <definedName name="list_D_A" localSheetId="20">#REF!</definedName>
    <definedName name="list_D_A" localSheetId="21">#REF!</definedName>
    <definedName name="list_D_A" localSheetId="22">#REF!</definedName>
    <definedName name="list_D_A" localSheetId="23">#REF!</definedName>
    <definedName name="list_D_A" localSheetId="24">#REF!</definedName>
    <definedName name="list_D_A" localSheetId="25">#REF!</definedName>
    <definedName name="list_D_A" localSheetId="26">#REF!</definedName>
    <definedName name="list_D_A" localSheetId="27">#REF!</definedName>
    <definedName name="list_D_A" localSheetId="28">#REF!</definedName>
    <definedName name="list_D_A" localSheetId="29">#REF!</definedName>
    <definedName name="list_D_A" localSheetId="12">#REF!</definedName>
    <definedName name="list_D_A" localSheetId="13">#REF!</definedName>
    <definedName name="list_D_A" localSheetId="14">#REF!</definedName>
    <definedName name="list_D_A" localSheetId="15">#REF!</definedName>
    <definedName name="list_D_A" localSheetId="16">#REF!</definedName>
    <definedName name="list_D_A" localSheetId="17">#REF!</definedName>
    <definedName name="list_D_A" localSheetId="18">#REF!</definedName>
    <definedName name="list_D_A" localSheetId="19">#REF!</definedName>
    <definedName name="list_D_A">#REF!</definedName>
    <definedName name="list1" localSheetId="30">#REF!</definedName>
    <definedName name="list1" localSheetId="31">#REF!</definedName>
    <definedName name="list1" localSheetId="32">#REF!</definedName>
    <definedName name="list1" localSheetId="11">#REF!</definedName>
    <definedName name="list1" localSheetId="20">#REF!</definedName>
    <definedName name="list1" localSheetId="21">#REF!</definedName>
    <definedName name="list1" localSheetId="22">#REF!</definedName>
    <definedName name="list1" localSheetId="23">#REF!</definedName>
    <definedName name="list1" localSheetId="24">#REF!</definedName>
    <definedName name="list1" localSheetId="25">#REF!</definedName>
    <definedName name="list1" localSheetId="26">#REF!</definedName>
    <definedName name="list1" localSheetId="27">#REF!</definedName>
    <definedName name="list1" localSheetId="28">#REF!</definedName>
    <definedName name="list1" localSheetId="29">#REF!</definedName>
    <definedName name="list1" localSheetId="12">#REF!</definedName>
    <definedName name="list1" localSheetId="13">#REF!</definedName>
    <definedName name="list1" localSheetId="14">#REF!</definedName>
    <definedName name="list1" localSheetId="15">#REF!</definedName>
    <definedName name="list1" localSheetId="16">#REF!</definedName>
    <definedName name="list1" localSheetId="17">#REF!</definedName>
    <definedName name="list1" localSheetId="18">#REF!</definedName>
    <definedName name="list1" localSheetId="19">#REF!</definedName>
    <definedName name="list1">#REF!</definedName>
    <definedName name="list11" localSheetId="30">#REF!</definedName>
    <definedName name="list11" localSheetId="31">#REF!</definedName>
    <definedName name="list11" localSheetId="32">#REF!</definedName>
    <definedName name="list11" localSheetId="11">#REF!</definedName>
    <definedName name="list11" localSheetId="20">#REF!</definedName>
    <definedName name="list11" localSheetId="21">#REF!</definedName>
    <definedName name="list11" localSheetId="22">#REF!</definedName>
    <definedName name="list11" localSheetId="23">#REF!</definedName>
    <definedName name="list11" localSheetId="24">#REF!</definedName>
    <definedName name="list11" localSheetId="25">#REF!</definedName>
    <definedName name="list11" localSheetId="26">#REF!</definedName>
    <definedName name="list11" localSheetId="27">#REF!</definedName>
    <definedName name="list11" localSheetId="28">#REF!</definedName>
    <definedName name="list11" localSheetId="29">#REF!</definedName>
    <definedName name="list11" localSheetId="12">#REF!</definedName>
    <definedName name="list11" localSheetId="13">#REF!</definedName>
    <definedName name="list11" localSheetId="14">#REF!</definedName>
    <definedName name="list11" localSheetId="15">#REF!</definedName>
    <definedName name="list11" localSheetId="16">#REF!</definedName>
    <definedName name="list11" localSheetId="17">#REF!</definedName>
    <definedName name="list11" localSheetId="18">#REF!</definedName>
    <definedName name="list11" localSheetId="19">#REF!</definedName>
    <definedName name="list11">#REF!</definedName>
    <definedName name="list111" localSheetId="30">#REF!</definedName>
    <definedName name="list111" localSheetId="31">#REF!</definedName>
    <definedName name="list111" localSheetId="32">#REF!</definedName>
    <definedName name="list111" localSheetId="11">#REF!</definedName>
    <definedName name="list111" localSheetId="20">#REF!</definedName>
    <definedName name="list111" localSheetId="21">#REF!</definedName>
    <definedName name="list111" localSheetId="22">#REF!</definedName>
    <definedName name="list111" localSheetId="23">#REF!</definedName>
    <definedName name="list111" localSheetId="24">#REF!</definedName>
    <definedName name="list111" localSheetId="25">#REF!</definedName>
    <definedName name="list111" localSheetId="26">#REF!</definedName>
    <definedName name="list111" localSheetId="27">#REF!</definedName>
    <definedName name="list111" localSheetId="28">#REF!</definedName>
    <definedName name="list111" localSheetId="29">#REF!</definedName>
    <definedName name="list111" localSheetId="12">#REF!</definedName>
    <definedName name="list111" localSheetId="13">#REF!</definedName>
    <definedName name="list111" localSheetId="14">#REF!</definedName>
    <definedName name="list111" localSheetId="15">#REF!</definedName>
    <definedName name="list111" localSheetId="16">#REF!</definedName>
    <definedName name="list111" localSheetId="17">#REF!</definedName>
    <definedName name="list111" localSheetId="18">#REF!</definedName>
    <definedName name="list111" localSheetId="19">#REF!</definedName>
    <definedName name="list111">#REF!</definedName>
    <definedName name="list2" localSheetId="30">#REF!</definedName>
    <definedName name="list2" localSheetId="31">#REF!</definedName>
    <definedName name="list2" localSheetId="32">#REF!</definedName>
    <definedName name="list2" localSheetId="11">#REF!</definedName>
    <definedName name="list2" localSheetId="20">#REF!</definedName>
    <definedName name="list2" localSheetId="21">#REF!</definedName>
    <definedName name="list2" localSheetId="22">#REF!</definedName>
    <definedName name="list2" localSheetId="23">#REF!</definedName>
    <definedName name="list2" localSheetId="24">#REF!</definedName>
    <definedName name="list2" localSheetId="25">#REF!</definedName>
    <definedName name="list2" localSheetId="26">#REF!</definedName>
    <definedName name="list2" localSheetId="27">#REF!</definedName>
    <definedName name="list2" localSheetId="28">#REF!</definedName>
    <definedName name="list2" localSheetId="29">#REF!</definedName>
    <definedName name="list2" localSheetId="12">#REF!</definedName>
    <definedName name="list2" localSheetId="13">#REF!</definedName>
    <definedName name="list2" localSheetId="14">#REF!</definedName>
    <definedName name="list2" localSheetId="15">#REF!</definedName>
    <definedName name="list2" localSheetId="16">#REF!</definedName>
    <definedName name="list2" localSheetId="17">#REF!</definedName>
    <definedName name="list2" localSheetId="18">#REF!</definedName>
    <definedName name="list2" localSheetId="19">#REF!</definedName>
    <definedName name="list2">#REF!</definedName>
    <definedName name="list22" localSheetId="30">#REF!</definedName>
    <definedName name="list22" localSheetId="31">#REF!</definedName>
    <definedName name="list22" localSheetId="32">#REF!</definedName>
    <definedName name="list22" localSheetId="11">#REF!</definedName>
    <definedName name="list22" localSheetId="20">#REF!</definedName>
    <definedName name="list22" localSheetId="21">#REF!</definedName>
    <definedName name="list22" localSheetId="22">#REF!</definedName>
    <definedName name="list22" localSheetId="23">#REF!</definedName>
    <definedName name="list22" localSheetId="24">#REF!</definedName>
    <definedName name="list22" localSheetId="25">#REF!</definedName>
    <definedName name="list22" localSheetId="26">#REF!</definedName>
    <definedName name="list22" localSheetId="27">#REF!</definedName>
    <definedName name="list22" localSheetId="28">#REF!</definedName>
    <definedName name="list22" localSheetId="29">#REF!</definedName>
    <definedName name="list22" localSheetId="12">#REF!</definedName>
    <definedName name="list22" localSheetId="13">#REF!</definedName>
    <definedName name="list22" localSheetId="14">#REF!</definedName>
    <definedName name="list22" localSheetId="15">#REF!</definedName>
    <definedName name="list22" localSheetId="16">#REF!</definedName>
    <definedName name="list22" localSheetId="17">#REF!</definedName>
    <definedName name="list22" localSheetId="18">#REF!</definedName>
    <definedName name="list22" localSheetId="19">#REF!</definedName>
    <definedName name="list22">#REF!</definedName>
    <definedName name="list3" localSheetId="30">#REF!</definedName>
    <definedName name="list3" localSheetId="31">#REF!</definedName>
    <definedName name="list3" localSheetId="32">#REF!</definedName>
    <definedName name="list3" localSheetId="11">#REF!</definedName>
    <definedName name="list3" localSheetId="20">#REF!</definedName>
    <definedName name="list3" localSheetId="21">#REF!</definedName>
    <definedName name="list3" localSheetId="22">#REF!</definedName>
    <definedName name="list3" localSheetId="23">#REF!</definedName>
    <definedName name="list3" localSheetId="24">#REF!</definedName>
    <definedName name="list3" localSheetId="25">#REF!</definedName>
    <definedName name="list3" localSheetId="26">#REF!</definedName>
    <definedName name="list3" localSheetId="27">#REF!</definedName>
    <definedName name="list3" localSheetId="28">#REF!</definedName>
    <definedName name="list3" localSheetId="29">#REF!</definedName>
    <definedName name="list3" localSheetId="12">#REF!</definedName>
    <definedName name="list3" localSheetId="13">#REF!</definedName>
    <definedName name="list3" localSheetId="14">#REF!</definedName>
    <definedName name="list3" localSheetId="15">#REF!</definedName>
    <definedName name="list3" localSheetId="16">#REF!</definedName>
    <definedName name="list3" localSheetId="17">#REF!</definedName>
    <definedName name="list3" localSheetId="18">#REF!</definedName>
    <definedName name="list3" localSheetId="19">#REF!</definedName>
    <definedName name="list3">#REF!</definedName>
    <definedName name="list33" localSheetId="30">#REF!</definedName>
    <definedName name="list33" localSheetId="31">#REF!</definedName>
    <definedName name="list33" localSheetId="32">#REF!</definedName>
    <definedName name="list33" localSheetId="11">#REF!</definedName>
    <definedName name="list33" localSheetId="20">#REF!</definedName>
    <definedName name="list33" localSheetId="21">#REF!</definedName>
    <definedName name="list33" localSheetId="22">#REF!</definedName>
    <definedName name="list33" localSheetId="23">#REF!</definedName>
    <definedName name="list33" localSheetId="24">#REF!</definedName>
    <definedName name="list33" localSheetId="25">#REF!</definedName>
    <definedName name="list33" localSheetId="26">#REF!</definedName>
    <definedName name="list33" localSheetId="27">#REF!</definedName>
    <definedName name="list33" localSheetId="28">#REF!</definedName>
    <definedName name="list33" localSheetId="29">#REF!</definedName>
    <definedName name="list33" localSheetId="12">#REF!</definedName>
    <definedName name="list33" localSheetId="13">#REF!</definedName>
    <definedName name="list33" localSheetId="14">#REF!</definedName>
    <definedName name="list33" localSheetId="15">#REF!</definedName>
    <definedName name="list33" localSheetId="16">#REF!</definedName>
    <definedName name="list33" localSheetId="17">#REF!</definedName>
    <definedName name="list33" localSheetId="18">#REF!</definedName>
    <definedName name="list33" localSheetId="19">#REF!</definedName>
    <definedName name="list33">#REF!</definedName>
    <definedName name="list4" localSheetId="30">#REF!</definedName>
    <definedName name="list4" localSheetId="31">#REF!</definedName>
    <definedName name="list4" localSheetId="32">#REF!</definedName>
    <definedName name="list4" localSheetId="11">#REF!</definedName>
    <definedName name="list4" localSheetId="20">#REF!</definedName>
    <definedName name="list4" localSheetId="21">#REF!</definedName>
    <definedName name="list4" localSheetId="22">#REF!</definedName>
    <definedName name="list4" localSheetId="23">#REF!</definedName>
    <definedName name="list4" localSheetId="24">#REF!</definedName>
    <definedName name="list4" localSheetId="25">#REF!</definedName>
    <definedName name="list4" localSheetId="26">#REF!</definedName>
    <definedName name="list4" localSheetId="27">#REF!</definedName>
    <definedName name="list4" localSheetId="28">#REF!</definedName>
    <definedName name="list4" localSheetId="29">#REF!</definedName>
    <definedName name="list4" localSheetId="12">#REF!</definedName>
    <definedName name="list4" localSheetId="13">#REF!</definedName>
    <definedName name="list4" localSheetId="14">#REF!</definedName>
    <definedName name="list4" localSheetId="15">#REF!</definedName>
    <definedName name="list4" localSheetId="16">#REF!</definedName>
    <definedName name="list4" localSheetId="17">#REF!</definedName>
    <definedName name="list4" localSheetId="18">#REF!</definedName>
    <definedName name="list4" localSheetId="19">#REF!</definedName>
    <definedName name="list4">#REF!</definedName>
    <definedName name="list5" localSheetId="30">#REF!</definedName>
    <definedName name="list5" localSheetId="31">#REF!</definedName>
    <definedName name="list5" localSheetId="32">#REF!</definedName>
    <definedName name="list5" localSheetId="11">#REF!</definedName>
    <definedName name="list5" localSheetId="20">#REF!</definedName>
    <definedName name="list5" localSheetId="21">#REF!</definedName>
    <definedName name="list5" localSheetId="22">#REF!</definedName>
    <definedName name="list5" localSheetId="23">#REF!</definedName>
    <definedName name="list5" localSheetId="24">#REF!</definedName>
    <definedName name="list5" localSheetId="25">#REF!</definedName>
    <definedName name="list5" localSheetId="26">#REF!</definedName>
    <definedName name="list5" localSheetId="27">#REF!</definedName>
    <definedName name="list5" localSheetId="28">#REF!</definedName>
    <definedName name="list5" localSheetId="29">#REF!</definedName>
    <definedName name="list5" localSheetId="12">#REF!</definedName>
    <definedName name="list5" localSheetId="13">#REF!</definedName>
    <definedName name="list5" localSheetId="14">#REF!</definedName>
    <definedName name="list5" localSheetId="15">#REF!</definedName>
    <definedName name="list5" localSheetId="16">#REF!</definedName>
    <definedName name="list5" localSheetId="17">#REF!</definedName>
    <definedName name="list5" localSheetId="18">#REF!</definedName>
    <definedName name="list5" localSheetId="19">#REF!</definedName>
    <definedName name="list5">#REF!</definedName>
    <definedName name="list6" localSheetId="30">#REF!</definedName>
    <definedName name="list6" localSheetId="31">#REF!</definedName>
    <definedName name="list6" localSheetId="32">#REF!</definedName>
    <definedName name="list6" localSheetId="11">#REF!</definedName>
    <definedName name="list6" localSheetId="20">#REF!</definedName>
    <definedName name="list6" localSheetId="21">#REF!</definedName>
    <definedName name="list6" localSheetId="22">#REF!</definedName>
    <definedName name="list6" localSheetId="23">#REF!</definedName>
    <definedName name="list6" localSheetId="24">#REF!</definedName>
    <definedName name="list6" localSheetId="25">#REF!</definedName>
    <definedName name="list6" localSheetId="26">#REF!</definedName>
    <definedName name="list6" localSheetId="27">#REF!</definedName>
    <definedName name="list6" localSheetId="28">#REF!</definedName>
    <definedName name="list6" localSheetId="29">#REF!</definedName>
    <definedName name="list6" localSheetId="12">#REF!</definedName>
    <definedName name="list6" localSheetId="13">#REF!</definedName>
    <definedName name="list6" localSheetId="14">#REF!</definedName>
    <definedName name="list6" localSheetId="15">#REF!</definedName>
    <definedName name="list6" localSheetId="16">#REF!</definedName>
    <definedName name="list6" localSheetId="17">#REF!</definedName>
    <definedName name="list6" localSheetId="18">#REF!</definedName>
    <definedName name="list6" localSheetId="19">#REF!</definedName>
    <definedName name="list6">#REF!</definedName>
    <definedName name="list7" localSheetId="30">#REF!</definedName>
    <definedName name="list7" localSheetId="31">#REF!</definedName>
    <definedName name="list7" localSheetId="32">#REF!</definedName>
    <definedName name="list7" localSheetId="11">#REF!</definedName>
    <definedName name="list7" localSheetId="20">#REF!</definedName>
    <definedName name="list7" localSheetId="21">#REF!</definedName>
    <definedName name="list7" localSheetId="22">#REF!</definedName>
    <definedName name="list7" localSheetId="23">#REF!</definedName>
    <definedName name="list7" localSheetId="24">#REF!</definedName>
    <definedName name="list7" localSheetId="25">#REF!</definedName>
    <definedName name="list7" localSheetId="26">#REF!</definedName>
    <definedName name="list7" localSheetId="27">#REF!</definedName>
    <definedName name="list7" localSheetId="28">#REF!</definedName>
    <definedName name="list7" localSheetId="29">#REF!</definedName>
    <definedName name="list7" localSheetId="12">#REF!</definedName>
    <definedName name="list7" localSheetId="13">#REF!</definedName>
    <definedName name="list7" localSheetId="14">#REF!</definedName>
    <definedName name="list7" localSheetId="15">#REF!</definedName>
    <definedName name="list7" localSheetId="16">#REF!</definedName>
    <definedName name="list7" localSheetId="17">#REF!</definedName>
    <definedName name="list7" localSheetId="18">#REF!</definedName>
    <definedName name="list7" localSheetId="19">#REF!</definedName>
    <definedName name="list7">#REF!</definedName>
    <definedName name="list8" localSheetId="30">#REF!</definedName>
    <definedName name="list8" localSheetId="31">#REF!</definedName>
    <definedName name="list8" localSheetId="32">#REF!</definedName>
    <definedName name="list8" localSheetId="11">#REF!</definedName>
    <definedName name="list8" localSheetId="20">#REF!</definedName>
    <definedName name="list8" localSheetId="21">#REF!</definedName>
    <definedName name="list8" localSheetId="22">#REF!</definedName>
    <definedName name="list8" localSheetId="23">#REF!</definedName>
    <definedName name="list8" localSheetId="24">#REF!</definedName>
    <definedName name="list8" localSheetId="25">#REF!</definedName>
    <definedName name="list8" localSheetId="26">#REF!</definedName>
    <definedName name="list8" localSheetId="27">#REF!</definedName>
    <definedName name="list8" localSheetId="28">#REF!</definedName>
    <definedName name="list8" localSheetId="29">#REF!</definedName>
    <definedName name="list8" localSheetId="12">#REF!</definedName>
    <definedName name="list8" localSheetId="13">#REF!</definedName>
    <definedName name="list8" localSheetId="14">#REF!</definedName>
    <definedName name="list8" localSheetId="15">#REF!</definedName>
    <definedName name="list8" localSheetId="16">#REF!</definedName>
    <definedName name="list8" localSheetId="17">#REF!</definedName>
    <definedName name="list8" localSheetId="18">#REF!</definedName>
    <definedName name="list8" localSheetId="19">#REF!</definedName>
    <definedName name="list8">#REF!</definedName>
    <definedName name="list9" localSheetId="30">#REF!</definedName>
    <definedName name="list9" localSheetId="31">#REF!</definedName>
    <definedName name="list9" localSheetId="32">#REF!</definedName>
    <definedName name="list9" localSheetId="11">#REF!</definedName>
    <definedName name="list9" localSheetId="20">#REF!</definedName>
    <definedName name="list9" localSheetId="21">#REF!</definedName>
    <definedName name="list9" localSheetId="22">#REF!</definedName>
    <definedName name="list9" localSheetId="23">#REF!</definedName>
    <definedName name="list9" localSheetId="24">#REF!</definedName>
    <definedName name="list9" localSheetId="25">#REF!</definedName>
    <definedName name="list9" localSheetId="26">#REF!</definedName>
    <definedName name="list9" localSheetId="27">#REF!</definedName>
    <definedName name="list9" localSheetId="28">#REF!</definedName>
    <definedName name="list9" localSheetId="29">#REF!</definedName>
    <definedName name="list9" localSheetId="12">#REF!</definedName>
    <definedName name="list9" localSheetId="13">#REF!</definedName>
    <definedName name="list9" localSheetId="14">#REF!</definedName>
    <definedName name="list9" localSheetId="15">#REF!</definedName>
    <definedName name="list9" localSheetId="16">#REF!</definedName>
    <definedName name="list9" localSheetId="17">#REF!</definedName>
    <definedName name="list9" localSheetId="18">#REF!</definedName>
    <definedName name="list9" localSheetId="19">#REF!</definedName>
    <definedName name="list9">#REF!</definedName>
    <definedName name="TAB" localSheetId="30">#REF!</definedName>
    <definedName name="TAB" localSheetId="31">#REF!</definedName>
    <definedName name="TAB" localSheetId="32">#REF!</definedName>
    <definedName name="TAB" localSheetId="11">#REF!</definedName>
    <definedName name="TAB" localSheetId="20">#REF!</definedName>
    <definedName name="TAB" localSheetId="21">#REF!</definedName>
    <definedName name="TAB" localSheetId="22">#REF!</definedName>
    <definedName name="TAB" localSheetId="23">#REF!</definedName>
    <definedName name="TAB" localSheetId="24">#REF!</definedName>
    <definedName name="TAB" localSheetId="25">#REF!</definedName>
    <definedName name="TAB" localSheetId="26">#REF!</definedName>
    <definedName name="TAB" localSheetId="27">#REF!</definedName>
    <definedName name="TAB" localSheetId="28">#REF!</definedName>
    <definedName name="TAB" localSheetId="29">#REF!</definedName>
    <definedName name="TAB" localSheetId="12">#REF!</definedName>
    <definedName name="TAB" localSheetId="13">#REF!</definedName>
    <definedName name="TAB" localSheetId="14">#REF!</definedName>
    <definedName name="TAB" localSheetId="15">#REF!</definedName>
    <definedName name="TAB" localSheetId="16">#REF!</definedName>
    <definedName name="TAB" localSheetId="17">#REF!</definedName>
    <definedName name="TAB" localSheetId="18">#REF!</definedName>
    <definedName name="TAB" localSheetId="19">#REF!</definedName>
    <definedName name="TAB">#REF!</definedName>
    <definedName name="Tair" localSheetId="30">#REF!</definedName>
    <definedName name="Tair" localSheetId="31">#REF!</definedName>
    <definedName name="Tair" localSheetId="32">#REF!</definedName>
    <definedName name="Tair" localSheetId="11">#REF!</definedName>
    <definedName name="Tair" localSheetId="20">#REF!</definedName>
    <definedName name="Tair" localSheetId="21">#REF!</definedName>
    <definedName name="Tair" localSheetId="22">#REF!</definedName>
    <definedName name="Tair" localSheetId="23">#REF!</definedName>
    <definedName name="Tair" localSheetId="24">#REF!</definedName>
    <definedName name="Tair" localSheetId="25">#REF!</definedName>
    <definedName name="Tair" localSheetId="26">#REF!</definedName>
    <definedName name="Tair" localSheetId="27">#REF!</definedName>
    <definedName name="Tair" localSheetId="28">#REF!</definedName>
    <definedName name="Tair" localSheetId="29">#REF!</definedName>
    <definedName name="Tair" localSheetId="12">#REF!</definedName>
    <definedName name="Tair" localSheetId="13">#REF!</definedName>
    <definedName name="Tair" localSheetId="14">#REF!</definedName>
    <definedName name="Tair" localSheetId="15">#REF!</definedName>
    <definedName name="Tair" localSheetId="16">#REF!</definedName>
    <definedName name="Tair" localSheetId="17">#REF!</definedName>
    <definedName name="Tair" localSheetId="18">#REF!</definedName>
    <definedName name="Tair" localSheetId="19">#REF!</definedName>
    <definedName name="Tair">#REF!</definedName>
    <definedName name="TAIR10" localSheetId="30">#REF!</definedName>
    <definedName name="TAIR10" localSheetId="31">#REF!</definedName>
    <definedName name="TAIR10" localSheetId="32">#REF!</definedName>
    <definedName name="TAIR10" localSheetId="11">#REF!</definedName>
    <definedName name="TAIR10" localSheetId="20">#REF!</definedName>
    <definedName name="TAIR10" localSheetId="21">#REF!</definedName>
    <definedName name="TAIR10" localSheetId="22">#REF!</definedName>
    <definedName name="TAIR10" localSheetId="23">#REF!</definedName>
    <definedName name="TAIR10" localSheetId="24">#REF!</definedName>
    <definedName name="TAIR10" localSheetId="25">#REF!</definedName>
    <definedName name="TAIR10" localSheetId="26">#REF!</definedName>
    <definedName name="TAIR10" localSheetId="27">#REF!</definedName>
    <definedName name="TAIR10" localSheetId="28">#REF!</definedName>
    <definedName name="TAIR10" localSheetId="29">#REF!</definedName>
    <definedName name="TAIR10" localSheetId="12">#REF!</definedName>
    <definedName name="TAIR10" localSheetId="13">#REF!</definedName>
    <definedName name="TAIR10" localSheetId="14">#REF!</definedName>
    <definedName name="TAIR10" localSheetId="15">#REF!</definedName>
    <definedName name="TAIR10" localSheetId="16">#REF!</definedName>
    <definedName name="TAIR10" localSheetId="17">#REF!</definedName>
    <definedName name="TAIR10" localSheetId="18">#REF!</definedName>
    <definedName name="TAIR10" localSheetId="19">#REF!</definedName>
    <definedName name="TAIR10">#REF!</definedName>
    <definedName name="wheat" localSheetId="30">#REF!</definedName>
    <definedName name="wheat" localSheetId="31">#REF!</definedName>
    <definedName name="wheat" localSheetId="32">#REF!</definedName>
    <definedName name="wheat" localSheetId="11">#REF!</definedName>
    <definedName name="wheat" localSheetId="20">#REF!</definedName>
    <definedName name="wheat" localSheetId="21">#REF!</definedName>
    <definedName name="wheat" localSheetId="22">#REF!</definedName>
    <definedName name="wheat" localSheetId="23">#REF!</definedName>
    <definedName name="wheat" localSheetId="24">#REF!</definedName>
    <definedName name="wheat" localSheetId="25">#REF!</definedName>
    <definedName name="wheat" localSheetId="26">#REF!</definedName>
    <definedName name="wheat" localSheetId="27">#REF!</definedName>
    <definedName name="wheat" localSheetId="28">#REF!</definedName>
    <definedName name="wheat" localSheetId="29">#REF!</definedName>
    <definedName name="wheat" localSheetId="12">#REF!</definedName>
    <definedName name="wheat" localSheetId="13">#REF!</definedName>
    <definedName name="wheat" localSheetId="14">#REF!</definedName>
    <definedName name="wheat" localSheetId="15">#REF!</definedName>
    <definedName name="wheat" localSheetId="16">#REF!</definedName>
    <definedName name="wheat" localSheetId="17">#REF!</definedName>
    <definedName name="wheat" localSheetId="18">#REF!</definedName>
    <definedName name="wheat" localSheetId="19">#REF!</definedName>
    <definedName name="wheat">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7" i="48" l="1"/>
  <c r="B16" i="48"/>
  <c r="B15" i="48"/>
  <c r="B14" i="48"/>
  <c r="B13" i="48"/>
  <c r="B12" i="48"/>
  <c r="B55" i="47"/>
  <c r="B54" i="47"/>
  <c r="B53" i="47"/>
  <c r="B52" i="47"/>
  <c r="B51" i="47"/>
  <c r="B50" i="47"/>
  <c r="B49" i="47"/>
  <c r="B48" i="47"/>
  <c r="B47" i="47"/>
  <c r="B46" i="47"/>
  <c r="B45" i="47"/>
  <c r="B44" i="47"/>
  <c r="B43" i="47"/>
  <c r="B42" i="47"/>
  <c r="B41" i="47"/>
  <c r="B40" i="47"/>
  <c r="B39" i="47"/>
  <c r="B38" i="47"/>
  <c r="B37" i="47"/>
  <c r="B36" i="47"/>
  <c r="B35" i="47"/>
  <c r="B34" i="47"/>
  <c r="B33" i="47"/>
  <c r="B32" i="47"/>
  <c r="B31" i="47"/>
  <c r="B30" i="47"/>
  <c r="B29" i="47"/>
  <c r="B28" i="47"/>
  <c r="B27" i="47"/>
  <c r="B26" i="47"/>
  <c r="B25" i="47"/>
  <c r="B24" i="47"/>
  <c r="B23" i="47"/>
  <c r="B22" i="47"/>
  <c r="B21" i="47"/>
  <c r="B20" i="47"/>
  <c r="B19" i="47"/>
  <c r="B18" i="47"/>
  <c r="B17" i="47"/>
  <c r="B16" i="47"/>
  <c r="B15" i="47"/>
  <c r="B14" i="47"/>
  <c r="B13" i="47"/>
  <c r="B12" i="47"/>
  <c r="B88" i="46"/>
  <c r="B87" i="46"/>
  <c r="B86" i="46"/>
  <c r="B85" i="46"/>
  <c r="B84" i="46"/>
  <c r="B83" i="46"/>
  <c r="B82" i="46"/>
  <c r="B81" i="46"/>
  <c r="B80" i="46"/>
  <c r="B79" i="46"/>
  <c r="B78" i="46"/>
  <c r="B77" i="46"/>
  <c r="B76" i="46"/>
  <c r="B75" i="46"/>
  <c r="B74" i="46"/>
  <c r="B73" i="46"/>
  <c r="B72" i="46"/>
  <c r="B71" i="46"/>
  <c r="B70" i="46"/>
  <c r="B69" i="46"/>
  <c r="B68" i="46"/>
  <c r="B67" i="46"/>
  <c r="B66" i="46"/>
  <c r="B65" i="46"/>
  <c r="B64" i="46"/>
  <c r="B63" i="46"/>
  <c r="B62" i="46"/>
  <c r="B61" i="46"/>
  <c r="B60" i="46"/>
  <c r="B59" i="46"/>
  <c r="B58" i="46"/>
  <c r="B57" i="46"/>
  <c r="B56" i="46"/>
  <c r="B55" i="46"/>
  <c r="B54" i="46"/>
  <c r="B53" i="46"/>
  <c r="B52" i="46"/>
  <c r="B51" i="46"/>
  <c r="B50" i="46"/>
  <c r="B49" i="46"/>
  <c r="B48" i="46"/>
  <c r="B47" i="46"/>
  <c r="B46" i="46"/>
  <c r="B45" i="46"/>
  <c r="B44" i="46"/>
  <c r="B43" i="46"/>
  <c r="B42" i="46"/>
  <c r="B41" i="46"/>
  <c r="B40" i="46"/>
  <c r="B39" i="46"/>
  <c r="B38" i="46"/>
  <c r="B37" i="46"/>
  <c r="B36" i="46"/>
  <c r="B35" i="46"/>
  <c r="B34" i="46"/>
  <c r="B33" i="46"/>
  <c r="B32" i="46"/>
  <c r="B31" i="46"/>
  <c r="B30" i="46"/>
  <c r="B29" i="46"/>
  <c r="B28" i="46"/>
  <c r="B27" i="46"/>
  <c r="B26" i="46"/>
  <c r="B25" i="46"/>
  <c r="B24" i="46"/>
  <c r="B23" i="46"/>
  <c r="B22" i="46"/>
  <c r="B21" i="46"/>
  <c r="B20" i="46"/>
  <c r="B19" i="46"/>
  <c r="B18" i="46"/>
  <c r="B17" i="46"/>
  <c r="B16" i="46"/>
  <c r="B15" i="46"/>
  <c r="B14" i="46"/>
  <c r="B13" i="46"/>
  <c r="B12" i="46"/>
  <c r="B43" i="45"/>
  <c r="B42" i="45"/>
  <c r="B41" i="45"/>
  <c r="B40" i="45"/>
  <c r="B39" i="45"/>
  <c r="B38" i="45"/>
  <c r="B37" i="45"/>
  <c r="B36" i="45"/>
  <c r="B35" i="45"/>
  <c r="B34" i="45"/>
  <c r="B33" i="45"/>
  <c r="B32" i="45"/>
  <c r="B31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3" i="45"/>
  <c r="B12" i="45"/>
  <c r="B66" i="44"/>
  <c r="B65" i="44"/>
  <c r="B64" i="44"/>
  <c r="B63" i="44"/>
  <c r="B62" i="44"/>
  <c r="B61" i="44"/>
  <c r="B60" i="44"/>
  <c r="B59" i="44"/>
  <c r="B58" i="44"/>
  <c r="B57" i="44"/>
  <c r="B56" i="44"/>
  <c r="B55" i="44"/>
  <c r="B54" i="44"/>
  <c r="B53" i="44"/>
  <c r="B52" i="44"/>
  <c r="B51" i="44"/>
  <c r="B50" i="44"/>
  <c r="B49" i="44"/>
  <c r="B48" i="44"/>
  <c r="B47" i="44"/>
  <c r="B46" i="44"/>
  <c r="B45" i="44"/>
  <c r="B44" i="44"/>
  <c r="B43" i="44"/>
  <c r="B42" i="44"/>
  <c r="B41" i="44"/>
  <c r="B40" i="44"/>
  <c r="B39" i="44"/>
  <c r="B38" i="44"/>
  <c r="B37" i="44"/>
  <c r="B36" i="44"/>
  <c r="B35" i="44"/>
  <c r="B34" i="44"/>
  <c r="B33" i="44"/>
  <c r="B32" i="44"/>
  <c r="B31" i="44"/>
  <c r="B30" i="44"/>
  <c r="B29" i="44"/>
  <c r="B28" i="44"/>
  <c r="B27" i="44"/>
  <c r="B26" i="44"/>
  <c r="B25" i="44"/>
  <c r="B24" i="44"/>
  <c r="B23" i="44"/>
  <c r="B22" i="44"/>
  <c r="B21" i="44"/>
  <c r="B20" i="44"/>
  <c r="B19" i="44"/>
  <c r="B18" i="44"/>
  <c r="B17" i="44"/>
  <c r="B16" i="44"/>
  <c r="B15" i="44"/>
  <c r="B14" i="44"/>
  <c r="B13" i="44"/>
  <c r="B12" i="44"/>
  <c r="B151" i="43"/>
  <c r="B150" i="43"/>
  <c r="B149" i="43"/>
  <c r="B148" i="43"/>
  <c r="B147" i="43"/>
  <c r="B146" i="43"/>
  <c r="B145" i="43"/>
  <c r="B144" i="43"/>
  <c r="B143" i="43"/>
  <c r="B142" i="43"/>
  <c r="B141" i="43"/>
  <c r="B140" i="43"/>
  <c r="B139" i="43"/>
  <c r="B138" i="43"/>
  <c r="B137" i="43"/>
  <c r="B136" i="43"/>
  <c r="B135" i="43"/>
  <c r="B134" i="43"/>
  <c r="B133" i="43"/>
  <c r="B132" i="43"/>
  <c r="B131" i="43"/>
  <c r="B130" i="43"/>
  <c r="B129" i="43"/>
  <c r="B128" i="43"/>
  <c r="B127" i="43"/>
  <c r="B126" i="43"/>
  <c r="B125" i="43"/>
  <c r="B124" i="43"/>
  <c r="B123" i="43"/>
  <c r="B122" i="43"/>
  <c r="B121" i="43"/>
  <c r="B120" i="43"/>
  <c r="B119" i="43"/>
  <c r="B118" i="43"/>
  <c r="B117" i="43"/>
  <c r="B116" i="43"/>
  <c r="B115" i="43"/>
  <c r="B114" i="43"/>
  <c r="B113" i="43"/>
  <c r="B112" i="43"/>
  <c r="B111" i="43"/>
  <c r="B110" i="43"/>
  <c r="B109" i="43"/>
  <c r="B108" i="43"/>
  <c r="B107" i="43"/>
  <c r="B106" i="43"/>
  <c r="B105" i="43"/>
  <c r="B104" i="43"/>
  <c r="B103" i="43"/>
  <c r="B102" i="43"/>
  <c r="B101" i="43"/>
  <c r="B100" i="43"/>
  <c r="B99" i="43"/>
  <c r="B98" i="43"/>
  <c r="B97" i="43"/>
  <c r="B96" i="43"/>
  <c r="B95" i="43"/>
  <c r="B94" i="43"/>
  <c r="B93" i="43"/>
  <c r="B92" i="43"/>
  <c r="B91" i="43"/>
  <c r="B90" i="43"/>
  <c r="B89" i="43"/>
  <c r="B88" i="43"/>
  <c r="B87" i="43"/>
  <c r="B86" i="43"/>
  <c r="B85" i="43"/>
  <c r="B84" i="43"/>
  <c r="B83" i="43"/>
  <c r="B82" i="43"/>
  <c r="B81" i="43"/>
  <c r="B80" i="43"/>
  <c r="B79" i="43"/>
  <c r="B78" i="43"/>
  <c r="B77" i="43"/>
  <c r="B76" i="43"/>
  <c r="B75" i="43"/>
  <c r="B74" i="43"/>
  <c r="B73" i="43"/>
  <c r="B72" i="43"/>
  <c r="B71" i="43"/>
  <c r="B70" i="43"/>
  <c r="B69" i="43"/>
  <c r="B68" i="43"/>
  <c r="B67" i="43"/>
  <c r="B66" i="43"/>
  <c r="B65" i="43"/>
  <c r="B64" i="43"/>
  <c r="B63" i="43"/>
  <c r="B62" i="43"/>
  <c r="B61" i="43"/>
  <c r="B60" i="43"/>
  <c r="B59" i="43"/>
  <c r="B58" i="43"/>
  <c r="B57" i="43"/>
  <c r="B56" i="43"/>
  <c r="B55" i="43"/>
  <c r="B54" i="43"/>
  <c r="B53" i="43"/>
  <c r="B52" i="43"/>
  <c r="B51" i="43"/>
  <c r="B50" i="43"/>
  <c r="B49" i="43"/>
  <c r="B48" i="43"/>
  <c r="B47" i="43"/>
  <c r="B46" i="43"/>
  <c r="B45" i="43"/>
  <c r="B44" i="43"/>
  <c r="B43" i="43"/>
  <c r="B42" i="43"/>
  <c r="B41" i="43"/>
  <c r="B40" i="43"/>
  <c r="B39" i="43"/>
  <c r="B38" i="43"/>
  <c r="B37" i="43"/>
  <c r="B36" i="43"/>
  <c r="B35" i="43"/>
  <c r="B34" i="43"/>
  <c r="B33" i="43"/>
  <c r="B32" i="43"/>
  <c r="B31" i="43"/>
  <c r="B30" i="43"/>
  <c r="B29" i="43"/>
  <c r="B28" i="43"/>
  <c r="B27" i="43"/>
  <c r="B26" i="43"/>
  <c r="B25" i="43"/>
  <c r="B24" i="43"/>
  <c r="B23" i="43"/>
  <c r="B22" i="43"/>
  <c r="B21" i="43"/>
  <c r="B20" i="43"/>
  <c r="B19" i="43"/>
  <c r="B18" i="43"/>
  <c r="B17" i="43"/>
  <c r="B16" i="43"/>
  <c r="B15" i="43"/>
  <c r="B14" i="43"/>
  <c r="B13" i="43"/>
  <c r="B12" i="43"/>
  <c r="B145" i="42"/>
  <c r="B144" i="42"/>
  <c r="B143" i="42"/>
  <c r="B142" i="42"/>
  <c r="B141" i="42"/>
  <c r="B140" i="42"/>
  <c r="B139" i="42"/>
  <c r="B138" i="42"/>
  <c r="B137" i="42"/>
  <c r="B136" i="42"/>
  <c r="B135" i="42"/>
  <c r="B134" i="42"/>
  <c r="B133" i="42"/>
  <c r="B132" i="42"/>
  <c r="B131" i="42"/>
  <c r="B130" i="42"/>
  <c r="B129" i="42"/>
  <c r="B128" i="42"/>
  <c r="B127" i="42"/>
  <c r="B126" i="42"/>
  <c r="B125" i="42"/>
  <c r="B124" i="42"/>
  <c r="B123" i="42"/>
  <c r="B122" i="42"/>
  <c r="B121" i="42"/>
  <c r="B120" i="42"/>
  <c r="B119" i="42"/>
  <c r="B118" i="42"/>
  <c r="B117" i="42"/>
  <c r="B116" i="42"/>
  <c r="B115" i="42"/>
  <c r="B114" i="42"/>
  <c r="B113" i="42"/>
  <c r="B112" i="42"/>
  <c r="B111" i="42"/>
  <c r="B110" i="42"/>
  <c r="B109" i="42"/>
  <c r="B108" i="42"/>
  <c r="B107" i="42"/>
  <c r="B106" i="42"/>
  <c r="B105" i="42"/>
  <c r="B104" i="42"/>
  <c r="B103" i="42"/>
  <c r="B102" i="42"/>
  <c r="B101" i="42"/>
  <c r="B100" i="42"/>
  <c r="B99" i="42"/>
  <c r="B98" i="42"/>
  <c r="B97" i="42"/>
  <c r="B96" i="42"/>
  <c r="B95" i="42"/>
  <c r="B94" i="42"/>
  <c r="B93" i="42"/>
  <c r="B92" i="42"/>
  <c r="B91" i="42"/>
  <c r="B90" i="42"/>
  <c r="B89" i="42"/>
  <c r="B88" i="42"/>
  <c r="B87" i="42"/>
  <c r="B86" i="42"/>
  <c r="B85" i="42"/>
  <c r="B84" i="42"/>
  <c r="B83" i="42"/>
  <c r="B82" i="42"/>
  <c r="B81" i="42"/>
  <c r="B80" i="42"/>
  <c r="B79" i="42"/>
  <c r="B78" i="42"/>
  <c r="B77" i="42"/>
  <c r="B76" i="42"/>
  <c r="B75" i="42"/>
  <c r="B74" i="42"/>
  <c r="B73" i="42"/>
  <c r="B72" i="42"/>
  <c r="B71" i="42"/>
  <c r="B70" i="42"/>
  <c r="B69" i="42"/>
  <c r="B68" i="42"/>
  <c r="B67" i="42"/>
  <c r="B66" i="42"/>
  <c r="B65" i="42"/>
  <c r="B64" i="42"/>
  <c r="B63" i="42"/>
  <c r="B62" i="42"/>
  <c r="B61" i="42"/>
  <c r="B60" i="42"/>
  <c r="B59" i="42"/>
  <c r="B58" i="42"/>
  <c r="B57" i="42"/>
  <c r="B56" i="42"/>
  <c r="B55" i="42"/>
  <c r="B54" i="42"/>
  <c r="B53" i="42"/>
  <c r="B52" i="42"/>
  <c r="B51" i="42"/>
  <c r="B50" i="42"/>
  <c r="B49" i="42"/>
  <c r="B48" i="42"/>
  <c r="B47" i="42"/>
  <c r="B46" i="42"/>
  <c r="B45" i="42"/>
  <c r="B44" i="42"/>
  <c r="B43" i="42"/>
  <c r="B42" i="42"/>
  <c r="B41" i="42"/>
  <c r="B40" i="42"/>
  <c r="B39" i="42"/>
  <c r="B38" i="42"/>
  <c r="B37" i="42"/>
  <c r="B36" i="42"/>
  <c r="B35" i="42"/>
  <c r="B34" i="42"/>
  <c r="B33" i="42"/>
  <c r="B32" i="42"/>
  <c r="B31" i="42"/>
  <c r="B30" i="42"/>
  <c r="B29" i="42"/>
  <c r="B28" i="42"/>
  <c r="B27" i="42"/>
  <c r="B26" i="42"/>
  <c r="B25" i="42"/>
  <c r="B24" i="42"/>
  <c r="B23" i="42"/>
  <c r="B22" i="42"/>
  <c r="B21" i="42"/>
  <c r="B20" i="42"/>
  <c r="B19" i="42"/>
  <c r="B18" i="42"/>
  <c r="B17" i="42"/>
  <c r="B16" i="42"/>
  <c r="B15" i="42"/>
  <c r="B14" i="42"/>
  <c r="B13" i="42"/>
  <c r="B12" i="42"/>
  <c r="B12" i="41"/>
  <c r="B13" i="41"/>
  <c r="B14" i="41"/>
  <c r="B15" i="41"/>
  <c r="B16" i="41"/>
  <c r="B17" i="41"/>
  <c r="B18" i="41"/>
  <c r="B19" i="41"/>
  <c r="B20" i="41"/>
  <c r="B21" i="41"/>
  <c r="B22" i="41"/>
  <c r="B23" i="41"/>
  <c r="B24" i="41"/>
  <c r="B25" i="41"/>
  <c r="B26" i="41"/>
  <c r="B27" i="41"/>
  <c r="B28" i="41"/>
  <c r="B29" i="41"/>
  <c r="B30" i="41"/>
  <c r="B31" i="41"/>
  <c r="B32" i="41"/>
  <c r="B33" i="41"/>
  <c r="B34" i="41"/>
  <c r="B35" i="41"/>
  <c r="B36" i="41"/>
  <c r="B37" i="41"/>
  <c r="B38" i="41"/>
  <c r="B39" i="41"/>
  <c r="B40" i="41"/>
  <c r="B41" i="41"/>
  <c r="B42" i="41"/>
  <c r="B43" i="41"/>
  <c r="B44" i="41"/>
  <c r="B45" i="41"/>
  <c r="B46" i="41"/>
  <c r="B47" i="41"/>
  <c r="B48" i="41"/>
  <c r="B49" i="41"/>
  <c r="B50" i="41"/>
  <c r="B51" i="41"/>
  <c r="B52" i="41"/>
  <c r="B53" i="41"/>
  <c r="B54" i="41"/>
  <c r="B55" i="41"/>
  <c r="B56" i="41"/>
  <c r="B57" i="41"/>
  <c r="B58" i="41"/>
  <c r="B59" i="41"/>
  <c r="B60" i="41"/>
  <c r="B61" i="41"/>
  <c r="B62" i="41"/>
  <c r="B63" i="41"/>
  <c r="B64" i="41"/>
  <c r="B65" i="41"/>
  <c r="B66" i="41"/>
  <c r="B67" i="41"/>
  <c r="B68" i="41"/>
  <c r="B69" i="41"/>
  <c r="B70" i="41"/>
  <c r="B71" i="41"/>
  <c r="B72" i="41"/>
  <c r="B43" i="40"/>
  <c r="B42" i="40"/>
  <c r="B41" i="40"/>
  <c r="B40" i="40"/>
  <c r="B39" i="40"/>
  <c r="B38" i="40"/>
  <c r="B37" i="40"/>
  <c r="B36" i="40"/>
  <c r="B35" i="40"/>
  <c r="B34" i="40"/>
  <c r="B33" i="40"/>
  <c r="B32" i="40"/>
  <c r="B31" i="40"/>
  <c r="B30" i="40"/>
  <c r="B29" i="40"/>
  <c r="B28" i="40"/>
  <c r="B27" i="40"/>
  <c r="B26" i="40"/>
  <c r="B25" i="40"/>
  <c r="B24" i="40"/>
  <c r="B23" i="40"/>
  <c r="B22" i="40"/>
  <c r="B21" i="40"/>
  <c r="B20" i="40"/>
  <c r="B19" i="40"/>
  <c r="B18" i="40"/>
  <c r="B17" i="40"/>
  <c r="B16" i="40"/>
  <c r="B15" i="40"/>
  <c r="B14" i="40"/>
  <c r="B13" i="40"/>
  <c r="B12" i="40"/>
  <c r="C1312" i="38"/>
  <c r="C1311" i="38"/>
  <c r="C1310" i="38"/>
  <c r="C1309" i="38"/>
  <c r="C1308" i="38"/>
  <c r="C1307" i="38"/>
  <c r="C1306" i="38"/>
  <c r="C1305" i="38"/>
  <c r="C1304" i="38"/>
  <c r="C1303" i="38"/>
  <c r="C1302" i="38"/>
  <c r="C1301" i="38"/>
  <c r="C1300" i="38"/>
  <c r="C1299" i="38"/>
  <c r="C1298" i="38"/>
  <c r="C1297" i="38"/>
  <c r="C1296" i="38"/>
  <c r="C1295" i="38"/>
  <c r="C1294" i="38"/>
  <c r="C1293" i="38"/>
  <c r="C1292" i="38"/>
  <c r="C1291" i="38"/>
  <c r="C1290" i="38"/>
  <c r="C1289" i="38"/>
  <c r="C1288" i="38"/>
  <c r="C1287" i="38"/>
  <c r="C1286" i="38"/>
  <c r="C1285" i="38"/>
  <c r="C1284" i="38"/>
  <c r="C1283" i="38"/>
  <c r="C1282" i="38"/>
  <c r="C1281" i="38"/>
  <c r="C1280" i="38"/>
  <c r="C1279" i="38"/>
  <c r="C1278" i="38"/>
  <c r="C1277" i="38"/>
  <c r="C1276" i="38"/>
  <c r="C1275" i="38"/>
  <c r="C1274" i="38"/>
  <c r="C1273" i="38"/>
  <c r="C1272" i="38"/>
  <c r="C1271" i="38"/>
  <c r="C1270" i="38"/>
  <c r="C1269" i="38"/>
  <c r="C1268" i="38"/>
  <c r="C1267" i="38"/>
  <c r="C1266" i="38"/>
  <c r="C1265" i="38"/>
  <c r="C1264" i="38"/>
  <c r="C1263" i="38"/>
  <c r="C1262" i="38"/>
  <c r="C1261" i="38"/>
  <c r="C1260" i="38"/>
  <c r="C1259" i="38"/>
  <c r="C1258" i="38"/>
  <c r="C1257" i="38"/>
  <c r="C1256" i="38"/>
  <c r="C1255" i="38"/>
  <c r="C1254" i="38"/>
  <c r="C1253" i="38"/>
  <c r="C1252" i="38"/>
  <c r="C1251" i="38"/>
  <c r="C1250" i="38"/>
  <c r="C1249" i="38"/>
  <c r="C1248" i="38"/>
  <c r="C1247" i="38"/>
  <c r="C1246" i="38"/>
  <c r="C1245" i="38"/>
  <c r="C1244" i="38"/>
  <c r="C1243" i="38"/>
  <c r="C1242" i="38"/>
  <c r="C1241" i="38"/>
  <c r="C1240" i="38"/>
  <c r="C1239" i="38"/>
  <c r="C1238" i="38"/>
  <c r="C1237" i="38"/>
  <c r="C1236" i="38"/>
  <c r="C1235" i="38"/>
  <c r="C1234" i="38"/>
  <c r="C1233" i="38"/>
  <c r="C1232" i="38"/>
  <c r="C1231" i="38"/>
  <c r="C1230" i="38"/>
  <c r="C1229" i="38"/>
  <c r="C1228" i="38"/>
  <c r="C1227" i="38"/>
  <c r="C1226" i="38"/>
  <c r="C1225" i="38"/>
  <c r="C1224" i="38"/>
  <c r="C1223" i="38"/>
  <c r="C1222" i="38"/>
  <c r="C1221" i="38"/>
  <c r="C1220" i="38"/>
  <c r="C1219" i="38"/>
  <c r="C1218" i="38"/>
  <c r="C1217" i="38"/>
  <c r="C1216" i="38"/>
  <c r="C1215" i="38"/>
  <c r="C1214" i="38"/>
  <c r="C1213" i="38"/>
  <c r="C1212" i="38"/>
  <c r="C1211" i="38"/>
  <c r="C1210" i="38"/>
  <c r="C1209" i="38"/>
  <c r="C1208" i="38"/>
  <c r="C1207" i="38"/>
  <c r="C1206" i="38"/>
  <c r="C1205" i="38"/>
  <c r="C1204" i="38"/>
  <c r="C1203" i="38"/>
  <c r="C1202" i="38"/>
  <c r="C1201" i="38"/>
  <c r="C1200" i="38"/>
  <c r="C1199" i="38"/>
  <c r="C1198" i="38"/>
  <c r="C1197" i="38"/>
  <c r="C1196" i="38"/>
  <c r="C1195" i="38"/>
  <c r="C1194" i="38"/>
  <c r="C1193" i="38"/>
  <c r="C1192" i="38"/>
  <c r="C1191" i="38"/>
  <c r="C1190" i="38"/>
  <c r="C1189" i="38"/>
  <c r="C1188" i="38"/>
  <c r="C1187" i="38"/>
  <c r="C1186" i="38"/>
  <c r="C1185" i="38"/>
  <c r="C1184" i="38"/>
  <c r="C1183" i="38"/>
  <c r="C1182" i="38"/>
  <c r="C1181" i="38"/>
  <c r="C1180" i="38"/>
  <c r="C1179" i="38"/>
  <c r="C1178" i="38"/>
  <c r="C1177" i="38"/>
  <c r="C1176" i="38"/>
  <c r="C1175" i="38"/>
  <c r="C1174" i="38"/>
  <c r="C1173" i="38"/>
  <c r="C1172" i="38"/>
  <c r="C1171" i="38"/>
  <c r="C1170" i="38"/>
  <c r="C1169" i="38"/>
  <c r="C1168" i="38"/>
  <c r="C1167" i="38"/>
  <c r="C1166" i="38"/>
  <c r="C1165" i="38"/>
  <c r="C1164" i="38"/>
  <c r="C1163" i="38"/>
  <c r="C1162" i="38"/>
  <c r="C1161" i="38"/>
  <c r="C1160" i="38"/>
  <c r="C1159" i="38"/>
  <c r="C1158" i="38"/>
  <c r="C1157" i="38"/>
  <c r="C1156" i="38"/>
  <c r="C1155" i="38"/>
  <c r="C1154" i="38"/>
  <c r="C1153" i="38"/>
  <c r="C1152" i="38"/>
  <c r="C1151" i="38"/>
  <c r="C1150" i="38"/>
  <c r="C1149" i="38"/>
  <c r="C1148" i="38"/>
  <c r="C1147" i="38"/>
  <c r="C1146" i="38"/>
  <c r="C1145" i="38"/>
  <c r="C1144" i="38"/>
  <c r="C1143" i="38"/>
  <c r="C1142" i="38"/>
  <c r="C1141" i="38"/>
  <c r="C1140" i="38"/>
  <c r="C1139" i="38"/>
  <c r="C1138" i="38"/>
  <c r="C1137" i="38"/>
  <c r="C1136" i="38"/>
  <c r="C1135" i="38"/>
  <c r="C1134" i="38"/>
  <c r="C1133" i="38"/>
  <c r="C1132" i="38"/>
  <c r="C1131" i="38"/>
  <c r="C1130" i="38"/>
  <c r="C1129" i="38"/>
  <c r="C1128" i="38"/>
  <c r="C1127" i="38"/>
  <c r="C1126" i="38"/>
  <c r="C1125" i="38"/>
  <c r="C1124" i="38"/>
  <c r="C1123" i="38"/>
  <c r="C1122" i="38"/>
  <c r="C1121" i="38"/>
  <c r="C1120" i="38"/>
  <c r="C1119" i="38"/>
  <c r="C1118" i="38"/>
  <c r="C1117" i="38"/>
  <c r="C1116" i="38"/>
  <c r="C1115" i="38"/>
  <c r="C1114" i="38"/>
  <c r="C1113" i="38"/>
  <c r="C1112" i="38"/>
  <c r="C1111" i="38"/>
  <c r="C1110" i="38"/>
  <c r="C1109" i="38"/>
  <c r="C1108" i="38"/>
  <c r="C1107" i="38"/>
  <c r="C1106" i="38"/>
  <c r="C1105" i="38"/>
  <c r="C1104" i="38"/>
  <c r="C1103" i="38"/>
  <c r="C1102" i="38"/>
  <c r="C1101" i="38"/>
  <c r="C1100" i="38"/>
  <c r="C1099" i="38"/>
  <c r="C1098" i="38"/>
  <c r="C1097" i="38"/>
  <c r="C1096" i="38"/>
  <c r="C1095" i="38"/>
  <c r="C1094" i="38"/>
  <c r="C1093" i="38"/>
  <c r="C1092" i="38"/>
  <c r="C1091" i="38"/>
  <c r="C1090" i="38"/>
  <c r="C1089" i="38"/>
  <c r="C1088" i="38"/>
  <c r="C1087" i="38"/>
  <c r="C1086" i="38"/>
  <c r="C1085" i="38"/>
  <c r="C1084" i="38"/>
  <c r="C1083" i="38"/>
  <c r="C1082" i="38"/>
  <c r="C1081" i="38"/>
  <c r="C1080" i="38"/>
  <c r="C1079" i="38"/>
  <c r="C1078" i="38"/>
  <c r="C1077" i="38"/>
  <c r="C1076" i="38"/>
  <c r="C1075" i="38"/>
  <c r="C1074" i="38"/>
  <c r="C1073" i="38"/>
  <c r="C1072" i="38"/>
  <c r="C1071" i="38"/>
  <c r="C1070" i="38"/>
  <c r="C1069" i="38"/>
  <c r="C1068" i="38"/>
  <c r="C1067" i="38"/>
  <c r="C1066" i="38"/>
  <c r="C1065" i="38"/>
  <c r="C1064" i="38"/>
  <c r="C1063" i="38"/>
  <c r="C1062" i="38"/>
  <c r="C1061" i="38"/>
  <c r="C1060" i="38"/>
  <c r="C1059" i="38"/>
  <c r="C1058" i="38"/>
  <c r="C1057" i="38"/>
  <c r="C1056" i="38"/>
  <c r="C1055" i="38"/>
  <c r="C1054" i="38"/>
  <c r="C1053" i="38"/>
  <c r="C1052" i="38"/>
  <c r="C1051" i="38"/>
  <c r="C1050" i="38"/>
  <c r="C1049" i="38"/>
  <c r="C1048" i="38"/>
  <c r="C1047" i="38"/>
  <c r="C1046" i="38"/>
  <c r="C1045" i="38"/>
  <c r="C1044" i="38"/>
  <c r="C1043" i="38"/>
  <c r="C1042" i="38"/>
  <c r="C1041" i="38"/>
  <c r="C1040" i="38"/>
  <c r="C1039" i="38"/>
  <c r="C1038" i="38"/>
  <c r="C1037" i="38"/>
  <c r="C1036" i="38"/>
  <c r="C1035" i="38"/>
  <c r="C1034" i="38"/>
  <c r="C1033" i="38"/>
  <c r="C1032" i="38"/>
  <c r="C1031" i="38"/>
  <c r="C1030" i="38"/>
  <c r="C1029" i="38"/>
  <c r="C1028" i="38"/>
  <c r="C1027" i="38"/>
  <c r="C1026" i="38"/>
  <c r="C1025" i="38"/>
  <c r="C1024" i="38"/>
  <c r="C1023" i="38"/>
  <c r="C1022" i="38"/>
  <c r="C1021" i="38"/>
  <c r="C1020" i="38"/>
  <c r="C1019" i="38"/>
  <c r="C1018" i="38"/>
  <c r="C1017" i="38"/>
  <c r="C1016" i="38"/>
  <c r="C1015" i="38"/>
  <c r="C1014" i="38"/>
  <c r="C1013" i="38"/>
  <c r="C1012" i="38"/>
  <c r="C1011" i="38"/>
  <c r="C1010" i="38"/>
  <c r="C1009" i="38"/>
  <c r="C1008" i="38"/>
  <c r="C1007" i="38"/>
  <c r="C1006" i="38"/>
  <c r="C1005" i="38"/>
  <c r="C1004" i="38"/>
  <c r="C1003" i="38"/>
  <c r="C1002" i="38"/>
  <c r="C1001" i="38"/>
  <c r="C1000" i="38"/>
  <c r="C999" i="38"/>
  <c r="C998" i="38"/>
  <c r="C997" i="38"/>
  <c r="C996" i="38"/>
  <c r="C995" i="38"/>
  <c r="C994" i="38"/>
  <c r="C993" i="38"/>
  <c r="C992" i="38"/>
  <c r="C991" i="38"/>
  <c r="C990" i="38"/>
  <c r="C989" i="38"/>
  <c r="C988" i="38"/>
  <c r="C987" i="38"/>
  <c r="C986" i="38"/>
  <c r="C985" i="38"/>
  <c r="C984" i="38"/>
  <c r="C983" i="38"/>
  <c r="C982" i="38"/>
  <c r="C981" i="38"/>
  <c r="C980" i="38"/>
  <c r="C979" i="38"/>
  <c r="C978" i="38"/>
  <c r="C977" i="38"/>
  <c r="C976" i="38"/>
  <c r="C975" i="38"/>
  <c r="C974" i="38"/>
  <c r="C973" i="38"/>
  <c r="C972" i="38"/>
  <c r="C971" i="38"/>
  <c r="C970" i="38"/>
  <c r="C969" i="38"/>
  <c r="C968" i="38"/>
  <c r="C967" i="38"/>
  <c r="C966" i="38"/>
  <c r="C965" i="38"/>
  <c r="C964" i="38"/>
  <c r="C963" i="38"/>
  <c r="C962" i="38"/>
  <c r="C961" i="38"/>
  <c r="C960" i="38"/>
  <c r="C959" i="38"/>
  <c r="C958" i="38"/>
  <c r="C957" i="38"/>
  <c r="C956" i="38"/>
  <c r="C955" i="38"/>
  <c r="C954" i="38"/>
  <c r="C953" i="38"/>
  <c r="C952" i="38"/>
  <c r="C951" i="38"/>
  <c r="C950" i="38"/>
  <c r="C949" i="38"/>
  <c r="C948" i="38"/>
  <c r="C947" i="38"/>
  <c r="C946" i="38"/>
  <c r="C945" i="38"/>
  <c r="C944" i="38"/>
  <c r="C943" i="38"/>
  <c r="C942" i="38"/>
  <c r="C941" i="38"/>
  <c r="C940" i="38"/>
  <c r="C939" i="38"/>
  <c r="C938" i="38"/>
  <c r="C937" i="38"/>
  <c r="C936" i="38"/>
  <c r="C935" i="38"/>
  <c r="C934" i="38"/>
  <c r="C933" i="38"/>
  <c r="C932" i="38"/>
  <c r="C931" i="38"/>
  <c r="C930" i="38"/>
  <c r="C929" i="38"/>
  <c r="C928" i="38"/>
  <c r="C927" i="38"/>
  <c r="C926" i="38"/>
  <c r="C925" i="38"/>
  <c r="C924" i="38"/>
  <c r="C923" i="38"/>
  <c r="C922" i="38"/>
  <c r="C921" i="38"/>
  <c r="C920" i="38"/>
  <c r="C919" i="38"/>
  <c r="C918" i="38"/>
  <c r="C917" i="38"/>
  <c r="C916" i="38"/>
  <c r="C915" i="38"/>
  <c r="C914" i="38"/>
  <c r="C913" i="38"/>
  <c r="C912" i="38"/>
  <c r="C911" i="38"/>
  <c r="C910" i="38"/>
  <c r="C909" i="38"/>
  <c r="C908" i="38"/>
  <c r="C907" i="38"/>
  <c r="C906" i="38"/>
  <c r="C905" i="38"/>
  <c r="C904" i="38"/>
  <c r="C903" i="38"/>
  <c r="C902" i="38"/>
  <c r="C901" i="38"/>
  <c r="C900" i="38"/>
  <c r="C899" i="38"/>
  <c r="C898" i="38"/>
  <c r="C897" i="38"/>
  <c r="C896" i="38"/>
  <c r="C895" i="38"/>
  <c r="C894" i="38"/>
  <c r="C893" i="38"/>
  <c r="C892" i="38"/>
  <c r="C891" i="38"/>
  <c r="C890" i="38"/>
  <c r="C889" i="38"/>
  <c r="C888" i="38"/>
  <c r="C887" i="38"/>
  <c r="C886" i="38"/>
  <c r="C885" i="38"/>
  <c r="C884" i="38"/>
  <c r="C883" i="38"/>
  <c r="C882" i="38"/>
  <c r="C881" i="38"/>
  <c r="C880" i="38"/>
  <c r="C879" i="38"/>
  <c r="C878" i="38"/>
  <c r="C877" i="38"/>
  <c r="C876" i="38"/>
  <c r="C875" i="38"/>
  <c r="C874" i="38"/>
  <c r="C873" i="38"/>
  <c r="C872" i="38"/>
  <c r="C871" i="38"/>
  <c r="C870" i="38"/>
  <c r="C869" i="38"/>
  <c r="C868" i="38"/>
  <c r="C867" i="38"/>
  <c r="C866" i="38"/>
  <c r="C865" i="38"/>
  <c r="C864" i="38"/>
  <c r="C863" i="38"/>
  <c r="C862" i="38"/>
  <c r="C861" i="38"/>
  <c r="C860" i="38"/>
  <c r="C859" i="38"/>
  <c r="C858" i="38"/>
  <c r="C857" i="38"/>
  <c r="C856" i="38"/>
  <c r="C855" i="38"/>
  <c r="C854" i="38"/>
  <c r="C853" i="38"/>
  <c r="C852" i="38"/>
  <c r="C851" i="38"/>
  <c r="C850" i="38"/>
  <c r="C849" i="38"/>
  <c r="C848" i="38"/>
  <c r="C847" i="38"/>
  <c r="C846" i="38"/>
  <c r="C845" i="38"/>
  <c r="C844" i="38"/>
  <c r="C843" i="38"/>
  <c r="C842" i="38"/>
  <c r="C841" i="38"/>
  <c r="C840" i="38"/>
  <c r="C839" i="38"/>
  <c r="C838" i="38"/>
  <c r="C837" i="38"/>
  <c r="C836" i="38"/>
  <c r="C835" i="38"/>
  <c r="C834" i="38"/>
  <c r="C833" i="38"/>
  <c r="C832" i="38"/>
  <c r="C831" i="38"/>
  <c r="C830" i="38"/>
  <c r="C829" i="38"/>
  <c r="C828" i="38"/>
  <c r="C827" i="38"/>
  <c r="C826" i="38"/>
  <c r="C825" i="38"/>
  <c r="C824" i="38"/>
  <c r="C823" i="38"/>
  <c r="C822" i="38"/>
  <c r="C821" i="38"/>
  <c r="C820" i="38"/>
  <c r="C819" i="38"/>
  <c r="C818" i="38"/>
  <c r="C817" i="38"/>
  <c r="C816" i="38"/>
  <c r="C815" i="38"/>
  <c r="C814" i="38"/>
  <c r="C813" i="38"/>
  <c r="C812" i="38"/>
  <c r="C811" i="38"/>
  <c r="C810" i="38"/>
  <c r="C809" i="38"/>
  <c r="C808" i="38"/>
  <c r="C807" i="38"/>
  <c r="C806" i="38"/>
  <c r="C805" i="38"/>
  <c r="C804" i="38"/>
  <c r="C803" i="38"/>
  <c r="C802" i="38"/>
  <c r="C801" i="38"/>
  <c r="C800" i="38"/>
  <c r="C799" i="38"/>
  <c r="C798" i="38"/>
  <c r="C797" i="38"/>
  <c r="C796" i="38"/>
  <c r="C795" i="38"/>
  <c r="C794" i="38"/>
  <c r="C793" i="38"/>
  <c r="C792" i="38"/>
  <c r="C791" i="38"/>
  <c r="C790" i="38"/>
  <c r="C789" i="38"/>
  <c r="C788" i="38"/>
  <c r="C787" i="38"/>
  <c r="C786" i="38"/>
  <c r="C785" i="38"/>
  <c r="C784" i="38"/>
  <c r="C783" i="38"/>
  <c r="C782" i="38"/>
  <c r="C781" i="38"/>
  <c r="C780" i="38"/>
  <c r="C779" i="38"/>
  <c r="C778" i="38"/>
  <c r="C777" i="38"/>
  <c r="C776" i="38"/>
  <c r="C775" i="38"/>
  <c r="C774" i="38"/>
  <c r="C773" i="38"/>
  <c r="C772" i="38"/>
  <c r="C771" i="38"/>
  <c r="C770" i="38"/>
  <c r="C769" i="38"/>
  <c r="C768" i="38"/>
  <c r="C767" i="38"/>
  <c r="C766" i="38"/>
  <c r="C765" i="38"/>
  <c r="C764" i="38"/>
  <c r="C763" i="38"/>
  <c r="C762" i="38"/>
  <c r="C761" i="38"/>
  <c r="C760" i="38"/>
  <c r="C759" i="38"/>
  <c r="C758" i="38"/>
  <c r="C757" i="38"/>
  <c r="C756" i="38"/>
  <c r="C755" i="38"/>
  <c r="C754" i="38"/>
  <c r="C753" i="38"/>
  <c r="C752" i="38"/>
  <c r="C751" i="38"/>
  <c r="C750" i="38"/>
  <c r="C749" i="38"/>
  <c r="C748" i="38"/>
  <c r="C747" i="38"/>
  <c r="C746" i="38"/>
  <c r="C745" i="38"/>
  <c r="C744" i="38"/>
  <c r="C743" i="38"/>
  <c r="C742" i="38"/>
  <c r="C741" i="38"/>
  <c r="C740" i="38"/>
  <c r="C739" i="38"/>
  <c r="C738" i="38"/>
  <c r="C737" i="38"/>
  <c r="C736" i="38"/>
  <c r="C735" i="38"/>
  <c r="C734" i="38"/>
  <c r="C733" i="38"/>
  <c r="C732" i="38"/>
  <c r="C731" i="38"/>
  <c r="C730" i="38"/>
  <c r="C729" i="38"/>
  <c r="C728" i="38"/>
  <c r="C727" i="38"/>
  <c r="C726" i="38"/>
  <c r="C725" i="38"/>
  <c r="C724" i="38"/>
  <c r="C723" i="38"/>
  <c r="C722" i="38"/>
  <c r="C721" i="38"/>
  <c r="C720" i="38"/>
  <c r="C719" i="38"/>
  <c r="C718" i="38"/>
  <c r="C717" i="38"/>
  <c r="C716" i="38"/>
  <c r="C715" i="38"/>
  <c r="C714" i="38"/>
  <c r="C713" i="38"/>
  <c r="C712" i="38"/>
  <c r="C711" i="38"/>
  <c r="C710" i="38"/>
  <c r="C709" i="38"/>
  <c r="C708" i="38"/>
  <c r="C707" i="38"/>
  <c r="C706" i="38"/>
  <c r="C705" i="38"/>
  <c r="C704" i="38"/>
  <c r="C703" i="38"/>
  <c r="C702" i="38"/>
  <c r="C701" i="38"/>
  <c r="C700" i="38"/>
  <c r="C699" i="38"/>
  <c r="C698" i="38"/>
  <c r="C697" i="38"/>
  <c r="C696" i="38"/>
  <c r="C695" i="38"/>
  <c r="C694" i="38"/>
  <c r="C693" i="38"/>
  <c r="C692" i="38"/>
  <c r="C691" i="38"/>
  <c r="C690" i="38"/>
  <c r="C689" i="38"/>
  <c r="C688" i="38"/>
  <c r="C687" i="38"/>
  <c r="C686" i="38"/>
  <c r="C685" i="38"/>
  <c r="C684" i="38"/>
  <c r="C683" i="38"/>
  <c r="C682" i="38"/>
  <c r="C681" i="38"/>
  <c r="C680" i="38"/>
  <c r="C679" i="38"/>
  <c r="C678" i="38"/>
  <c r="C677" i="38"/>
  <c r="C676" i="38"/>
  <c r="C675" i="38"/>
  <c r="C674" i="38"/>
  <c r="C673" i="38"/>
  <c r="C672" i="38"/>
  <c r="C671" i="38"/>
  <c r="C670" i="38"/>
  <c r="C669" i="38"/>
  <c r="C668" i="38"/>
  <c r="C667" i="38"/>
  <c r="C666" i="38"/>
  <c r="C665" i="38"/>
  <c r="C664" i="38"/>
  <c r="C663" i="38"/>
  <c r="C662" i="38"/>
  <c r="C661" i="38"/>
  <c r="C660" i="38"/>
  <c r="C659" i="38"/>
  <c r="C658" i="38"/>
  <c r="C657" i="38"/>
  <c r="C656" i="38"/>
  <c r="C655" i="38"/>
  <c r="C654" i="38"/>
  <c r="C653" i="38"/>
  <c r="C652" i="38"/>
  <c r="C651" i="38"/>
  <c r="C650" i="38"/>
  <c r="C649" i="38"/>
  <c r="C648" i="38"/>
  <c r="C647" i="38"/>
  <c r="C646" i="38"/>
  <c r="C645" i="38"/>
  <c r="C644" i="38"/>
  <c r="C643" i="38"/>
  <c r="C642" i="38"/>
  <c r="C641" i="38"/>
  <c r="C640" i="38"/>
  <c r="C639" i="38"/>
  <c r="C638" i="38"/>
  <c r="C637" i="38"/>
  <c r="C636" i="38"/>
  <c r="C635" i="38"/>
  <c r="C634" i="38"/>
  <c r="C633" i="38"/>
  <c r="C632" i="38"/>
  <c r="C631" i="38"/>
  <c r="C630" i="38"/>
  <c r="C629" i="38"/>
  <c r="C628" i="38"/>
  <c r="C627" i="38"/>
  <c r="C626" i="38"/>
  <c r="C625" i="38"/>
  <c r="C624" i="38"/>
  <c r="C623" i="38"/>
  <c r="C622" i="38"/>
  <c r="C621" i="38"/>
  <c r="C620" i="38"/>
  <c r="C619" i="38"/>
  <c r="C618" i="38"/>
  <c r="C617" i="38"/>
  <c r="C616" i="38"/>
  <c r="C615" i="38"/>
  <c r="C614" i="38"/>
  <c r="C613" i="38"/>
  <c r="C612" i="38"/>
  <c r="C611" i="38"/>
  <c r="C610" i="38"/>
  <c r="C609" i="38"/>
  <c r="C608" i="38"/>
  <c r="C607" i="38"/>
  <c r="C606" i="38"/>
  <c r="C605" i="38"/>
  <c r="C604" i="38"/>
  <c r="C603" i="38"/>
  <c r="C602" i="38"/>
  <c r="C601" i="38"/>
  <c r="C600" i="38"/>
  <c r="C599" i="38"/>
  <c r="C598" i="38"/>
  <c r="C597" i="38"/>
  <c r="C596" i="38"/>
  <c r="C595" i="38"/>
  <c r="C594" i="38"/>
  <c r="C593" i="38"/>
  <c r="C592" i="38"/>
  <c r="C591" i="38"/>
  <c r="C590" i="38"/>
  <c r="C589" i="38"/>
  <c r="C588" i="38"/>
  <c r="C587" i="38"/>
  <c r="C586" i="38"/>
  <c r="C585" i="38"/>
  <c r="C584" i="38"/>
  <c r="C583" i="38"/>
  <c r="C582" i="38"/>
  <c r="C581" i="38"/>
  <c r="C580" i="38"/>
  <c r="C579" i="38"/>
  <c r="C578" i="38"/>
  <c r="C577" i="38"/>
  <c r="C576" i="38"/>
  <c r="C575" i="38"/>
  <c r="C574" i="38"/>
  <c r="C573" i="38"/>
  <c r="C572" i="38"/>
  <c r="C571" i="38"/>
  <c r="C570" i="38"/>
  <c r="C569" i="38"/>
  <c r="C568" i="38"/>
  <c r="C567" i="38"/>
  <c r="C566" i="38"/>
  <c r="C565" i="38"/>
  <c r="C564" i="38"/>
  <c r="C563" i="38"/>
  <c r="C562" i="38"/>
  <c r="C561" i="38"/>
  <c r="C560" i="38"/>
  <c r="C559" i="38"/>
  <c r="C558" i="38"/>
  <c r="C557" i="38"/>
  <c r="C556" i="38"/>
  <c r="C555" i="38"/>
  <c r="C554" i="38"/>
  <c r="C553" i="38"/>
  <c r="C552" i="38"/>
  <c r="C551" i="38"/>
  <c r="C550" i="38"/>
  <c r="C549" i="38"/>
  <c r="C548" i="38"/>
  <c r="C547" i="38"/>
  <c r="C546" i="38"/>
  <c r="C545" i="38"/>
  <c r="C544" i="38"/>
  <c r="C543" i="38"/>
  <c r="C542" i="38"/>
  <c r="C541" i="38"/>
  <c r="C540" i="38"/>
  <c r="C539" i="38"/>
  <c r="C538" i="38"/>
  <c r="C537" i="38"/>
  <c r="C536" i="38"/>
  <c r="C535" i="38"/>
  <c r="C534" i="38"/>
  <c r="C533" i="38"/>
  <c r="C532" i="38"/>
  <c r="C531" i="38"/>
  <c r="C530" i="38"/>
  <c r="C529" i="38"/>
  <c r="C528" i="38"/>
  <c r="C527" i="38"/>
  <c r="C526" i="38"/>
  <c r="C525" i="38"/>
  <c r="C524" i="38"/>
  <c r="C523" i="38"/>
  <c r="C522" i="38"/>
  <c r="C521" i="38"/>
  <c r="C520" i="38"/>
  <c r="C519" i="38"/>
  <c r="C518" i="38"/>
  <c r="C517" i="38"/>
  <c r="C516" i="38"/>
  <c r="C515" i="38"/>
  <c r="C514" i="38"/>
  <c r="C513" i="38"/>
  <c r="C512" i="38"/>
  <c r="C511" i="38"/>
  <c r="C510" i="38"/>
  <c r="C509" i="38"/>
  <c r="C508" i="38"/>
  <c r="C507" i="38"/>
  <c r="C506" i="38"/>
  <c r="C505" i="38"/>
  <c r="C504" i="38"/>
  <c r="C503" i="38"/>
  <c r="C502" i="38"/>
  <c r="C501" i="38"/>
  <c r="C500" i="38"/>
  <c r="C499" i="38"/>
  <c r="C498" i="38"/>
  <c r="C497" i="38"/>
  <c r="C496" i="38"/>
  <c r="C495" i="38"/>
  <c r="C494" i="38"/>
  <c r="C493" i="38"/>
  <c r="C492" i="38"/>
  <c r="C491" i="38"/>
  <c r="C490" i="38"/>
  <c r="C489" i="38"/>
  <c r="C488" i="38"/>
  <c r="C487" i="38"/>
  <c r="C486" i="38"/>
  <c r="C485" i="38"/>
  <c r="C484" i="38"/>
  <c r="C483" i="38"/>
  <c r="C482" i="38"/>
  <c r="C481" i="38"/>
  <c r="C480" i="38"/>
  <c r="C479" i="38"/>
  <c r="C478" i="38"/>
  <c r="C477" i="38"/>
  <c r="C476" i="38"/>
  <c r="C475" i="38"/>
  <c r="C474" i="38"/>
  <c r="C473" i="38"/>
  <c r="C472" i="38"/>
  <c r="C471" i="38"/>
  <c r="C470" i="38"/>
  <c r="C469" i="38"/>
  <c r="C468" i="38"/>
  <c r="C467" i="38"/>
  <c r="C466" i="38"/>
  <c r="C465" i="38"/>
  <c r="C464" i="38"/>
  <c r="C463" i="38"/>
  <c r="C462" i="38"/>
  <c r="C461" i="38"/>
  <c r="C460" i="38"/>
  <c r="C459" i="38"/>
  <c r="C458" i="38"/>
  <c r="C457" i="38"/>
  <c r="C456" i="38"/>
  <c r="C455" i="38"/>
  <c r="C454" i="38"/>
  <c r="C453" i="38"/>
  <c r="C452" i="38"/>
  <c r="C451" i="38"/>
  <c r="C450" i="38"/>
  <c r="C449" i="38"/>
  <c r="C448" i="38"/>
  <c r="C447" i="38"/>
  <c r="C446" i="38"/>
  <c r="C445" i="38"/>
  <c r="C444" i="38"/>
  <c r="C443" i="38"/>
  <c r="C442" i="38"/>
  <c r="C441" i="38"/>
  <c r="C440" i="38"/>
  <c r="C439" i="38"/>
  <c r="C438" i="38"/>
  <c r="C437" i="38"/>
  <c r="C436" i="38"/>
  <c r="C435" i="38"/>
  <c r="C434" i="38"/>
  <c r="C433" i="38"/>
  <c r="C432" i="38"/>
  <c r="C431" i="38"/>
  <c r="C430" i="38"/>
  <c r="C429" i="38"/>
  <c r="C428" i="38"/>
  <c r="C427" i="38"/>
  <c r="C426" i="38"/>
  <c r="C425" i="38"/>
  <c r="C424" i="38"/>
  <c r="C423" i="38"/>
  <c r="C422" i="38"/>
  <c r="C421" i="38"/>
  <c r="C420" i="38"/>
  <c r="C419" i="38"/>
  <c r="C418" i="38"/>
  <c r="C417" i="38"/>
  <c r="C416" i="38"/>
  <c r="C415" i="38"/>
  <c r="C414" i="38"/>
  <c r="C413" i="38"/>
  <c r="C412" i="38"/>
  <c r="C411" i="38"/>
  <c r="C410" i="38"/>
  <c r="C409" i="38"/>
  <c r="C408" i="38"/>
  <c r="C407" i="38"/>
  <c r="C406" i="38"/>
  <c r="C405" i="38"/>
  <c r="C404" i="38"/>
  <c r="C403" i="38"/>
  <c r="C402" i="38"/>
  <c r="C401" i="38"/>
  <c r="C400" i="38"/>
  <c r="C399" i="38"/>
  <c r="C398" i="38"/>
  <c r="C397" i="38"/>
  <c r="C396" i="38"/>
  <c r="C395" i="38"/>
  <c r="C394" i="38"/>
  <c r="C393" i="38"/>
  <c r="C392" i="38"/>
  <c r="C391" i="38"/>
  <c r="C390" i="38"/>
  <c r="C389" i="38"/>
  <c r="C388" i="38"/>
  <c r="C387" i="38"/>
  <c r="C386" i="38"/>
  <c r="C385" i="38"/>
  <c r="C384" i="38"/>
  <c r="C383" i="38"/>
  <c r="C382" i="38"/>
  <c r="C381" i="38"/>
  <c r="C380" i="38"/>
  <c r="C379" i="38"/>
  <c r="C378" i="38"/>
  <c r="C377" i="38"/>
  <c r="C376" i="38"/>
  <c r="C375" i="38"/>
  <c r="C374" i="38"/>
  <c r="C373" i="38"/>
  <c r="C372" i="38"/>
  <c r="C371" i="38"/>
  <c r="C370" i="38"/>
  <c r="C369" i="38"/>
  <c r="C368" i="38"/>
  <c r="C367" i="38"/>
  <c r="C366" i="38"/>
  <c r="C365" i="38"/>
  <c r="C364" i="38"/>
  <c r="C363" i="38"/>
  <c r="C362" i="38"/>
  <c r="C361" i="38"/>
  <c r="C360" i="38"/>
  <c r="C359" i="38"/>
  <c r="C358" i="38"/>
  <c r="C357" i="38"/>
  <c r="C356" i="38"/>
  <c r="C355" i="38"/>
  <c r="C354" i="38"/>
  <c r="C353" i="38"/>
  <c r="C352" i="38"/>
  <c r="C351" i="38"/>
  <c r="C350" i="38"/>
  <c r="C349" i="38"/>
  <c r="C348" i="38"/>
  <c r="C347" i="38"/>
  <c r="C346" i="38"/>
  <c r="C345" i="38"/>
  <c r="C344" i="38"/>
  <c r="C343" i="38"/>
  <c r="C342" i="38"/>
  <c r="C341" i="38"/>
  <c r="C340" i="38"/>
  <c r="C339" i="38"/>
  <c r="C338" i="38"/>
  <c r="C337" i="38"/>
  <c r="C336" i="38"/>
  <c r="C335" i="38"/>
  <c r="C334" i="38"/>
  <c r="C333" i="38"/>
  <c r="C332" i="38"/>
  <c r="C331" i="38"/>
  <c r="C330" i="38"/>
  <c r="C329" i="38"/>
  <c r="C328" i="38"/>
  <c r="C327" i="38"/>
  <c r="C326" i="38"/>
  <c r="C325" i="38"/>
  <c r="C324" i="38"/>
  <c r="C323" i="38"/>
  <c r="C322" i="38"/>
  <c r="C321" i="38"/>
  <c r="C320" i="38"/>
  <c r="C319" i="38"/>
  <c r="C318" i="38"/>
  <c r="C317" i="38"/>
  <c r="C316" i="38"/>
  <c r="C315" i="38"/>
  <c r="C314" i="38"/>
  <c r="C313" i="38"/>
  <c r="C312" i="38"/>
  <c r="C311" i="38"/>
  <c r="C310" i="38"/>
  <c r="C309" i="38"/>
  <c r="C308" i="38"/>
  <c r="C307" i="38"/>
  <c r="C306" i="38"/>
  <c r="C305" i="38"/>
  <c r="C304" i="38"/>
  <c r="C303" i="38"/>
  <c r="C302" i="38"/>
  <c r="C301" i="38"/>
  <c r="C300" i="38"/>
  <c r="C299" i="38"/>
  <c r="C298" i="38"/>
  <c r="C297" i="38"/>
  <c r="C296" i="38"/>
  <c r="C295" i="38"/>
  <c r="C294" i="38"/>
  <c r="C293" i="38"/>
  <c r="C292" i="38"/>
  <c r="C291" i="38"/>
  <c r="C290" i="38"/>
  <c r="C289" i="38"/>
  <c r="C288" i="38"/>
  <c r="C287" i="38"/>
  <c r="C286" i="38"/>
  <c r="C285" i="38"/>
  <c r="C284" i="38"/>
  <c r="C283" i="38"/>
  <c r="C282" i="38"/>
  <c r="C281" i="38"/>
  <c r="C280" i="38"/>
  <c r="C279" i="38"/>
  <c r="C278" i="38"/>
  <c r="C277" i="38"/>
  <c r="C276" i="38"/>
  <c r="C275" i="38"/>
  <c r="C274" i="38"/>
  <c r="C273" i="38"/>
  <c r="C272" i="38"/>
  <c r="C271" i="38"/>
  <c r="C270" i="38"/>
  <c r="C269" i="38"/>
  <c r="C268" i="38"/>
  <c r="C267" i="38"/>
  <c r="C266" i="38"/>
  <c r="C265" i="38"/>
  <c r="C264" i="38"/>
  <c r="C263" i="38"/>
  <c r="C262" i="38"/>
  <c r="C261" i="38"/>
  <c r="C260" i="38"/>
  <c r="C259" i="38"/>
  <c r="C258" i="38"/>
  <c r="C257" i="38"/>
  <c r="C256" i="38"/>
  <c r="C255" i="38"/>
  <c r="C254" i="38"/>
  <c r="C253" i="38"/>
  <c r="C252" i="38"/>
  <c r="C251" i="38"/>
  <c r="C250" i="38"/>
  <c r="C249" i="38"/>
  <c r="C248" i="38"/>
  <c r="C247" i="38"/>
  <c r="C246" i="38"/>
  <c r="C245" i="38"/>
  <c r="C244" i="38"/>
  <c r="C243" i="38"/>
  <c r="C242" i="38"/>
  <c r="C241" i="38"/>
  <c r="C240" i="38"/>
  <c r="C239" i="38"/>
  <c r="C238" i="38"/>
  <c r="C237" i="38"/>
  <c r="C236" i="38"/>
  <c r="C235" i="38"/>
  <c r="C234" i="38"/>
  <c r="C233" i="38"/>
  <c r="C232" i="38"/>
  <c r="C231" i="38"/>
  <c r="C230" i="38"/>
  <c r="C229" i="38"/>
  <c r="C228" i="38"/>
  <c r="C227" i="38"/>
  <c r="C226" i="38"/>
  <c r="C225" i="38"/>
  <c r="C224" i="38"/>
  <c r="C223" i="38"/>
  <c r="C222" i="38"/>
  <c r="C221" i="38"/>
  <c r="C220" i="38"/>
  <c r="C219" i="38"/>
  <c r="C218" i="38"/>
  <c r="C217" i="38"/>
  <c r="C216" i="38"/>
  <c r="C215" i="38"/>
  <c r="C214" i="38"/>
  <c r="C213" i="38"/>
  <c r="C212" i="38"/>
  <c r="C211" i="38"/>
  <c r="C210" i="38"/>
  <c r="C209" i="38"/>
  <c r="C208" i="38"/>
  <c r="C207" i="38"/>
  <c r="C206" i="38"/>
  <c r="C205" i="38"/>
  <c r="C204" i="38"/>
  <c r="C203" i="38"/>
  <c r="C202" i="38"/>
  <c r="C201" i="38"/>
  <c r="C200" i="38"/>
  <c r="C199" i="38"/>
  <c r="C198" i="38"/>
  <c r="C197" i="38"/>
  <c r="C196" i="38"/>
  <c r="C195" i="38"/>
  <c r="C194" i="38"/>
  <c r="C193" i="38"/>
  <c r="C192" i="38"/>
  <c r="C191" i="38"/>
  <c r="C190" i="38"/>
  <c r="C189" i="38"/>
  <c r="C188" i="38"/>
  <c r="C187" i="38"/>
  <c r="C186" i="38"/>
  <c r="C185" i="38"/>
  <c r="C184" i="38"/>
  <c r="C183" i="38"/>
  <c r="C182" i="38"/>
  <c r="C181" i="38"/>
  <c r="C180" i="38"/>
  <c r="C179" i="38"/>
  <c r="C178" i="38"/>
  <c r="C177" i="38"/>
  <c r="C176" i="38"/>
  <c r="C175" i="38"/>
  <c r="C174" i="38"/>
  <c r="C173" i="38"/>
  <c r="C172" i="38"/>
  <c r="C171" i="38"/>
  <c r="C170" i="38"/>
  <c r="C169" i="38"/>
  <c r="C168" i="38"/>
  <c r="C167" i="38"/>
  <c r="C166" i="38"/>
  <c r="C165" i="38"/>
  <c r="C164" i="38"/>
  <c r="C163" i="38"/>
  <c r="C162" i="38"/>
  <c r="C161" i="38"/>
  <c r="C160" i="38"/>
  <c r="C159" i="38"/>
  <c r="C158" i="38"/>
  <c r="C157" i="38"/>
  <c r="C156" i="38"/>
  <c r="C155" i="38"/>
  <c r="C154" i="38"/>
  <c r="C153" i="38"/>
  <c r="C152" i="38"/>
  <c r="C151" i="38"/>
  <c r="C150" i="38"/>
  <c r="C149" i="38"/>
  <c r="C148" i="38"/>
  <c r="C147" i="38"/>
  <c r="C146" i="38"/>
  <c r="C145" i="38"/>
  <c r="C144" i="38"/>
  <c r="C143" i="38"/>
  <c r="C142" i="38"/>
  <c r="C141" i="38"/>
  <c r="C140" i="38"/>
  <c r="C139" i="38"/>
  <c r="C138" i="38"/>
  <c r="C137" i="38"/>
  <c r="C136" i="38"/>
  <c r="C135" i="38"/>
  <c r="C134" i="38"/>
  <c r="C133" i="38"/>
  <c r="C132" i="38"/>
  <c r="C131" i="38"/>
  <c r="C130" i="38"/>
  <c r="C129" i="38"/>
  <c r="C128" i="38"/>
  <c r="C127" i="38"/>
  <c r="C126" i="38"/>
  <c r="C125" i="38"/>
  <c r="C124" i="38"/>
  <c r="C123" i="38"/>
  <c r="C122" i="38"/>
  <c r="C121" i="38"/>
  <c r="C120" i="38"/>
  <c r="C119" i="38"/>
  <c r="C118" i="38"/>
  <c r="C117" i="38"/>
  <c r="C116" i="38"/>
  <c r="C115" i="38"/>
  <c r="C114" i="38"/>
  <c r="C113" i="38"/>
  <c r="C112" i="38"/>
  <c r="C111" i="38"/>
  <c r="C110" i="38"/>
  <c r="C109" i="38"/>
  <c r="C108" i="38"/>
  <c r="C107" i="38"/>
  <c r="C106" i="38"/>
  <c r="C105" i="38"/>
  <c r="C104" i="38"/>
  <c r="C103" i="38"/>
  <c r="C102" i="38"/>
  <c r="C101" i="38"/>
  <c r="C100" i="38"/>
  <c r="C99" i="38"/>
  <c r="C98" i="38"/>
  <c r="C97" i="38"/>
  <c r="C96" i="38"/>
  <c r="C95" i="38"/>
  <c r="C94" i="38"/>
  <c r="C93" i="38"/>
  <c r="C92" i="38"/>
  <c r="C91" i="38"/>
  <c r="C90" i="38"/>
  <c r="C89" i="38"/>
  <c r="C88" i="38"/>
  <c r="C87" i="38"/>
  <c r="C86" i="38"/>
  <c r="C85" i="38"/>
  <c r="C84" i="38"/>
  <c r="C83" i="38"/>
  <c r="C82" i="38"/>
  <c r="C81" i="38"/>
  <c r="C80" i="38"/>
  <c r="C79" i="38"/>
  <c r="C78" i="38"/>
  <c r="C77" i="38"/>
  <c r="C76" i="38"/>
  <c r="C75" i="38"/>
  <c r="C74" i="38"/>
  <c r="C73" i="38"/>
  <c r="C72" i="38"/>
  <c r="C71" i="38"/>
  <c r="C70" i="38"/>
  <c r="C69" i="38"/>
  <c r="C68" i="38"/>
  <c r="C67" i="38"/>
  <c r="C66" i="38"/>
  <c r="C65" i="38"/>
  <c r="C64" i="38"/>
  <c r="C63" i="38"/>
  <c r="C62" i="38"/>
  <c r="C61" i="38"/>
  <c r="C60" i="38"/>
  <c r="C59" i="38"/>
  <c r="C58" i="38"/>
  <c r="C57" i="38"/>
  <c r="C56" i="38"/>
  <c r="C55" i="38"/>
  <c r="C54" i="38"/>
  <c r="C53" i="38"/>
  <c r="C52" i="38"/>
  <c r="C51" i="38"/>
  <c r="C50" i="38"/>
  <c r="C49" i="38"/>
  <c r="C48" i="38"/>
  <c r="C47" i="38"/>
  <c r="C46" i="38"/>
  <c r="C45" i="38"/>
  <c r="C44" i="38"/>
  <c r="C43" i="38"/>
  <c r="C42" i="38"/>
  <c r="C41" i="38"/>
  <c r="C40" i="38"/>
  <c r="C39" i="38"/>
  <c r="C38" i="38"/>
  <c r="C37" i="38"/>
  <c r="C36" i="38"/>
  <c r="C35" i="38"/>
  <c r="C34" i="38"/>
  <c r="C33" i="38"/>
  <c r="C32" i="38"/>
  <c r="C31" i="38"/>
  <c r="C30" i="38"/>
  <c r="C29" i="38"/>
  <c r="C28" i="38"/>
  <c r="C27" i="38"/>
  <c r="C26" i="38"/>
  <c r="C25" i="38"/>
  <c r="C24" i="38"/>
  <c r="C23" i="38"/>
  <c r="C22" i="38"/>
  <c r="C21" i="38"/>
  <c r="C20" i="38"/>
  <c r="C19" i="38"/>
  <c r="C18" i="38"/>
  <c r="C17" i="38"/>
  <c r="C16" i="38"/>
  <c r="C15" i="38"/>
  <c r="C14" i="38"/>
  <c r="C13" i="38"/>
  <c r="C12" i="38"/>
  <c r="C190" i="37"/>
  <c r="C189" i="37"/>
  <c r="C188" i="37"/>
  <c r="C187" i="37"/>
  <c r="C186" i="37"/>
  <c r="C185" i="37"/>
  <c r="C184" i="37"/>
  <c r="C183" i="37"/>
  <c r="C182" i="37"/>
  <c r="C181" i="37"/>
  <c r="C180" i="37"/>
  <c r="C179" i="37"/>
  <c r="C178" i="37"/>
  <c r="C177" i="37"/>
  <c r="C176" i="37"/>
  <c r="C175" i="37"/>
  <c r="C174" i="37"/>
  <c r="C173" i="37"/>
  <c r="C172" i="37"/>
  <c r="C171" i="37"/>
  <c r="C170" i="37"/>
  <c r="C169" i="37"/>
  <c r="C168" i="37"/>
  <c r="C167" i="37"/>
  <c r="C166" i="37"/>
  <c r="C165" i="37"/>
  <c r="C164" i="37"/>
  <c r="C163" i="37"/>
  <c r="C162" i="37"/>
  <c r="C161" i="37"/>
  <c r="C160" i="37"/>
  <c r="C159" i="37"/>
  <c r="C158" i="37"/>
  <c r="C157" i="37"/>
  <c r="C156" i="37"/>
  <c r="C155" i="37"/>
  <c r="C154" i="37"/>
  <c r="C153" i="37"/>
  <c r="C152" i="37"/>
  <c r="C151" i="37"/>
  <c r="C150" i="37"/>
  <c r="C149" i="37"/>
  <c r="C148" i="37"/>
  <c r="C147" i="37"/>
  <c r="C146" i="37"/>
  <c r="C145" i="37"/>
  <c r="C144" i="37"/>
  <c r="C143" i="37"/>
  <c r="C142" i="37"/>
  <c r="C141" i="37"/>
  <c r="C140" i="37"/>
  <c r="C139" i="37"/>
  <c r="C138" i="37"/>
  <c r="C137" i="37"/>
  <c r="C136" i="37"/>
  <c r="C135" i="37"/>
  <c r="C134" i="37"/>
  <c r="C133" i="37"/>
  <c r="C132" i="37"/>
  <c r="C131" i="37"/>
  <c r="C130" i="37"/>
  <c r="C129" i="37"/>
  <c r="C128" i="37"/>
  <c r="C127" i="37"/>
  <c r="C126" i="37"/>
  <c r="C125" i="37"/>
  <c r="C124" i="37"/>
  <c r="C123" i="37"/>
  <c r="C122" i="37"/>
  <c r="C121" i="37"/>
  <c r="C120" i="37"/>
  <c r="C119" i="37"/>
  <c r="C118" i="37"/>
  <c r="C117" i="37"/>
  <c r="C116" i="37"/>
  <c r="C115" i="37"/>
  <c r="C114" i="37"/>
  <c r="C113" i="37"/>
  <c r="C112" i="37"/>
  <c r="C111" i="37"/>
  <c r="C110" i="37"/>
  <c r="C109" i="37"/>
  <c r="C108" i="37"/>
  <c r="C107" i="37"/>
  <c r="C106" i="37"/>
  <c r="C105" i="37"/>
  <c r="C104" i="37"/>
  <c r="C103" i="37"/>
  <c r="C102" i="37"/>
  <c r="C101" i="37"/>
  <c r="C100" i="37"/>
  <c r="C99" i="37"/>
  <c r="C98" i="37"/>
  <c r="C97" i="37"/>
  <c r="C96" i="37"/>
  <c r="C95" i="37"/>
  <c r="C94" i="37"/>
  <c r="C93" i="37"/>
  <c r="C92" i="37"/>
  <c r="C91" i="37"/>
  <c r="C90" i="37"/>
  <c r="C89" i="37"/>
  <c r="C88" i="37"/>
  <c r="C87" i="37"/>
  <c r="C86" i="37"/>
  <c r="C85" i="37"/>
  <c r="C84" i="37"/>
  <c r="C83" i="37"/>
  <c r="C82" i="37"/>
  <c r="C81" i="37"/>
  <c r="C80" i="37"/>
  <c r="C79" i="37"/>
  <c r="C78" i="37"/>
  <c r="C77" i="37"/>
  <c r="C76" i="37"/>
  <c r="C75" i="37"/>
  <c r="C74" i="37"/>
  <c r="C73" i="37"/>
  <c r="C72" i="37"/>
  <c r="C71" i="37"/>
  <c r="C70" i="37"/>
  <c r="C69" i="37"/>
  <c r="C68" i="37"/>
  <c r="C67" i="37"/>
  <c r="C66" i="37"/>
  <c r="C65" i="37"/>
  <c r="C64" i="37"/>
  <c r="C63" i="37"/>
  <c r="C62" i="37"/>
  <c r="C61" i="37"/>
  <c r="C60" i="37"/>
  <c r="C59" i="37"/>
  <c r="C58" i="37"/>
  <c r="C57" i="37"/>
  <c r="C56" i="37"/>
  <c r="C55" i="37"/>
  <c r="C54" i="37"/>
  <c r="C53" i="37"/>
  <c r="C52" i="37"/>
  <c r="C51" i="37"/>
  <c r="C50" i="37"/>
  <c r="C49" i="37"/>
  <c r="C48" i="37"/>
  <c r="C47" i="37"/>
  <c r="C46" i="37"/>
  <c r="C45" i="37"/>
  <c r="C44" i="37"/>
  <c r="C43" i="37"/>
  <c r="C42" i="37"/>
  <c r="C41" i="37"/>
  <c r="C40" i="37"/>
  <c r="C39" i="37"/>
  <c r="C38" i="37"/>
  <c r="C37" i="37"/>
  <c r="C36" i="37"/>
  <c r="C35" i="37"/>
  <c r="C34" i="37"/>
  <c r="C33" i="37"/>
  <c r="C32" i="37"/>
  <c r="C31" i="37"/>
  <c r="C30" i="37"/>
  <c r="C29" i="37"/>
  <c r="C28" i="37"/>
  <c r="C27" i="37"/>
  <c r="C26" i="37"/>
  <c r="C25" i="37"/>
  <c r="C24" i="37"/>
  <c r="C23" i="37"/>
  <c r="C22" i="37"/>
  <c r="C21" i="37"/>
  <c r="C20" i="37"/>
  <c r="C19" i="37"/>
  <c r="C18" i="37"/>
  <c r="C17" i="37"/>
  <c r="C16" i="37"/>
  <c r="C15" i="37"/>
  <c r="C14" i="37"/>
  <c r="C13" i="37"/>
  <c r="C12" i="37"/>
  <c r="B2" i="37"/>
  <c r="C98" i="36"/>
  <c r="C97" i="36"/>
  <c r="C96" i="36"/>
  <c r="C95" i="36"/>
  <c r="C94" i="36"/>
  <c r="C93" i="36"/>
  <c r="C92" i="36"/>
  <c r="C91" i="36"/>
  <c r="C90" i="36"/>
  <c r="C89" i="36"/>
  <c r="C88" i="36"/>
  <c r="C87" i="36"/>
  <c r="C86" i="36"/>
  <c r="C85" i="36"/>
  <c r="C84" i="36"/>
  <c r="C83" i="36"/>
  <c r="C82" i="36"/>
  <c r="C81" i="36"/>
  <c r="C80" i="36"/>
  <c r="C79" i="36"/>
  <c r="C78" i="36"/>
  <c r="C77" i="36"/>
  <c r="C76" i="36"/>
  <c r="C75" i="36"/>
  <c r="C74" i="36"/>
  <c r="C73" i="36"/>
  <c r="C72" i="36"/>
  <c r="C71" i="36"/>
  <c r="C70" i="36"/>
  <c r="C69" i="36"/>
  <c r="C68" i="36"/>
  <c r="C67" i="36"/>
  <c r="C66" i="36"/>
  <c r="C65" i="36"/>
  <c r="C64" i="36"/>
  <c r="C63" i="36"/>
  <c r="C62" i="36"/>
  <c r="C61" i="36"/>
  <c r="C60" i="36"/>
  <c r="C59" i="36"/>
  <c r="C58" i="36"/>
  <c r="C57" i="36"/>
  <c r="C56" i="36"/>
  <c r="C55" i="36"/>
  <c r="C54" i="36"/>
  <c r="C53" i="36"/>
  <c r="C52" i="36"/>
  <c r="C51" i="36"/>
  <c r="C50" i="36"/>
  <c r="C49" i="36"/>
  <c r="C48" i="36"/>
  <c r="C47" i="36"/>
  <c r="C46" i="36"/>
  <c r="C45" i="36"/>
  <c r="C44" i="36"/>
  <c r="C43" i="36"/>
  <c r="C42" i="36"/>
  <c r="C41" i="36"/>
  <c r="C40" i="36"/>
  <c r="C39" i="36"/>
  <c r="C38" i="36"/>
  <c r="C37" i="36"/>
  <c r="C36" i="36"/>
  <c r="C35" i="36"/>
  <c r="C34" i="36"/>
  <c r="C33" i="36"/>
  <c r="C32" i="36"/>
  <c r="C31" i="36"/>
  <c r="C30" i="36"/>
  <c r="C29" i="36"/>
  <c r="C28" i="36"/>
  <c r="C27" i="36"/>
  <c r="C26" i="36"/>
  <c r="C25" i="36"/>
  <c r="C24" i="36"/>
  <c r="C23" i="36"/>
  <c r="C22" i="36"/>
  <c r="C21" i="36"/>
  <c r="C20" i="36"/>
  <c r="C19" i="36"/>
  <c r="C18" i="36"/>
  <c r="C17" i="36"/>
  <c r="C16" i="36"/>
  <c r="C15" i="36"/>
  <c r="C14" i="36"/>
  <c r="C13" i="36"/>
  <c r="C12" i="36"/>
  <c r="B2" i="36"/>
  <c r="C238" i="35"/>
  <c r="C237" i="35"/>
  <c r="C236" i="35"/>
  <c r="C235" i="35"/>
  <c r="C234" i="35"/>
  <c r="C233" i="35"/>
  <c r="C232" i="35"/>
  <c r="C231" i="35"/>
  <c r="C230" i="35"/>
  <c r="C229" i="35"/>
  <c r="C228" i="35"/>
  <c r="C227" i="35"/>
  <c r="C226" i="35"/>
  <c r="C225" i="35"/>
  <c r="C224" i="35"/>
  <c r="C223" i="35"/>
  <c r="C222" i="35"/>
  <c r="C221" i="35"/>
  <c r="C220" i="35"/>
  <c r="C219" i="35"/>
  <c r="C218" i="35"/>
  <c r="C217" i="35"/>
  <c r="C216" i="35"/>
  <c r="C215" i="35"/>
  <c r="C214" i="35"/>
  <c r="C213" i="35"/>
  <c r="C212" i="35"/>
  <c r="C211" i="35"/>
  <c r="C210" i="35"/>
  <c r="C209" i="35"/>
  <c r="C208" i="35"/>
  <c r="C207" i="35"/>
  <c r="C206" i="35"/>
  <c r="C205" i="35"/>
  <c r="C204" i="35"/>
  <c r="C203" i="35"/>
  <c r="C202" i="35"/>
  <c r="C201" i="35"/>
  <c r="C200" i="35"/>
  <c r="C199" i="35"/>
  <c r="C198" i="35"/>
  <c r="C197" i="35"/>
  <c r="C196" i="35"/>
  <c r="C195" i="35"/>
  <c r="C194" i="35"/>
  <c r="C193" i="35"/>
  <c r="C192" i="35"/>
  <c r="C191" i="35"/>
  <c r="C190" i="35"/>
  <c r="C189" i="35"/>
  <c r="C188" i="35"/>
  <c r="C187" i="35"/>
  <c r="C186" i="35"/>
  <c r="C185" i="35"/>
  <c r="C184" i="35"/>
  <c r="C183" i="35"/>
  <c r="C182" i="35"/>
  <c r="C181" i="35"/>
  <c r="C180" i="35"/>
  <c r="C179" i="35"/>
  <c r="C178" i="35"/>
  <c r="C177" i="35"/>
  <c r="C176" i="35"/>
  <c r="C175" i="35"/>
  <c r="C174" i="35"/>
  <c r="C173" i="35"/>
  <c r="C172" i="35"/>
  <c r="C171" i="35"/>
  <c r="C170" i="35"/>
  <c r="C169" i="35"/>
  <c r="C168" i="35"/>
  <c r="C167" i="35"/>
  <c r="C166" i="35"/>
  <c r="C165" i="35"/>
  <c r="C164" i="35"/>
  <c r="C163" i="35"/>
  <c r="C162" i="35"/>
  <c r="C161" i="35"/>
  <c r="C160" i="35"/>
  <c r="C159" i="35"/>
  <c r="C158" i="35"/>
  <c r="C157" i="35"/>
  <c r="C156" i="35"/>
  <c r="C155" i="35"/>
  <c r="C154" i="35"/>
  <c r="C153" i="35"/>
  <c r="C152" i="35"/>
  <c r="C151" i="35"/>
  <c r="C150" i="35"/>
  <c r="C149" i="35"/>
  <c r="C148" i="35"/>
  <c r="C147" i="35"/>
  <c r="C146" i="35"/>
  <c r="C145" i="35"/>
  <c r="C144" i="35"/>
  <c r="C143" i="35"/>
  <c r="C142" i="35"/>
  <c r="C141" i="35"/>
  <c r="C140" i="35"/>
  <c r="C139" i="35"/>
  <c r="C138" i="35"/>
  <c r="C137" i="35"/>
  <c r="C136" i="35"/>
  <c r="C135" i="35"/>
  <c r="C134" i="35"/>
  <c r="C133" i="35"/>
  <c r="C132" i="35"/>
  <c r="C131" i="35"/>
  <c r="C130" i="35"/>
  <c r="C129" i="35"/>
  <c r="C128" i="35"/>
  <c r="C127" i="35"/>
  <c r="C126" i="35"/>
  <c r="C125" i="35"/>
  <c r="C124" i="35"/>
  <c r="C123" i="35"/>
  <c r="C122" i="35"/>
  <c r="C121" i="35"/>
  <c r="C120" i="35"/>
  <c r="C119" i="35"/>
  <c r="C118" i="35"/>
  <c r="C117" i="35"/>
  <c r="C116" i="35"/>
  <c r="C115" i="35"/>
  <c r="C114" i="35"/>
  <c r="C113" i="35"/>
  <c r="C112" i="35"/>
  <c r="C111" i="35"/>
  <c r="C110" i="35"/>
  <c r="C109" i="35"/>
  <c r="C108" i="35"/>
  <c r="C107" i="35"/>
  <c r="C106" i="35"/>
  <c r="C105" i="35"/>
  <c r="C104" i="35"/>
  <c r="C103" i="35"/>
  <c r="C102" i="35"/>
  <c r="C101" i="35"/>
  <c r="C100" i="35"/>
  <c r="C99" i="35"/>
  <c r="C98" i="35"/>
  <c r="C97" i="35"/>
  <c r="C96" i="35"/>
  <c r="C95" i="35"/>
  <c r="C94" i="35"/>
  <c r="C93" i="35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B2" i="35"/>
  <c r="C297" i="34"/>
  <c r="C296" i="34"/>
  <c r="C295" i="34"/>
  <c r="C294" i="34"/>
  <c r="C293" i="34"/>
  <c r="C292" i="34"/>
  <c r="C291" i="34"/>
  <c r="C290" i="34"/>
  <c r="C289" i="34"/>
  <c r="C288" i="34"/>
  <c r="C287" i="34"/>
  <c r="C286" i="34"/>
  <c r="C285" i="34"/>
  <c r="C284" i="34"/>
  <c r="C283" i="34"/>
  <c r="C282" i="34"/>
  <c r="C281" i="34"/>
  <c r="C280" i="34"/>
  <c r="C279" i="34"/>
  <c r="C278" i="34"/>
  <c r="C277" i="34"/>
  <c r="C276" i="34"/>
  <c r="C275" i="34"/>
  <c r="C274" i="34"/>
  <c r="C273" i="34"/>
  <c r="C272" i="34"/>
  <c r="C271" i="34"/>
  <c r="C270" i="34"/>
  <c r="C269" i="34"/>
  <c r="C268" i="34"/>
  <c r="C267" i="34"/>
  <c r="C266" i="34"/>
  <c r="C265" i="34"/>
  <c r="C264" i="34"/>
  <c r="C263" i="34"/>
  <c r="C262" i="34"/>
  <c r="C261" i="34"/>
  <c r="C260" i="34"/>
  <c r="C259" i="34"/>
  <c r="C258" i="34"/>
  <c r="C257" i="34"/>
  <c r="C256" i="34"/>
  <c r="C255" i="34"/>
  <c r="C254" i="34"/>
  <c r="C253" i="34"/>
  <c r="C252" i="34"/>
  <c r="C251" i="34"/>
  <c r="C250" i="34"/>
  <c r="C249" i="34"/>
  <c r="C248" i="34"/>
  <c r="C247" i="34"/>
  <c r="C246" i="34"/>
  <c r="C245" i="34"/>
  <c r="C244" i="34"/>
  <c r="C243" i="34"/>
  <c r="C242" i="34"/>
  <c r="C241" i="34"/>
  <c r="C240" i="34"/>
  <c r="C239" i="34"/>
  <c r="C238" i="34"/>
  <c r="C237" i="34"/>
  <c r="C236" i="34"/>
  <c r="C235" i="34"/>
  <c r="C234" i="34"/>
  <c r="C233" i="34"/>
  <c r="C232" i="34"/>
  <c r="C231" i="34"/>
  <c r="C230" i="34"/>
  <c r="C229" i="34"/>
  <c r="C228" i="34"/>
  <c r="C227" i="34"/>
  <c r="C226" i="34"/>
  <c r="C225" i="34"/>
  <c r="C224" i="34"/>
  <c r="C223" i="34"/>
  <c r="C222" i="34"/>
  <c r="C221" i="34"/>
  <c r="C220" i="34"/>
  <c r="C219" i="34"/>
  <c r="C218" i="34"/>
  <c r="C217" i="34"/>
  <c r="C216" i="34"/>
  <c r="C215" i="34"/>
  <c r="C214" i="34"/>
  <c r="C213" i="34"/>
  <c r="C212" i="34"/>
  <c r="C211" i="34"/>
  <c r="C210" i="34"/>
  <c r="C209" i="34"/>
  <c r="C208" i="34"/>
  <c r="C207" i="34"/>
  <c r="C206" i="34"/>
  <c r="C205" i="34"/>
  <c r="C204" i="34"/>
  <c r="C203" i="34"/>
  <c r="C202" i="34"/>
  <c r="C201" i="34"/>
  <c r="C200" i="34"/>
  <c r="C199" i="34"/>
  <c r="C198" i="34"/>
  <c r="C197" i="34"/>
  <c r="C196" i="34"/>
  <c r="C195" i="34"/>
  <c r="C194" i="34"/>
  <c r="C193" i="34"/>
  <c r="C192" i="34"/>
  <c r="C191" i="34"/>
  <c r="C190" i="34"/>
  <c r="C189" i="34"/>
  <c r="C188" i="34"/>
  <c r="C187" i="34"/>
  <c r="C186" i="34"/>
  <c r="C185" i="34"/>
  <c r="C184" i="34"/>
  <c r="C183" i="34"/>
  <c r="C182" i="34"/>
  <c r="C181" i="34"/>
  <c r="C180" i="34"/>
  <c r="C179" i="34"/>
  <c r="C178" i="34"/>
  <c r="C177" i="34"/>
  <c r="C176" i="34"/>
  <c r="C175" i="34"/>
  <c r="C174" i="34"/>
  <c r="C173" i="34"/>
  <c r="C172" i="34"/>
  <c r="C171" i="34"/>
  <c r="C170" i="34"/>
  <c r="C169" i="34"/>
  <c r="C168" i="34"/>
  <c r="C167" i="34"/>
  <c r="C166" i="34"/>
  <c r="C165" i="34"/>
  <c r="C164" i="34"/>
  <c r="C163" i="34"/>
  <c r="C162" i="34"/>
  <c r="C161" i="34"/>
  <c r="C160" i="34"/>
  <c r="C159" i="34"/>
  <c r="C158" i="34"/>
  <c r="C157" i="34"/>
  <c r="C156" i="34"/>
  <c r="C155" i="34"/>
  <c r="C154" i="34"/>
  <c r="C153" i="34"/>
  <c r="C152" i="34"/>
  <c r="C151" i="34"/>
  <c r="C150" i="34"/>
  <c r="C149" i="34"/>
  <c r="C148" i="34"/>
  <c r="C147" i="34"/>
  <c r="C146" i="34"/>
  <c r="C145" i="34"/>
  <c r="C144" i="34"/>
  <c r="C143" i="34"/>
  <c r="C142" i="34"/>
  <c r="C141" i="34"/>
  <c r="C140" i="34"/>
  <c r="C139" i="34"/>
  <c r="C138" i="34"/>
  <c r="C137" i="34"/>
  <c r="C136" i="34"/>
  <c r="C135" i="34"/>
  <c r="C134" i="34"/>
  <c r="C133" i="34"/>
  <c r="C132" i="34"/>
  <c r="C131" i="34"/>
  <c r="C130" i="34"/>
  <c r="C129" i="34"/>
  <c r="C128" i="34"/>
  <c r="C127" i="34"/>
  <c r="C126" i="34"/>
  <c r="C125" i="34"/>
  <c r="C124" i="34"/>
  <c r="C123" i="34"/>
  <c r="C122" i="34"/>
  <c r="C121" i="34"/>
  <c r="C120" i="34"/>
  <c r="C119" i="34"/>
  <c r="C118" i="34"/>
  <c r="C117" i="34"/>
  <c r="C116" i="34"/>
  <c r="C115" i="34"/>
  <c r="C114" i="34"/>
  <c r="C113" i="34"/>
  <c r="C112" i="34"/>
  <c r="C111" i="34"/>
  <c r="C110" i="34"/>
  <c r="C109" i="34"/>
  <c r="C108" i="34"/>
  <c r="C107" i="34"/>
  <c r="C106" i="34"/>
  <c r="C105" i="34"/>
  <c r="C104" i="34"/>
  <c r="C103" i="34"/>
  <c r="C102" i="34"/>
  <c r="C101" i="34"/>
  <c r="C100" i="34"/>
  <c r="C99" i="34"/>
  <c r="C98" i="34"/>
  <c r="C97" i="34"/>
  <c r="C96" i="34"/>
  <c r="C95" i="34"/>
  <c r="C94" i="34"/>
  <c r="C93" i="34"/>
  <c r="C92" i="34"/>
  <c r="C91" i="34"/>
  <c r="C90" i="34"/>
  <c r="C89" i="34"/>
  <c r="C88" i="34"/>
  <c r="C87" i="34"/>
  <c r="C86" i="34"/>
  <c r="C85" i="34"/>
  <c r="C84" i="34"/>
  <c r="C83" i="34"/>
  <c r="C82" i="34"/>
  <c r="C81" i="34"/>
  <c r="C80" i="34"/>
  <c r="C79" i="34"/>
  <c r="C78" i="34"/>
  <c r="C77" i="34"/>
  <c r="C76" i="34"/>
  <c r="C75" i="34"/>
  <c r="C74" i="34"/>
  <c r="C73" i="34"/>
  <c r="C72" i="34"/>
  <c r="C71" i="34"/>
  <c r="C70" i="34"/>
  <c r="C69" i="34"/>
  <c r="C68" i="34"/>
  <c r="C67" i="34"/>
  <c r="C66" i="34"/>
  <c r="C65" i="34"/>
  <c r="C64" i="34"/>
  <c r="C63" i="34"/>
  <c r="C62" i="34"/>
  <c r="C61" i="34"/>
  <c r="C60" i="34"/>
  <c r="C59" i="34"/>
  <c r="C58" i="34"/>
  <c r="C57" i="34"/>
  <c r="C56" i="34"/>
  <c r="C55" i="34"/>
  <c r="C54" i="34"/>
  <c r="C53" i="34"/>
  <c r="C52" i="34"/>
  <c r="C51" i="34"/>
  <c r="C50" i="34"/>
  <c r="C49" i="34"/>
  <c r="C48" i="34"/>
  <c r="C47" i="34"/>
  <c r="C46" i="34"/>
  <c r="C45" i="34"/>
  <c r="C44" i="34"/>
  <c r="C43" i="34"/>
  <c r="C42" i="34"/>
  <c r="C41" i="34"/>
  <c r="C40" i="34"/>
  <c r="C39" i="34"/>
  <c r="C38" i="34"/>
  <c r="C37" i="34"/>
  <c r="C36" i="34"/>
  <c r="C35" i="34"/>
  <c r="C34" i="34"/>
  <c r="C33" i="34"/>
  <c r="C32" i="34"/>
  <c r="C31" i="34"/>
  <c r="C30" i="34"/>
  <c r="C29" i="34"/>
  <c r="C28" i="34"/>
  <c r="C27" i="34"/>
  <c r="C26" i="34"/>
  <c r="C25" i="34"/>
  <c r="C24" i="34"/>
  <c r="C23" i="34"/>
  <c r="C22" i="34"/>
  <c r="C21" i="34"/>
  <c r="C20" i="34"/>
  <c r="C19" i="34"/>
  <c r="C18" i="34"/>
  <c r="C17" i="34"/>
  <c r="C16" i="34"/>
  <c r="C15" i="34"/>
  <c r="C14" i="34"/>
  <c r="C13" i="34"/>
  <c r="C12" i="34"/>
  <c r="B2" i="34"/>
  <c r="C120" i="33"/>
  <c r="C119" i="33"/>
  <c r="C118" i="33"/>
  <c r="C117" i="33"/>
  <c r="C116" i="33"/>
  <c r="C115" i="33"/>
  <c r="C114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C101" i="33"/>
  <c r="C100" i="33"/>
  <c r="C99" i="33"/>
  <c r="C98" i="33"/>
  <c r="C97" i="33"/>
  <c r="C96" i="33"/>
  <c r="C95" i="33"/>
  <c r="C94" i="33"/>
  <c r="C93" i="33"/>
  <c r="C92" i="33"/>
  <c r="C91" i="33"/>
  <c r="C90" i="33"/>
  <c r="C89" i="33"/>
  <c r="C88" i="33"/>
  <c r="C87" i="33"/>
  <c r="C86" i="33"/>
  <c r="C85" i="33"/>
  <c r="C84" i="33"/>
  <c r="C83" i="33"/>
  <c r="C82" i="33"/>
  <c r="C81" i="33"/>
  <c r="C80" i="33"/>
  <c r="C79" i="33"/>
  <c r="C78" i="33"/>
  <c r="C77" i="33"/>
  <c r="C76" i="33"/>
  <c r="C75" i="33"/>
  <c r="C74" i="33"/>
  <c r="C73" i="33"/>
  <c r="C72" i="33"/>
  <c r="C71" i="33"/>
  <c r="C70" i="33"/>
  <c r="C69" i="33"/>
  <c r="C68" i="33"/>
  <c r="C67" i="33"/>
  <c r="C66" i="33"/>
  <c r="C65" i="33"/>
  <c r="C64" i="33"/>
  <c r="C63" i="33"/>
  <c r="C62" i="33"/>
  <c r="C61" i="33"/>
  <c r="C60" i="33"/>
  <c r="C59" i="33"/>
  <c r="C58" i="33"/>
  <c r="C57" i="33"/>
  <c r="C56" i="33"/>
  <c r="C55" i="33"/>
  <c r="C54" i="33"/>
  <c r="C53" i="33"/>
  <c r="C52" i="33"/>
  <c r="C51" i="33"/>
  <c r="C50" i="33"/>
  <c r="C49" i="33"/>
  <c r="C48" i="33"/>
  <c r="C47" i="33"/>
  <c r="C46" i="33"/>
  <c r="C45" i="33"/>
  <c r="C44" i="33"/>
  <c r="C43" i="33"/>
  <c r="C42" i="33"/>
  <c r="C41" i="33"/>
  <c r="C40" i="33"/>
  <c r="C39" i="33"/>
  <c r="C38" i="33"/>
  <c r="C37" i="33"/>
  <c r="C36" i="33"/>
  <c r="C35" i="33"/>
  <c r="C34" i="33"/>
  <c r="C33" i="33"/>
  <c r="C32" i="33"/>
  <c r="C31" i="33"/>
  <c r="C30" i="33"/>
  <c r="C29" i="33"/>
  <c r="C28" i="33"/>
  <c r="C27" i="33"/>
  <c r="C26" i="33"/>
  <c r="C25" i="33"/>
  <c r="C24" i="33"/>
  <c r="C23" i="33"/>
  <c r="C22" i="33"/>
  <c r="C21" i="33"/>
  <c r="C20" i="33"/>
  <c r="C19" i="33"/>
  <c r="C18" i="33"/>
  <c r="C17" i="33"/>
  <c r="C16" i="33"/>
  <c r="C15" i="33"/>
  <c r="C14" i="33"/>
  <c r="C13" i="33"/>
  <c r="C12" i="33"/>
  <c r="B2" i="33"/>
  <c r="C166" i="32"/>
  <c r="C165" i="32"/>
  <c r="C164" i="32"/>
  <c r="C163" i="32"/>
  <c r="C162" i="32"/>
  <c r="C161" i="32"/>
  <c r="C160" i="32"/>
  <c r="C159" i="32"/>
  <c r="C158" i="32"/>
  <c r="C157" i="32"/>
  <c r="C156" i="32"/>
  <c r="C155" i="32"/>
  <c r="C154" i="32"/>
  <c r="C153" i="32"/>
  <c r="C152" i="32"/>
  <c r="C151" i="32"/>
  <c r="C150" i="32"/>
  <c r="C149" i="32"/>
  <c r="C148" i="32"/>
  <c r="C147" i="32"/>
  <c r="C146" i="32"/>
  <c r="C145" i="32"/>
  <c r="C144" i="32"/>
  <c r="C143" i="32"/>
  <c r="C142" i="32"/>
  <c r="C141" i="32"/>
  <c r="C140" i="32"/>
  <c r="C139" i="32"/>
  <c r="C138" i="32"/>
  <c r="C137" i="32"/>
  <c r="C136" i="32"/>
  <c r="C135" i="32"/>
  <c r="C134" i="32"/>
  <c r="C133" i="32"/>
  <c r="C132" i="32"/>
  <c r="C131" i="32"/>
  <c r="C130" i="32"/>
  <c r="C129" i="32"/>
  <c r="C128" i="32"/>
  <c r="C127" i="32"/>
  <c r="C126" i="32"/>
  <c r="C125" i="32"/>
  <c r="C124" i="32"/>
  <c r="C123" i="32"/>
  <c r="C122" i="32"/>
  <c r="C121" i="32"/>
  <c r="C120" i="32"/>
  <c r="C119" i="32"/>
  <c r="C118" i="32"/>
  <c r="C117" i="32"/>
  <c r="C116" i="32"/>
  <c r="C115" i="32"/>
  <c r="C114" i="32"/>
  <c r="C113" i="32"/>
  <c r="C112" i="32"/>
  <c r="C111" i="32"/>
  <c r="C110" i="32"/>
  <c r="C109" i="32"/>
  <c r="C108" i="32"/>
  <c r="C107" i="32"/>
  <c r="C106" i="32"/>
  <c r="C105" i="32"/>
  <c r="C104" i="32"/>
  <c r="C103" i="32"/>
  <c r="C102" i="32"/>
  <c r="C101" i="32"/>
  <c r="C100" i="32"/>
  <c r="C99" i="32"/>
  <c r="C98" i="32"/>
  <c r="C97" i="32"/>
  <c r="C96" i="32"/>
  <c r="C95" i="32"/>
  <c r="C94" i="32"/>
  <c r="C93" i="32"/>
  <c r="C92" i="32"/>
  <c r="C91" i="32"/>
  <c r="C90" i="32"/>
  <c r="C89" i="32"/>
  <c r="C88" i="32"/>
  <c r="C87" i="32"/>
  <c r="C86" i="32"/>
  <c r="C85" i="32"/>
  <c r="C84" i="32"/>
  <c r="C83" i="32"/>
  <c r="C82" i="32"/>
  <c r="C81" i="32"/>
  <c r="C80" i="32"/>
  <c r="C79" i="32"/>
  <c r="C78" i="32"/>
  <c r="C77" i="32"/>
  <c r="C76" i="32"/>
  <c r="C75" i="32"/>
  <c r="C74" i="32"/>
  <c r="C73" i="32"/>
  <c r="C72" i="32"/>
  <c r="C71" i="32"/>
  <c r="C70" i="32"/>
  <c r="C69" i="32"/>
  <c r="C68" i="32"/>
  <c r="C67" i="32"/>
  <c r="C66" i="32"/>
  <c r="C65" i="32"/>
  <c r="C64" i="32"/>
  <c r="C63" i="32"/>
  <c r="C62" i="32"/>
  <c r="C61" i="32"/>
  <c r="C60" i="32"/>
  <c r="C59" i="32"/>
  <c r="C58" i="32"/>
  <c r="C57" i="32"/>
  <c r="C56" i="32"/>
  <c r="C55" i="32"/>
  <c r="C54" i="32"/>
  <c r="C53" i="32"/>
  <c r="C52" i="32"/>
  <c r="C51" i="32"/>
  <c r="C50" i="32"/>
  <c r="C49" i="32"/>
  <c r="C48" i="32"/>
  <c r="C47" i="32"/>
  <c r="C46" i="32"/>
  <c r="C45" i="32"/>
  <c r="C44" i="32"/>
  <c r="C43" i="32"/>
  <c r="C42" i="32"/>
  <c r="C41" i="32"/>
  <c r="C40" i="32"/>
  <c r="C39" i="32"/>
  <c r="C38" i="32"/>
  <c r="C37" i="32"/>
  <c r="C36" i="32"/>
  <c r="C35" i="32"/>
  <c r="C34" i="32"/>
  <c r="C33" i="32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B2" i="32"/>
  <c r="C103" i="31"/>
  <c r="C102" i="31"/>
  <c r="C101" i="31"/>
  <c r="C100" i="31"/>
  <c r="C99" i="31"/>
  <c r="C98" i="31"/>
  <c r="C97" i="31"/>
  <c r="C96" i="31"/>
  <c r="C95" i="31"/>
  <c r="C94" i="31"/>
  <c r="C93" i="31"/>
  <c r="C92" i="31"/>
  <c r="C91" i="31"/>
  <c r="C90" i="31"/>
  <c r="C89" i="31"/>
  <c r="C88" i="31"/>
  <c r="C87" i="31"/>
  <c r="C86" i="31"/>
  <c r="C85" i="31"/>
  <c r="C84" i="31"/>
  <c r="C83" i="31"/>
  <c r="C82" i="31"/>
  <c r="C81" i="31"/>
  <c r="C80" i="31"/>
  <c r="C79" i="31"/>
  <c r="C78" i="31"/>
  <c r="C77" i="31"/>
  <c r="C76" i="31"/>
  <c r="C75" i="31"/>
  <c r="C74" i="31"/>
  <c r="C73" i="31"/>
  <c r="C72" i="31"/>
  <c r="C71" i="31"/>
  <c r="C70" i="31"/>
  <c r="C69" i="31"/>
  <c r="C68" i="31"/>
  <c r="C67" i="31"/>
  <c r="C66" i="31"/>
  <c r="C65" i="31"/>
  <c r="C64" i="31"/>
  <c r="C63" i="31"/>
  <c r="C62" i="31"/>
  <c r="C61" i="31"/>
  <c r="C60" i="31"/>
  <c r="C59" i="31"/>
  <c r="C58" i="31"/>
  <c r="C57" i="31"/>
  <c r="C56" i="31"/>
  <c r="C55" i="31"/>
  <c r="C54" i="31"/>
  <c r="C53" i="31"/>
  <c r="C52" i="31"/>
  <c r="C51" i="31"/>
  <c r="C50" i="31"/>
  <c r="C49" i="31"/>
  <c r="C48" i="31"/>
  <c r="C47" i="31"/>
  <c r="C46" i="31"/>
  <c r="C45" i="31"/>
  <c r="C44" i="31"/>
  <c r="C43" i="31"/>
  <c r="C42" i="31"/>
  <c r="C41" i="31"/>
  <c r="C40" i="31"/>
  <c r="C39" i="31"/>
  <c r="C38" i="31"/>
  <c r="C37" i="31"/>
  <c r="C36" i="31"/>
  <c r="C35" i="31"/>
  <c r="C34" i="31"/>
  <c r="C33" i="31"/>
  <c r="C32" i="31"/>
  <c r="C31" i="31"/>
  <c r="C30" i="31"/>
  <c r="C29" i="31"/>
  <c r="C28" i="31"/>
  <c r="C27" i="31"/>
  <c r="C26" i="31"/>
  <c r="C25" i="31"/>
  <c r="C24" i="31"/>
  <c r="C23" i="31"/>
  <c r="C22" i="31"/>
  <c r="C21" i="31"/>
  <c r="C20" i="31"/>
  <c r="C19" i="31"/>
  <c r="C18" i="31"/>
  <c r="C17" i="31"/>
  <c r="C16" i="31"/>
  <c r="C15" i="31"/>
  <c r="C14" i="31"/>
  <c r="C13" i="31"/>
  <c r="C12" i="31"/>
  <c r="C122" i="30"/>
  <c r="C121" i="30"/>
  <c r="C120" i="30"/>
  <c r="C119" i="30"/>
  <c r="C118" i="30"/>
  <c r="C117" i="30"/>
  <c r="C116" i="30"/>
  <c r="C115" i="30"/>
  <c r="C114" i="30"/>
  <c r="C113" i="30"/>
  <c r="C112" i="30"/>
  <c r="C111" i="30"/>
  <c r="C110" i="30"/>
  <c r="C109" i="30"/>
  <c r="C108" i="30"/>
  <c r="C107" i="30"/>
  <c r="C106" i="30"/>
  <c r="C105" i="30"/>
  <c r="C104" i="30"/>
  <c r="C103" i="30"/>
  <c r="C102" i="30"/>
  <c r="C101" i="30"/>
  <c r="C100" i="30"/>
  <c r="C99" i="30"/>
  <c r="C98" i="30"/>
  <c r="C97" i="30"/>
  <c r="C96" i="30"/>
  <c r="C95" i="30"/>
  <c r="C94" i="30"/>
  <c r="C93" i="30"/>
  <c r="C92" i="30"/>
  <c r="C91" i="30"/>
  <c r="C90" i="30"/>
  <c r="C89" i="30"/>
  <c r="C88" i="30"/>
  <c r="C87" i="30"/>
  <c r="C86" i="30"/>
  <c r="C85" i="30"/>
  <c r="C84" i="30"/>
  <c r="C83" i="30"/>
  <c r="C82" i="30"/>
  <c r="C81" i="30"/>
  <c r="C80" i="30"/>
  <c r="C79" i="30"/>
  <c r="C78" i="30"/>
  <c r="C77" i="30"/>
  <c r="C76" i="30"/>
  <c r="C75" i="30"/>
  <c r="C74" i="30"/>
  <c r="C73" i="30"/>
  <c r="C72" i="30"/>
  <c r="C71" i="30"/>
  <c r="C70" i="30"/>
  <c r="C69" i="30"/>
  <c r="C68" i="30"/>
  <c r="C67" i="30"/>
  <c r="C66" i="30"/>
  <c r="C65" i="30"/>
  <c r="C64" i="30"/>
  <c r="C63" i="30"/>
  <c r="C62" i="30"/>
  <c r="C61" i="30"/>
  <c r="C60" i="30"/>
  <c r="C59" i="30"/>
  <c r="C58" i="30"/>
  <c r="C57" i="30"/>
  <c r="C56" i="30"/>
  <c r="C55" i="30"/>
  <c r="C54" i="30"/>
  <c r="C53" i="30"/>
  <c r="C52" i="30"/>
  <c r="C51" i="30"/>
  <c r="C50" i="30"/>
  <c r="C49" i="30"/>
  <c r="C48" i="30"/>
  <c r="C47" i="30"/>
  <c r="C46" i="30"/>
  <c r="C45" i="30"/>
  <c r="C44" i="30"/>
  <c r="C43" i="30"/>
  <c r="C42" i="30"/>
  <c r="C41" i="30"/>
  <c r="C40" i="30"/>
  <c r="C39" i="30"/>
  <c r="C38" i="30"/>
  <c r="C37" i="30"/>
  <c r="C36" i="30"/>
  <c r="C35" i="30"/>
  <c r="C34" i="30"/>
  <c r="C33" i="30"/>
  <c r="C32" i="30"/>
  <c r="C31" i="30"/>
  <c r="C30" i="30"/>
  <c r="C29" i="30"/>
  <c r="C28" i="30"/>
  <c r="C27" i="30"/>
  <c r="C26" i="30"/>
  <c r="C25" i="30"/>
  <c r="C24" i="30"/>
  <c r="C23" i="30"/>
  <c r="C22" i="30"/>
  <c r="C21" i="30"/>
  <c r="C20" i="30"/>
  <c r="C19" i="30"/>
  <c r="C18" i="30"/>
  <c r="C17" i="30"/>
  <c r="C16" i="30"/>
  <c r="C15" i="30"/>
  <c r="C14" i="30"/>
  <c r="C13" i="30"/>
  <c r="C12" i="30"/>
  <c r="C133" i="29"/>
  <c r="C132" i="29"/>
  <c r="C131" i="29"/>
  <c r="C130" i="29"/>
  <c r="C129" i="29"/>
  <c r="C128" i="29"/>
  <c r="C127" i="29"/>
  <c r="C126" i="29"/>
  <c r="C125" i="29"/>
  <c r="C124" i="29"/>
  <c r="C123" i="29"/>
  <c r="C122" i="29"/>
  <c r="C121" i="29"/>
  <c r="C120" i="29"/>
  <c r="C119" i="29"/>
  <c r="C118" i="29"/>
  <c r="C117" i="29"/>
  <c r="C116" i="29"/>
  <c r="C115" i="29"/>
  <c r="C114" i="29"/>
  <c r="C113" i="29"/>
  <c r="C112" i="29"/>
  <c r="C111" i="29"/>
  <c r="C110" i="29"/>
  <c r="C109" i="29"/>
  <c r="C108" i="29"/>
  <c r="C107" i="29"/>
  <c r="C106" i="29"/>
  <c r="C105" i="29"/>
  <c r="C104" i="29"/>
  <c r="C103" i="29"/>
  <c r="C102" i="29"/>
  <c r="C101" i="29"/>
  <c r="C100" i="29"/>
  <c r="C99" i="29"/>
  <c r="C98" i="29"/>
  <c r="C97" i="29"/>
  <c r="C96" i="29"/>
  <c r="C95" i="29"/>
  <c r="C94" i="29"/>
  <c r="C93" i="29"/>
  <c r="C92" i="29"/>
  <c r="C91" i="29"/>
  <c r="C90" i="29"/>
  <c r="C89" i="29"/>
  <c r="C88" i="29"/>
  <c r="C87" i="29"/>
  <c r="C86" i="29"/>
  <c r="C85" i="29"/>
  <c r="C84" i="29"/>
  <c r="C83" i="29"/>
  <c r="C82" i="29"/>
  <c r="C81" i="29"/>
  <c r="C80" i="29"/>
  <c r="C79" i="29"/>
  <c r="C78" i="29"/>
  <c r="C77" i="29"/>
  <c r="C76" i="29"/>
  <c r="C75" i="29"/>
  <c r="C74" i="29"/>
  <c r="C73" i="29"/>
  <c r="C72" i="29"/>
  <c r="C71" i="29"/>
  <c r="C70" i="29"/>
  <c r="C69" i="29"/>
  <c r="C68" i="29"/>
  <c r="C67" i="29"/>
  <c r="C66" i="29"/>
  <c r="C65" i="29"/>
  <c r="C64" i="29"/>
  <c r="C63" i="29"/>
  <c r="C62" i="29"/>
  <c r="C61" i="29"/>
  <c r="C60" i="29"/>
  <c r="C59" i="29"/>
  <c r="C58" i="29"/>
  <c r="C57" i="29"/>
  <c r="C56" i="29"/>
  <c r="C55" i="29"/>
  <c r="C54" i="29"/>
  <c r="C53" i="29"/>
  <c r="C52" i="29"/>
  <c r="C51" i="29"/>
  <c r="C50" i="29"/>
  <c r="C49" i="29"/>
  <c r="C48" i="29"/>
  <c r="C47" i="29"/>
  <c r="C46" i="29"/>
  <c r="C45" i="29"/>
  <c r="C44" i="29"/>
  <c r="C43" i="29"/>
  <c r="C42" i="29"/>
  <c r="C41" i="29"/>
  <c r="C40" i="29"/>
  <c r="C39" i="29"/>
  <c r="C38" i="29"/>
  <c r="C37" i="29"/>
  <c r="C36" i="29"/>
  <c r="C35" i="29"/>
  <c r="C34" i="29"/>
  <c r="C33" i="29"/>
  <c r="C32" i="29"/>
  <c r="C31" i="29"/>
  <c r="C30" i="29"/>
  <c r="C29" i="29"/>
  <c r="C28" i="29"/>
  <c r="C27" i="29"/>
  <c r="C26" i="29"/>
  <c r="C25" i="29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B2" i="29"/>
  <c r="C366" i="28"/>
  <c r="C365" i="28"/>
  <c r="C364" i="28"/>
  <c r="C363" i="28"/>
  <c r="C362" i="28"/>
  <c r="C361" i="28"/>
  <c r="C360" i="28"/>
  <c r="C359" i="28"/>
  <c r="C358" i="28"/>
  <c r="C357" i="28"/>
  <c r="C356" i="28"/>
  <c r="C355" i="28"/>
  <c r="C354" i="28"/>
  <c r="C353" i="28"/>
  <c r="C352" i="28"/>
  <c r="C351" i="28"/>
  <c r="C350" i="28"/>
  <c r="C349" i="28"/>
  <c r="C348" i="28"/>
  <c r="C347" i="28"/>
  <c r="C346" i="28"/>
  <c r="C345" i="28"/>
  <c r="C344" i="28"/>
  <c r="C343" i="28"/>
  <c r="C342" i="28"/>
  <c r="C341" i="28"/>
  <c r="C340" i="28"/>
  <c r="C339" i="28"/>
  <c r="C338" i="28"/>
  <c r="C337" i="28"/>
  <c r="C336" i="28"/>
  <c r="C335" i="28"/>
  <c r="C334" i="28"/>
  <c r="C333" i="28"/>
  <c r="C332" i="28"/>
  <c r="C331" i="28"/>
  <c r="C330" i="28"/>
  <c r="C329" i="28"/>
  <c r="C328" i="28"/>
  <c r="C327" i="28"/>
  <c r="C326" i="28"/>
  <c r="C325" i="28"/>
  <c r="C324" i="28"/>
  <c r="C323" i="28"/>
  <c r="C322" i="28"/>
  <c r="C321" i="28"/>
  <c r="C320" i="28"/>
  <c r="C319" i="28"/>
  <c r="C318" i="28"/>
  <c r="C317" i="28"/>
  <c r="C316" i="28"/>
  <c r="C315" i="28"/>
  <c r="C314" i="28"/>
  <c r="C313" i="28"/>
  <c r="C312" i="28"/>
  <c r="C311" i="28"/>
  <c r="C310" i="28"/>
  <c r="C309" i="28"/>
  <c r="C308" i="28"/>
  <c r="C307" i="28"/>
  <c r="C306" i="28"/>
  <c r="C305" i="28"/>
  <c r="C304" i="28"/>
  <c r="C303" i="28"/>
  <c r="C302" i="28"/>
  <c r="C301" i="28"/>
  <c r="C300" i="28"/>
  <c r="C299" i="28"/>
  <c r="C298" i="28"/>
  <c r="C297" i="28"/>
  <c r="C296" i="28"/>
  <c r="C295" i="28"/>
  <c r="C294" i="28"/>
  <c r="C293" i="28"/>
  <c r="C292" i="28"/>
  <c r="C291" i="28"/>
  <c r="C290" i="28"/>
  <c r="C289" i="28"/>
  <c r="C288" i="28"/>
  <c r="C287" i="28"/>
  <c r="C286" i="28"/>
  <c r="C285" i="28"/>
  <c r="C284" i="28"/>
  <c r="C283" i="28"/>
  <c r="C282" i="28"/>
  <c r="C281" i="28"/>
  <c r="C280" i="28"/>
  <c r="C279" i="28"/>
  <c r="C278" i="28"/>
  <c r="C277" i="28"/>
  <c r="C276" i="28"/>
  <c r="C275" i="28"/>
  <c r="C274" i="28"/>
  <c r="C273" i="28"/>
  <c r="C272" i="28"/>
  <c r="C271" i="28"/>
  <c r="C270" i="28"/>
  <c r="C269" i="28"/>
  <c r="C268" i="28"/>
  <c r="C267" i="28"/>
  <c r="C266" i="28"/>
  <c r="C265" i="28"/>
  <c r="C264" i="28"/>
  <c r="C263" i="28"/>
  <c r="C262" i="28"/>
  <c r="C261" i="28"/>
  <c r="C260" i="28"/>
  <c r="C259" i="28"/>
  <c r="C258" i="28"/>
  <c r="C257" i="28"/>
  <c r="C256" i="28"/>
  <c r="C255" i="28"/>
  <c r="C254" i="28"/>
  <c r="C253" i="28"/>
  <c r="C252" i="28"/>
  <c r="C251" i="28"/>
  <c r="C250" i="28"/>
  <c r="C249" i="28"/>
  <c r="C248" i="28"/>
  <c r="C247" i="28"/>
  <c r="C246" i="28"/>
  <c r="C245" i="28"/>
  <c r="C244" i="28"/>
  <c r="C243" i="28"/>
  <c r="C242" i="28"/>
  <c r="C241" i="28"/>
  <c r="C240" i="28"/>
  <c r="C239" i="28"/>
  <c r="C238" i="28"/>
  <c r="C237" i="28"/>
  <c r="C236" i="28"/>
  <c r="C235" i="28"/>
  <c r="C234" i="28"/>
  <c r="C233" i="28"/>
  <c r="C232" i="28"/>
  <c r="C231" i="28"/>
  <c r="C230" i="28"/>
  <c r="C229" i="28"/>
  <c r="C228" i="28"/>
  <c r="C227" i="28"/>
  <c r="C226" i="28"/>
  <c r="C225" i="28"/>
  <c r="C224" i="28"/>
  <c r="C223" i="28"/>
  <c r="C222" i="28"/>
  <c r="C221" i="28"/>
  <c r="C220" i="28"/>
  <c r="C219" i="28"/>
  <c r="C218" i="28"/>
  <c r="C217" i="28"/>
  <c r="C216" i="28"/>
  <c r="C215" i="28"/>
  <c r="C214" i="28"/>
  <c r="C213" i="28"/>
  <c r="C212" i="28"/>
  <c r="C211" i="28"/>
  <c r="C210" i="28"/>
  <c r="C209" i="28"/>
  <c r="C208" i="28"/>
  <c r="C207" i="28"/>
  <c r="C206" i="28"/>
  <c r="C205" i="28"/>
  <c r="C204" i="28"/>
  <c r="C203" i="28"/>
  <c r="C202" i="28"/>
  <c r="C201" i="28"/>
  <c r="C200" i="28"/>
  <c r="C199" i="28"/>
  <c r="C198" i="28"/>
  <c r="C197" i="28"/>
  <c r="C196" i="28"/>
  <c r="C195" i="28"/>
  <c r="C194" i="28"/>
  <c r="C193" i="28"/>
  <c r="C192" i="28"/>
  <c r="C191" i="28"/>
  <c r="C190" i="28"/>
  <c r="C189" i="28"/>
  <c r="C188" i="28"/>
  <c r="C187" i="28"/>
  <c r="C186" i="28"/>
  <c r="C185" i="28"/>
  <c r="C184" i="28"/>
  <c r="C183" i="28"/>
  <c r="C182" i="28"/>
  <c r="C181" i="28"/>
  <c r="C180" i="28"/>
  <c r="C179" i="28"/>
  <c r="C178" i="28"/>
  <c r="C177" i="28"/>
  <c r="C176" i="28"/>
  <c r="C175" i="28"/>
  <c r="C174" i="28"/>
  <c r="C173" i="28"/>
  <c r="C172" i="28"/>
  <c r="C171" i="28"/>
  <c r="C170" i="28"/>
  <c r="C169" i="28"/>
  <c r="C168" i="28"/>
  <c r="C167" i="28"/>
  <c r="C166" i="28"/>
  <c r="C165" i="28"/>
  <c r="C164" i="28"/>
  <c r="C163" i="28"/>
  <c r="C162" i="28"/>
  <c r="C161" i="28"/>
  <c r="C160" i="28"/>
  <c r="C159" i="28"/>
  <c r="C158" i="28"/>
  <c r="C157" i="28"/>
  <c r="C156" i="28"/>
  <c r="C155" i="28"/>
  <c r="C154" i="28"/>
  <c r="C153" i="28"/>
  <c r="C152" i="28"/>
  <c r="C151" i="28"/>
  <c r="C150" i="28"/>
  <c r="C149" i="28"/>
  <c r="C148" i="28"/>
  <c r="C147" i="28"/>
  <c r="C146" i="28"/>
  <c r="C145" i="28"/>
  <c r="C144" i="28"/>
  <c r="C143" i="28"/>
  <c r="C142" i="28"/>
  <c r="C141" i="28"/>
  <c r="C140" i="28"/>
  <c r="C139" i="28"/>
  <c r="C138" i="28"/>
  <c r="C137" i="28"/>
  <c r="C136" i="28"/>
  <c r="C135" i="28"/>
  <c r="C134" i="28"/>
  <c r="C133" i="28"/>
  <c r="C132" i="28"/>
  <c r="C131" i="28"/>
  <c r="C130" i="28"/>
  <c r="C129" i="28"/>
  <c r="C128" i="28"/>
  <c r="C127" i="28"/>
  <c r="C126" i="28"/>
  <c r="C125" i="28"/>
  <c r="C124" i="28"/>
  <c r="C123" i="28"/>
  <c r="C122" i="28"/>
  <c r="C121" i="28"/>
  <c r="C120" i="28"/>
  <c r="C119" i="28"/>
  <c r="C118" i="28"/>
  <c r="C117" i="28"/>
  <c r="C116" i="28"/>
  <c r="C115" i="28"/>
  <c r="C114" i="28"/>
  <c r="C113" i="28"/>
  <c r="C112" i="28"/>
  <c r="C111" i="28"/>
  <c r="C110" i="28"/>
  <c r="C109" i="28"/>
  <c r="C108" i="28"/>
  <c r="C107" i="28"/>
  <c r="C106" i="28"/>
  <c r="C105" i="28"/>
  <c r="C104" i="28"/>
  <c r="C103" i="28"/>
  <c r="C102" i="28"/>
  <c r="C101" i="28"/>
  <c r="C100" i="28"/>
  <c r="C99" i="28"/>
  <c r="C98" i="28"/>
  <c r="C97" i="28"/>
  <c r="C96" i="28"/>
  <c r="C95" i="28"/>
  <c r="C94" i="28"/>
  <c r="C93" i="28"/>
  <c r="C92" i="28"/>
  <c r="C91" i="28"/>
  <c r="C90" i="28"/>
  <c r="C89" i="28"/>
  <c r="C88" i="28"/>
  <c r="C87" i="28"/>
  <c r="C86" i="28"/>
  <c r="C85" i="28"/>
  <c r="C84" i="28"/>
  <c r="C83" i="28"/>
  <c r="C82" i="28"/>
  <c r="C81" i="28"/>
  <c r="C80" i="28"/>
  <c r="C79" i="28"/>
  <c r="C78" i="28"/>
  <c r="C77" i="28"/>
  <c r="C76" i="28"/>
  <c r="C75" i="28"/>
  <c r="C74" i="28"/>
  <c r="C73" i="28"/>
  <c r="C72" i="28"/>
  <c r="C71" i="28"/>
  <c r="C70" i="28"/>
  <c r="C69" i="28"/>
  <c r="C68" i="28"/>
  <c r="C67" i="28"/>
  <c r="C66" i="28"/>
  <c r="C65" i="28"/>
  <c r="C64" i="28"/>
  <c r="C63" i="28"/>
  <c r="C62" i="28"/>
  <c r="C61" i="28"/>
  <c r="C60" i="28"/>
  <c r="C59" i="28"/>
  <c r="C58" i="28"/>
  <c r="C57" i="28"/>
  <c r="C56" i="28"/>
  <c r="C55" i="28"/>
  <c r="C54" i="28"/>
  <c r="C53" i="28"/>
  <c r="C52" i="28"/>
  <c r="C51" i="28"/>
  <c r="C50" i="28"/>
  <c r="C49" i="28"/>
  <c r="C48" i="28"/>
  <c r="C47" i="28"/>
  <c r="C46" i="28"/>
  <c r="C45" i="28"/>
  <c r="C44" i="28"/>
  <c r="C43" i="28"/>
  <c r="C42" i="28"/>
  <c r="C41" i="28"/>
  <c r="C40" i="28"/>
  <c r="C39" i="28"/>
  <c r="C38" i="28"/>
  <c r="C37" i="28"/>
  <c r="C36" i="28"/>
  <c r="C35" i="28"/>
  <c r="C34" i="28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B2" i="28"/>
  <c r="B2" i="27"/>
  <c r="C128" i="27"/>
  <c r="C127" i="27"/>
  <c r="C126" i="27"/>
  <c r="C125" i="27"/>
  <c r="C124" i="27"/>
  <c r="C123" i="27"/>
  <c r="C122" i="27"/>
  <c r="C121" i="27"/>
  <c r="C120" i="27"/>
  <c r="C119" i="27"/>
  <c r="C118" i="27"/>
  <c r="C117" i="27"/>
  <c r="C116" i="27"/>
  <c r="C115" i="27"/>
  <c r="C114" i="27"/>
  <c r="C113" i="27"/>
  <c r="C112" i="27"/>
  <c r="C111" i="27"/>
  <c r="C110" i="27"/>
  <c r="C109" i="27"/>
  <c r="C108" i="27"/>
  <c r="C107" i="27"/>
  <c r="C106" i="27"/>
  <c r="C105" i="27"/>
  <c r="C104" i="27"/>
  <c r="C103" i="27"/>
  <c r="C102" i="27"/>
  <c r="C101" i="27"/>
  <c r="C100" i="27"/>
  <c r="C99" i="27"/>
  <c r="C98" i="27"/>
  <c r="C97" i="27"/>
  <c r="C96" i="27"/>
  <c r="C95" i="27"/>
  <c r="C94" i="27"/>
  <c r="C93" i="27"/>
  <c r="C92" i="27"/>
  <c r="C91" i="27"/>
  <c r="C90" i="27"/>
  <c r="C89" i="27"/>
  <c r="C88" i="27"/>
  <c r="C87" i="27"/>
  <c r="C86" i="27"/>
  <c r="C85" i="27"/>
  <c r="C84" i="27"/>
  <c r="C83" i="27"/>
  <c r="C82" i="27"/>
  <c r="C81" i="27"/>
  <c r="C80" i="27"/>
  <c r="C79" i="27"/>
  <c r="C78" i="27"/>
  <c r="C77" i="27"/>
  <c r="C76" i="27"/>
  <c r="C75" i="27"/>
  <c r="C74" i="27"/>
  <c r="C73" i="27"/>
  <c r="C72" i="27"/>
  <c r="C71" i="27"/>
  <c r="C70" i="27"/>
  <c r="C69" i="27"/>
  <c r="C68" i="27"/>
  <c r="C67" i="27"/>
  <c r="C66" i="27"/>
  <c r="C65" i="27"/>
  <c r="C64" i="27"/>
  <c r="C63" i="27"/>
  <c r="C62" i="27"/>
  <c r="C61" i="27"/>
  <c r="C60" i="27"/>
  <c r="C59" i="27"/>
  <c r="C58" i="27"/>
  <c r="C57" i="27"/>
  <c r="C56" i="27"/>
  <c r="C55" i="27"/>
  <c r="C54" i="27"/>
  <c r="C53" i="27"/>
  <c r="C52" i="27"/>
  <c r="C51" i="27"/>
  <c r="C50" i="27"/>
  <c r="C49" i="27"/>
  <c r="C48" i="27"/>
  <c r="C47" i="27"/>
  <c r="C46" i="27"/>
  <c r="C45" i="27"/>
  <c r="C44" i="27"/>
  <c r="C43" i="27"/>
  <c r="C42" i="27"/>
  <c r="C41" i="27"/>
  <c r="C40" i="27"/>
  <c r="C39" i="27"/>
  <c r="C38" i="27"/>
  <c r="C37" i="27"/>
  <c r="C36" i="27"/>
  <c r="C35" i="27"/>
  <c r="C34" i="27"/>
  <c r="C33" i="27"/>
  <c r="C32" i="27"/>
  <c r="C31" i="27"/>
  <c r="C30" i="27"/>
  <c r="C29" i="27"/>
  <c r="C28" i="27"/>
  <c r="C27" i="27"/>
  <c r="C26" i="27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342" i="26"/>
  <c r="C341" i="26"/>
  <c r="C340" i="26"/>
  <c r="C339" i="26"/>
  <c r="C338" i="26"/>
  <c r="C337" i="26"/>
  <c r="C336" i="26"/>
  <c r="C335" i="26"/>
  <c r="C334" i="26"/>
  <c r="C333" i="26"/>
  <c r="C332" i="26"/>
  <c r="C331" i="26"/>
  <c r="C330" i="26"/>
  <c r="C329" i="26"/>
  <c r="C328" i="26"/>
  <c r="C327" i="26"/>
  <c r="C326" i="26"/>
  <c r="C325" i="26"/>
  <c r="C324" i="26"/>
  <c r="C323" i="26"/>
  <c r="C322" i="26"/>
  <c r="C321" i="26"/>
  <c r="C320" i="26"/>
  <c r="C319" i="26"/>
  <c r="C318" i="26"/>
  <c r="C317" i="26"/>
  <c r="C316" i="26"/>
  <c r="C315" i="26"/>
  <c r="C314" i="26"/>
  <c r="C313" i="26"/>
  <c r="C312" i="26"/>
  <c r="C311" i="26"/>
  <c r="C310" i="26"/>
  <c r="C309" i="26"/>
  <c r="C308" i="26"/>
  <c r="C307" i="26"/>
  <c r="C306" i="26"/>
  <c r="C305" i="26"/>
  <c r="C304" i="26"/>
  <c r="C303" i="26"/>
  <c r="C302" i="26"/>
  <c r="C301" i="26"/>
  <c r="C300" i="26"/>
  <c r="C299" i="26"/>
  <c r="C298" i="26"/>
  <c r="C297" i="26"/>
  <c r="C296" i="26"/>
  <c r="C295" i="26"/>
  <c r="C294" i="26"/>
  <c r="C293" i="26"/>
  <c r="C292" i="26"/>
  <c r="C291" i="26"/>
  <c r="C290" i="26"/>
  <c r="C289" i="26"/>
  <c r="C288" i="26"/>
  <c r="C287" i="26"/>
  <c r="C286" i="26"/>
  <c r="C285" i="26"/>
  <c r="C284" i="26"/>
  <c r="C283" i="26"/>
  <c r="C282" i="26"/>
  <c r="C281" i="26"/>
  <c r="C280" i="26"/>
  <c r="C279" i="26"/>
  <c r="C278" i="26"/>
  <c r="C277" i="26"/>
  <c r="C276" i="26"/>
  <c r="C275" i="26"/>
  <c r="C274" i="26"/>
  <c r="C273" i="26"/>
  <c r="C272" i="26"/>
  <c r="C271" i="26"/>
  <c r="C270" i="26"/>
  <c r="C269" i="26"/>
  <c r="C268" i="26"/>
  <c r="C267" i="26"/>
  <c r="C266" i="26"/>
  <c r="C265" i="26"/>
  <c r="C264" i="26"/>
  <c r="C263" i="26"/>
  <c r="C262" i="26"/>
  <c r="C261" i="26"/>
  <c r="C260" i="26"/>
  <c r="C259" i="26"/>
  <c r="C258" i="26"/>
  <c r="C257" i="26"/>
  <c r="C256" i="26"/>
  <c r="C255" i="26"/>
  <c r="C254" i="26"/>
  <c r="C253" i="26"/>
  <c r="C252" i="26"/>
  <c r="C251" i="26"/>
  <c r="C250" i="26"/>
  <c r="C249" i="26"/>
  <c r="C248" i="26"/>
  <c r="C247" i="26"/>
  <c r="C246" i="26"/>
  <c r="C245" i="26"/>
  <c r="C244" i="26"/>
  <c r="C243" i="26"/>
  <c r="C242" i="26"/>
  <c r="C241" i="26"/>
  <c r="C240" i="26"/>
  <c r="C239" i="26"/>
  <c r="C238" i="26"/>
  <c r="C237" i="26"/>
  <c r="C236" i="26"/>
  <c r="C235" i="26"/>
  <c r="C234" i="26"/>
  <c r="C233" i="26"/>
  <c r="C232" i="26"/>
  <c r="C231" i="26"/>
  <c r="C230" i="26"/>
  <c r="C229" i="26"/>
  <c r="C228" i="26"/>
  <c r="C227" i="26"/>
  <c r="C226" i="26"/>
  <c r="C225" i="26"/>
  <c r="C224" i="26"/>
  <c r="C223" i="26"/>
  <c r="C222" i="26"/>
  <c r="C221" i="26"/>
  <c r="C220" i="26"/>
  <c r="C219" i="26"/>
  <c r="C218" i="26"/>
  <c r="C217" i="26"/>
  <c r="C216" i="26"/>
  <c r="C215" i="26"/>
  <c r="C214" i="26"/>
  <c r="C213" i="26"/>
  <c r="C212" i="26"/>
  <c r="C211" i="26"/>
  <c r="C210" i="26"/>
  <c r="C209" i="26"/>
  <c r="C208" i="26"/>
  <c r="C207" i="26"/>
  <c r="C206" i="26"/>
  <c r="C205" i="26"/>
  <c r="C204" i="26"/>
  <c r="C203" i="26"/>
  <c r="C202" i="26"/>
  <c r="C201" i="26"/>
  <c r="C200" i="26"/>
  <c r="C199" i="26"/>
  <c r="C198" i="26"/>
  <c r="C197" i="26"/>
  <c r="C196" i="26"/>
  <c r="C195" i="26"/>
  <c r="C194" i="26"/>
  <c r="C193" i="26"/>
  <c r="C192" i="26"/>
  <c r="C191" i="26"/>
  <c r="C190" i="26"/>
  <c r="C189" i="26"/>
  <c r="C188" i="26"/>
  <c r="C187" i="26"/>
  <c r="C186" i="26"/>
  <c r="C185" i="26"/>
  <c r="C184" i="26"/>
  <c r="C183" i="26"/>
  <c r="C182" i="26"/>
  <c r="C181" i="26"/>
  <c r="C180" i="26"/>
  <c r="C179" i="26"/>
  <c r="C178" i="26"/>
  <c r="C177" i="26"/>
  <c r="C176" i="26"/>
  <c r="C175" i="26"/>
  <c r="C174" i="26"/>
  <c r="C173" i="26"/>
  <c r="C172" i="26"/>
  <c r="C171" i="26"/>
  <c r="C170" i="26"/>
  <c r="C169" i="26"/>
  <c r="C168" i="26"/>
  <c r="C167" i="26"/>
  <c r="C166" i="26"/>
  <c r="C165" i="26"/>
  <c r="C164" i="26"/>
  <c r="C163" i="26"/>
  <c r="C162" i="26"/>
  <c r="C161" i="26"/>
  <c r="C160" i="26"/>
  <c r="C159" i="26"/>
  <c r="C158" i="26"/>
  <c r="C157" i="26"/>
  <c r="C156" i="26"/>
  <c r="C155" i="26"/>
  <c r="C154" i="26"/>
  <c r="C153" i="26"/>
  <c r="C152" i="26"/>
  <c r="C151" i="26"/>
  <c r="C150" i="26"/>
  <c r="C149" i="26"/>
  <c r="C148" i="26"/>
  <c r="C147" i="26"/>
  <c r="C146" i="26"/>
  <c r="C145" i="26"/>
  <c r="C144" i="26"/>
  <c r="C143" i="26"/>
  <c r="C142" i="26"/>
  <c r="C141" i="26"/>
  <c r="C140" i="26"/>
  <c r="C139" i="26"/>
  <c r="C138" i="26"/>
  <c r="C137" i="26"/>
  <c r="C136" i="26"/>
  <c r="C135" i="26"/>
  <c r="C134" i="26"/>
  <c r="C133" i="26"/>
  <c r="C132" i="26"/>
  <c r="C131" i="26"/>
  <c r="C130" i="26"/>
  <c r="C129" i="26"/>
  <c r="C128" i="26"/>
  <c r="C127" i="26"/>
  <c r="C126" i="26"/>
  <c r="C125" i="26"/>
  <c r="C124" i="26"/>
  <c r="C123" i="26"/>
  <c r="C122" i="26"/>
  <c r="C121" i="26"/>
  <c r="C120" i="26"/>
  <c r="C119" i="26"/>
  <c r="C118" i="26"/>
  <c r="C117" i="26"/>
  <c r="C116" i="26"/>
  <c r="C115" i="26"/>
  <c r="C114" i="26"/>
  <c r="C113" i="26"/>
  <c r="C112" i="26"/>
  <c r="C111" i="26"/>
  <c r="C110" i="26"/>
  <c r="C109" i="26"/>
  <c r="C108" i="26"/>
  <c r="C107" i="26"/>
  <c r="C106" i="26"/>
  <c r="C105" i="26"/>
  <c r="C104" i="26"/>
  <c r="C103" i="26"/>
  <c r="C102" i="26"/>
  <c r="C101" i="26"/>
  <c r="C100" i="26"/>
  <c r="C99" i="26"/>
  <c r="C98" i="26"/>
  <c r="C97" i="26"/>
  <c r="C96" i="26"/>
  <c r="C95" i="26"/>
  <c r="C94" i="26"/>
  <c r="C93" i="26"/>
  <c r="C92" i="26"/>
  <c r="C91" i="26"/>
  <c r="C90" i="26"/>
  <c r="C89" i="26"/>
  <c r="C88" i="26"/>
  <c r="C87" i="26"/>
  <c r="C86" i="26"/>
  <c r="C85" i="26"/>
  <c r="C84" i="26"/>
  <c r="C83" i="26"/>
  <c r="C82" i="26"/>
  <c r="C81" i="26"/>
  <c r="C80" i="26"/>
  <c r="C79" i="26"/>
  <c r="C78" i="26"/>
  <c r="C77" i="26"/>
  <c r="C76" i="26"/>
  <c r="C75" i="26"/>
  <c r="C74" i="26"/>
  <c r="C73" i="26"/>
  <c r="C72" i="26"/>
  <c r="C71" i="26"/>
  <c r="C70" i="26"/>
  <c r="C69" i="26"/>
  <c r="C68" i="26"/>
  <c r="C67" i="26"/>
  <c r="C66" i="26"/>
  <c r="C65" i="26"/>
  <c r="C64" i="26"/>
  <c r="C63" i="26"/>
  <c r="C62" i="26"/>
  <c r="C61" i="26"/>
  <c r="C60" i="26"/>
  <c r="C59" i="26"/>
  <c r="C58" i="26"/>
  <c r="C57" i="26"/>
  <c r="C56" i="26"/>
  <c r="C55" i="26"/>
  <c r="C54" i="26"/>
  <c r="C53" i="26"/>
  <c r="C52" i="26"/>
  <c r="C51" i="26"/>
  <c r="C50" i="26"/>
  <c r="C49" i="26"/>
  <c r="C48" i="26"/>
  <c r="C47" i="26"/>
  <c r="C46" i="26"/>
  <c r="C45" i="26"/>
  <c r="C44" i="26"/>
  <c r="C43" i="26"/>
  <c r="C42" i="26"/>
  <c r="C41" i="26"/>
  <c r="C40" i="26"/>
  <c r="C39" i="26"/>
  <c r="C38" i="26"/>
  <c r="C37" i="26"/>
  <c r="C36" i="26"/>
  <c r="C35" i="26"/>
  <c r="C34" i="26"/>
  <c r="C33" i="26"/>
  <c r="C32" i="26"/>
  <c r="C31" i="26"/>
  <c r="C30" i="26"/>
  <c r="C29" i="26"/>
  <c r="C28" i="26"/>
  <c r="C27" i="26"/>
  <c r="C26" i="26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B2" i="26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B2" i="24"/>
  <c r="B2" i="23"/>
  <c r="C74" i="23"/>
  <c r="C22" i="23"/>
  <c r="C20" i="23"/>
  <c r="C26" i="23"/>
  <c r="C21" i="23"/>
  <c r="C16" i="23"/>
  <c r="C15" i="23"/>
  <c r="C25" i="23"/>
  <c r="C19" i="23"/>
  <c r="C14" i="23"/>
  <c r="C23" i="23"/>
  <c r="C24" i="23"/>
  <c r="C18" i="23"/>
  <c r="C17" i="23"/>
  <c r="C13" i="23"/>
  <c r="C12" i="23"/>
  <c r="C94" i="23"/>
  <c r="C93" i="23"/>
  <c r="C83" i="23"/>
  <c r="C65" i="23"/>
  <c r="C80" i="23"/>
  <c r="C87" i="23"/>
  <c r="C86" i="23"/>
  <c r="C85" i="23"/>
  <c r="C82" i="23"/>
  <c r="C79" i="23"/>
  <c r="C53" i="23"/>
  <c r="C73" i="23"/>
  <c r="C63" i="23"/>
  <c r="C62" i="23"/>
  <c r="C51" i="23"/>
  <c r="C48" i="23"/>
  <c r="C46" i="23"/>
  <c r="C70" i="23"/>
  <c r="C60" i="23"/>
  <c r="C47" i="23"/>
  <c r="C57" i="23"/>
  <c r="C59" i="23"/>
  <c r="C44" i="23"/>
  <c r="C41" i="23"/>
  <c r="C40" i="23"/>
  <c r="C39" i="23"/>
  <c r="C45" i="23"/>
  <c r="C38" i="23"/>
  <c r="C67" i="23"/>
  <c r="C68" i="23"/>
  <c r="C92" i="23"/>
  <c r="C88" i="23"/>
  <c r="C77" i="23"/>
  <c r="C75" i="23"/>
  <c r="C50" i="23"/>
  <c r="C90" i="23"/>
  <c r="C72" i="23"/>
  <c r="C84" i="23"/>
  <c r="C49" i="23"/>
  <c r="C69" i="23"/>
  <c r="C89" i="23"/>
  <c r="C76" i="23"/>
  <c r="C91" i="23"/>
  <c r="C66" i="23"/>
  <c r="C71" i="23"/>
  <c r="C64" i="23"/>
  <c r="C56" i="23"/>
  <c r="C36" i="23"/>
  <c r="C33" i="23"/>
  <c r="C34" i="23"/>
  <c r="C52" i="23"/>
  <c r="C35" i="23"/>
  <c r="C32" i="23"/>
  <c r="C29" i="23"/>
  <c r="C28" i="23"/>
  <c r="C54" i="23"/>
  <c r="C27" i="23"/>
  <c r="C78" i="23"/>
  <c r="C61" i="23"/>
  <c r="C55" i="23"/>
  <c r="C43" i="23"/>
  <c r="C42" i="23"/>
  <c r="C37" i="23"/>
  <c r="C58" i="23"/>
  <c r="C31" i="23"/>
  <c r="C30" i="23"/>
  <c r="C81" i="23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76" i="22"/>
  <c r="C77" i="22"/>
  <c r="C78" i="22"/>
  <c r="C79" i="22"/>
  <c r="C80" i="22"/>
  <c r="C81" i="22"/>
  <c r="C82" i="22"/>
  <c r="C83" i="22"/>
  <c r="C84" i="22"/>
  <c r="C85" i="22"/>
  <c r="C86" i="22"/>
  <c r="C87" i="22"/>
  <c r="C88" i="22"/>
  <c r="B2" i="22"/>
  <c r="B2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C86" i="21"/>
  <c r="C87" i="21"/>
  <c r="C88" i="21"/>
  <c r="C89" i="21"/>
  <c r="C90" i="21"/>
  <c r="C91" i="21"/>
  <c r="C92" i="21"/>
  <c r="C93" i="21"/>
  <c r="C94" i="21"/>
  <c r="C95" i="21"/>
  <c r="C96" i="21"/>
  <c r="C97" i="21"/>
  <c r="C98" i="21"/>
  <c r="C99" i="21"/>
  <c r="C100" i="21"/>
  <c r="C101" i="21"/>
  <c r="C102" i="21"/>
  <c r="C103" i="21"/>
  <c r="C104" i="21"/>
  <c r="C105" i="21"/>
  <c r="C106" i="21"/>
  <c r="C107" i="21"/>
  <c r="C108" i="21"/>
  <c r="C109" i="21"/>
  <c r="C110" i="21"/>
  <c r="C111" i="21"/>
  <c r="C112" i="21"/>
  <c r="C113" i="21"/>
  <c r="C114" i="21"/>
  <c r="C115" i="21"/>
  <c r="C116" i="21"/>
  <c r="C117" i="21"/>
  <c r="C118" i="21"/>
  <c r="C119" i="21"/>
  <c r="C120" i="21"/>
  <c r="C121" i="21"/>
  <c r="C122" i="21"/>
  <c r="C123" i="21"/>
  <c r="C124" i="21"/>
  <c r="C125" i="21"/>
  <c r="C126" i="21"/>
  <c r="C127" i="21"/>
  <c r="C128" i="21"/>
  <c r="C129" i="21"/>
  <c r="C130" i="21"/>
  <c r="C131" i="21"/>
  <c r="C132" i="21"/>
  <c r="C133" i="21"/>
  <c r="C134" i="21"/>
  <c r="C135" i="21"/>
  <c r="C136" i="21"/>
  <c r="C137" i="21"/>
  <c r="C138" i="21"/>
  <c r="C139" i="21"/>
  <c r="C140" i="21"/>
  <c r="C141" i="21"/>
  <c r="C142" i="21"/>
  <c r="C143" i="21"/>
  <c r="C144" i="21"/>
  <c r="C145" i="21"/>
  <c r="C146" i="21"/>
  <c r="C147" i="21"/>
  <c r="C148" i="21"/>
  <c r="C149" i="21"/>
  <c r="C150" i="21"/>
  <c r="C151" i="21"/>
  <c r="C152" i="21"/>
  <c r="C153" i="21"/>
  <c r="C154" i="21"/>
  <c r="C155" i="21"/>
  <c r="C156" i="21"/>
  <c r="C157" i="21"/>
  <c r="C158" i="21"/>
  <c r="C159" i="21"/>
  <c r="C160" i="21"/>
  <c r="C161" i="21"/>
  <c r="C162" i="21"/>
  <c r="C163" i="21"/>
  <c r="C164" i="21"/>
  <c r="C165" i="21"/>
  <c r="C166" i="21"/>
  <c r="C167" i="21"/>
  <c r="C168" i="21"/>
  <c r="C169" i="21"/>
  <c r="C170" i="21"/>
  <c r="C171" i="21"/>
  <c r="C172" i="21"/>
  <c r="C173" i="21"/>
  <c r="C174" i="21"/>
  <c r="C175" i="21"/>
  <c r="C176" i="21"/>
  <c r="C177" i="21"/>
  <c r="C178" i="21"/>
  <c r="C179" i="21"/>
  <c r="C180" i="21"/>
  <c r="C181" i="21"/>
  <c r="C182" i="21"/>
  <c r="C183" i="21"/>
  <c r="C184" i="21"/>
  <c r="C185" i="21"/>
  <c r="C186" i="21"/>
  <c r="C187" i="21"/>
  <c r="C188" i="21"/>
  <c r="C189" i="21"/>
  <c r="C190" i="21"/>
  <c r="C191" i="21"/>
  <c r="C192" i="21"/>
  <c r="C193" i="21"/>
  <c r="C194" i="21"/>
  <c r="C195" i="21"/>
  <c r="C196" i="21"/>
  <c r="C197" i="21"/>
  <c r="C198" i="21"/>
  <c r="C199" i="21"/>
  <c r="C200" i="21"/>
  <c r="C201" i="21"/>
  <c r="C202" i="21"/>
  <c r="C203" i="21"/>
  <c r="C204" i="21"/>
  <c r="C205" i="21"/>
  <c r="C206" i="21"/>
  <c r="C207" i="21"/>
  <c r="C208" i="21"/>
  <c r="C209" i="21"/>
  <c r="C210" i="21"/>
  <c r="C211" i="21"/>
  <c r="C212" i="21"/>
  <c r="C213" i="21"/>
  <c r="C214" i="21"/>
  <c r="C215" i="21"/>
  <c r="C216" i="21"/>
  <c r="C217" i="21"/>
  <c r="C218" i="21"/>
  <c r="C219" i="21"/>
  <c r="C220" i="21"/>
  <c r="C221" i="21"/>
  <c r="C222" i="21"/>
  <c r="C223" i="21"/>
  <c r="C224" i="21"/>
  <c r="C225" i="21"/>
  <c r="C226" i="21"/>
  <c r="C227" i="21"/>
  <c r="C228" i="21"/>
  <c r="C229" i="21"/>
  <c r="C230" i="21"/>
  <c r="C231" i="21"/>
  <c r="C232" i="21"/>
  <c r="C233" i="21"/>
  <c r="C234" i="21"/>
  <c r="C235" i="21"/>
  <c r="C236" i="21"/>
  <c r="C237" i="21"/>
  <c r="C238" i="21"/>
  <c r="C239" i="21"/>
  <c r="C240" i="21"/>
  <c r="C241" i="21"/>
  <c r="C242" i="21"/>
  <c r="C243" i="21"/>
  <c r="C244" i="21"/>
  <c r="C245" i="21"/>
  <c r="C246" i="21"/>
  <c r="C247" i="21"/>
  <c r="C248" i="21"/>
  <c r="C249" i="21"/>
  <c r="C250" i="21"/>
  <c r="C251" i="21"/>
  <c r="C252" i="21"/>
  <c r="C253" i="21"/>
  <c r="C254" i="21"/>
  <c r="C255" i="21"/>
  <c r="C256" i="21"/>
  <c r="C257" i="21"/>
  <c r="C258" i="21"/>
  <c r="C259" i="21"/>
  <c r="C260" i="21"/>
  <c r="C261" i="21"/>
  <c r="C262" i="21"/>
  <c r="C263" i="21"/>
  <c r="C264" i="21"/>
  <c r="C265" i="21"/>
  <c r="C266" i="21"/>
  <c r="C267" i="21"/>
  <c r="C268" i="21"/>
  <c r="C269" i="21"/>
  <c r="C270" i="21"/>
  <c r="C271" i="21"/>
  <c r="C272" i="21"/>
  <c r="C273" i="21"/>
  <c r="C274" i="21"/>
  <c r="C275" i="21"/>
  <c r="C276" i="21"/>
  <c r="B2" i="20"/>
  <c r="C95" i="20"/>
  <c r="C81" i="20"/>
  <c r="C68" i="20"/>
  <c r="C88" i="20"/>
  <c r="C49" i="20"/>
  <c r="C53" i="20"/>
  <c r="C114" i="20"/>
  <c r="C105" i="20"/>
  <c r="C135" i="20"/>
  <c r="C150" i="20"/>
  <c r="C151" i="20"/>
  <c r="C149" i="20"/>
  <c r="C143" i="20"/>
  <c r="C98" i="20"/>
  <c r="C72" i="20"/>
  <c r="C38" i="20"/>
  <c r="C41" i="20"/>
  <c r="C30" i="20"/>
  <c r="C116" i="20"/>
  <c r="C153" i="20"/>
  <c r="C132" i="20"/>
  <c r="C124" i="20"/>
  <c r="C117" i="20"/>
  <c r="C136" i="20"/>
  <c r="C118" i="20"/>
  <c r="C125" i="20"/>
  <c r="C145" i="20"/>
  <c r="C18" i="20"/>
  <c r="C121" i="20"/>
  <c r="C120" i="20"/>
  <c r="C137" i="20"/>
  <c r="C42" i="20"/>
  <c r="C63" i="20"/>
  <c r="C39" i="20"/>
  <c r="C29" i="20"/>
  <c r="C64" i="20"/>
  <c r="C14" i="20"/>
  <c r="C13" i="20"/>
  <c r="C12" i="20"/>
  <c r="C37" i="20"/>
  <c r="C28" i="20"/>
  <c r="C31" i="20"/>
  <c r="C109" i="20"/>
  <c r="C91" i="20"/>
  <c r="C34" i="20"/>
  <c r="C35" i="20"/>
  <c r="C36" i="20"/>
  <c r="C32" i="20"/>
  <c r="C69" i="20"/>
  <c r="C57" i="20"/>
  <c r="C90" i="20"/>
  <c r="C74" i="20"/>
  <c r="C130" i="20"/>
  <c r="C16" i="20"/>
  <c r="C15" i="20"/>
  <c r="C24" i="20"/>
  <c r="C62" i="20"/>
  <c r="C103" i="20"/>
  <c r="C77" i="20"/>
  <c r="C104" i="20"/>
  <c r="C78" i="20"/>
  <c r="C79" i="20"/>
  <c r="C89" i="20"/>
  <c r="C152" i="20"/>
  <c r="C115" i="20"/>
  <c r="C107" i="20"/>
  <c r="C96" i="20"/>
  <c r="C126" i="20"/>
  <c r="C102" i="20"/>
  <c r="C123" i="20"/>
  <c r="C52" i="20"/>
  <c r="C119" i="20"/>
  <c r="C65" i="20"/>
  <c r="C84" i="20"/>
  <c r="C58" i="20"/>
  <c r="C100" i="20"/>
  <c r="C40" i="20"/>
  <c r="C27" i="20"/>
  <c r="C25" i="20"/>
  <c r="C26" i="20"/>
  <c r="C99" i="20"/>
  <c r="C51" i="20"/>
  <c r="C33" i="20"/>
  <c r="C23" i="20"/>
  <c r="C20" i="20"/>
  <c r="C21" i="20"/>
  <c r="C76" i="20"/>
  <c r="C19" i="20"/>
  <c r="C17" i="20"/>
  <c r="C22" i="20"/>
  <c r="C108" i="20"/>
  <c r="C122" i="20"/>
  <c r="C61" i="20"/>
  <c r="C106" i="20"/>
  <c r="C70" i="20"/>
  <c r="C45" i="20"/>
  <c r="C46" i="20"/>
  <c r="C66" i="20"/>
  <c r="C54" i="20"/>
  <c r="C55" i="20"/>
  <c r="C47" i="20"/>
  <c r="C94" i="20"/>
  <c r="C73" i="20"/>
  <c r="C144" i="20"/>
  <c r="C110" i="20"/>
  <c r="C59" i="20"/>
  <c r="C138" i="20"/>
  <c r="C139" i="20"/>
  <c r="C140" i="20"/>
  <c r="C141" i="20"/>
  <c r="C111" i="20"/>
  <c r="C112" i="20"/>
  <c r="C71" i="20"/>
  <c r="C44" i="20"/>
  <c r="C48" i="20"/>
  <c r="C43" i="20"/>
  <c r="C129" i="20"/>
  <c r="C87" i="20"/>
  <c r="C93" i="20"/>
  <c r="C92" i="20"/>
  <c r="C85" i="20"/>
  <c r="C113" i="20"/>
  <c r="C82" i="20"/>
  <c r="C83" i="20"/>
  <c r="C80" i="20"/>
  <c r="C75" i="20"/>
  <c r="C50" i="20"/>
  <c r="C60" i="20"/>
  <c r="C146" i="20"/>
  <c r="C147" i="20"/>
  <c r="C131" i="20"/>
  <c r="C97" i="20"/>
  <c r="C148" i="20"/>
  <c r="C127" i="20"/>
  <c r="C142" i="20"/>
  <c r="C128" i="20"/>
  <c r="C133" i="20"/>
  <c r="C56" i="20"/>
  <c r="C134" i="20"/>
  <c r="C101" i="20"/>
  <c r="C86" i="20"/>
  <c r="C67" i="20"/>
  <c r="B2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106" i="19"/>
  <c r="C107" i="19"/>
  <c r="C108" i="19"/>
  <c r="C109" i="19"/>
  <c r="C110" i="19"/>
  <c r="C111" i="19"/>
  <c r="C112" i="19"/>
  <c r="C113" i="19"/>
  <c r="C114" i="19"/>
  <c r="C115" i="19"/>
  <c r="C116" i="19"/>
  <c r="C117" i="19"/>
  <c r="C118" i="19"/>
  <c r="C119" i="19"/>
  <c r="C120" i="19"/>
  <c r="C121" i="19"/>
  <c r="C122" i="19"/>
  <c r="C123" i="19"/>
  <c r="C124" i="19"/>
  <c r="C125" i="19"/>
  <c r="C126" i="19"/>
  <c r="C127" i="19"/>
  <c r="C128" i="19"/>
  <c r="C129" i="19"/>
  <c r="C130" i="19"/>
  <c r="C131" i="19"/>
  <c r="C132" i="19"/>
  <c r="C133" i="19"/>
  <c r="C134" i="19"/>
  <c r="C135" i="19"/>
  <c r="C136" i="19"/>
  <c r="C137" i="19"/>
  <c r="C138" i="19"/>
  <c r="C139" i="19"/>
  <c r="C140" i="19"/>
  <c r="C141" i="19"/>
  <c r="C142" i="19"/>
  <c r="C143" i="19"/>
  <c r="C144" i="19"/>
  <c r="C145" i="19"/>
  <c r="C146" i="19"/>
  <c r="C147" i="19"/>
  <c r="C148" i="19"/>
  <c r="C149" i="19"/>
  <c r="C150" i="19"/>
  <c r="C151" i="19"/>
  <c r="C152" i="19"/>
  <c r="C153" i="19"/>
  <c r="C154" i="19"/>
  <c r="C155" i="19"/>
  <c r="C156" i="19"/>
  <c r="C157" i="19"/>
  <c r="C158" i="19"/>
  <c r="C159" i="19"/>
  <c r="C160" i="19"/>
  <c r="C161" i="19"/>
  <c r="C162" i="19"/>
  <c r="C163" i="19"/>
  <c r="C164" i="19"/>
  <c r="C165" i="19"/>
  <c r="C166" i="19"/>
  <c r="C167" i="19"/>
  <c r="C168" i="19"/>
  <c r="C169" i="19"/>
  <c r="C170" i="19"/>
  <c r="C171" i="19"/>
  <c r="C172" i="19"/>
  <c r="C173" i="19"/>
  <c r="C174" i="19"/>
  <c r="C175" i="19"/>
  <c r="C176" i="19"/>
  <c r="C177" i="19"/>
  <c r="C178" i="19"/>
  <c r="C179" i="19"/>
  <c r="C180" i="19"/>
  <c r="C181" i="19"/>
  <c r="C182" i="19"/>
  <c r="C183" i="19"/>
  <c r="C184" i="19"/>
  <c r="C185" i="19"/>
  <c r="C186" i="19"/>
  <c r="C187" i="19"/>
  <c r="C188" i="19"/>
  <c r="C189" i="19"/>
  <c r="C190" i="19"/>
  <c r="C191" i="19"/>
  <c r="C192" i="19"/>
  <c r="C193" i="19"/>
  <c r="C194" i="19"/>
  <c r="C195" i="19"/>
  <c r="C196" i="19"/>
  <c r="C197" i="19"/>
  <c r="C198" i="19"/>
  <c r="C199" i="19"/>
  <c r="C200" i="19"/>
  <c r="C201" i="19"/>
  <c r="C202" i="19"/>
  <c r="C203" i="19"/>
  <c r="C204" i="19"/>
  <c r="C205" i="19"/>
  <c r="C206" i="19"/>
  <c r="C207" i="19"/>
  <c r="C208" i="19"/>
  <c r="C209" i="19"/>
  <c r="C210" i="19"/>
  <c r="C211" i="19"/>
  <c r="C212" i="19"/>
  <c r="C213" i="19"/>
  <c r="C214" i="19"/>
  <c r="C215" i="19"/>
  <c r="C216" i="19"/>
  <c r="C217" i="19"/>
  <c r="C218" i="19"/>
  <c r="C219" i="19"/>
  <c r="C220" i="19"/>
  <c r="C221" i="19"/>
  <c r="C222" i="19"/>
  <c r="C223" i="19"/>
  <c r="C224" i="19"/>
  <c r="C225" i="19"/>
  <c r="C226" i="19"/>
  <c r="C227" i="19"/>
  <c r="C228" i="19"/>
  <c r="C229" i="19"/>
  <c r="C230" i="19"/>
  <c r="C231" i="19"/>
  <c r="C232" i="19"/>
  <c r="C233" i="19"/>
  <c r="C234" i="19"/>
  <c r="C235" i="19"/>
  <c r="C236" i="19"/>
  <c r="C237" i="19"/>
  <c r="C238" i="19"/>
  <c r="C239" i="19"/>
  <c r="C240" i="19"/>
  <c r="C241" i="19"/>
  <c r="C242" i="19"/>
  <c r="C243" i="19"/>
  <c r="C244" i="19"/>
  <c r="C245" i="19"/>
  <c r="C246" i="19"/>
  <c r="C247" i="19"/>
  <c r="C248" i="19"/>
  <c r="C249" i="19"/>
  <c r="C250" i="19"/>
  <c r="C251" i="19"/>
  <c r="C252" i="19"/>
  <c r="C253" i="19"/>
  <c r="C254" i="19"/>
  <c r="C255" i="19"/>
  <c r="C256" i="19"/>
  <c r="C257" i="19"/>
  <c r="C258" i="19"/>
  <c r="C259" i="19"/>
  <c r="C260" i="19"/>
  <c r="C261" i="19"/>
  <c r="C262" i="19"/>
  <c r="C263" i="19"/>
  <c r="C264" i="19"/>
  <c r="C265" i="19"/>
  <c r="C266" i="19"/>
  <c r="C267" i="19"/>
  <c r="C268" i="19"/>
  <c r="C269" i="19"/>
  <c r="C270" i="19"/>
  <c r="C271" i="19"/>
  <c r="C272" i="19"/>
  <c r="C273" i="19"/>
  <c r="C274" i="19"/>
  <c r="C275" i="19"/>
  <c r="C276" i="19"/>
  <c r="C277" i="19"/>
  <c r="C278" i="19"/>
  <c r="C279" i="19"/>
  <c r="C280" i="19"/>
  <c r="C281" i="19"/>
  <c r="C282" i="19"/>
  <c r="C283" i="19"/>
  <c r="C284" i="19"/>
  <c r="C285" i="19"/>
  <c r="C286" i="19"/>
  <c r="C287" i="19"/>
  <c r="C288" i="19"/>
  <c r="C289" i="19"/>
  <c r="C290" i="19"/>
  <c r="C291" i="19"/>
  <c r="C292" i="19"/>
  <c r="C293" i="19"/>
  <c r="C294" i="19"/>
  <c r="C295" i="19"/>
  <c r="C296" i="19"/>
  <c r="C297" i="19"/>
  <c r="C298" i="19"/>
  <c r="C299" i="19"/>
  <c r="C300" i="19"/>
  <c r="C301" i="19"/>
  <c r="C302" i="19"/>
  <c r="C303" i="19"/>
  <c r="C304" i="19"/>
  <c r="C305" i="19"/>
  <c r="C306" i="19"/>
  <c r="C307" i="19"/>
  <c r="C308" i="19"/>
  <c r="C309" i="19"/>
  <c r="C310" i="19"/>
  <c r="C311" i="19"/>
  <c r="C312" i="19"/>
  <c r="B2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57" i="18"/>
  <c r="C58" i="18"/>
  <c r="C59" i="18"/>
  <c r="C60" i="18"/>
  <c r="C61" i="18"/>
  <c r="C62" i="18"/>
  <c r="C63" i="18"/>
  <c r="C64" i="18"/>
  <c r="C65" i="18"/>
  <c r="C66" i="18"/>
  <c r="C67" i="18"/>
  <c r="C68" i="18"/>
  <c r="C69" i="18"/>
  <c r="C70" i="18"/>
  <c r="C71" i="18"/>
  <c r="C72" i="18"/>
  <c r="C73" i="18"/>
  <c r="C74" i="18"/>
  <c r="C75" i="18"/>
  <c r="C76" i="18"/>
  <c r="C77" i="18"/>
  <c r="C78" i="18"/>
  <c r="C79" i="18"/>
  <c r="C80" i="18"/>
  <c r="C81" i="18"/>
  <c r="C82" i="18"/>
  <c r="C83" i="18"/>
  <c r="C84" i="18"/>
  <c r="C85" i="18"/>
  <c r="C86" i="18"/>
  <c r="C87" i="18"/>
  <c r="C88" i="18"/>
  <c r="C89" i="18"/>
  <c r="C90" i="18"/>
  <c r="C91" i="18"/>
  <c r="C92" i="18"/>
  <c r="C93" i="18"/>
  <c r="C94" i="18"/>
  <c r="C95" i="18"/>
  <c r="C96" i="18"/>
  <c r="C97" i="18"/>
  <c r="C98" i="18"/>
  <c r="C99" i="18"/>
  <c r="C100" i="18"/>
  <c r="C101" i="18"/>
  <c r="C102" i="18"/>
  <c r="C103" i="18"/>
  <c r="C104" i="18"/>
  <c r="C105" i="18"/>
  <c r="C106" i="18"/>
  <c r="C107" i="18"/>
  <c r="C108" i="18"/>
  <c r="C109" i="18"/>
  <c r="C110" i="18"/>
  <c r="C111" i="18"/>
  <c r="C112" i="18"/>
  <c r="C113" i="18"/>
  <c r="C114" i="18"/>
  <c r="C115" i="18"/>
  <c r="C116" i="18"/>
  <c r="C117" i="18"/>
  <c r="C118" i="18"/>
  <c r="C119" i="18"/>
  <c r="C120" i="18"/>
  <c r="C121" i="18"/>
  <c r="C122" i="18"/>
  <c r="C123" i="18"/>
  <c r="C124" i="18"/>
  <c r="C125" i="18"/>
  <c r="C126" i="18"/>
  <c r="C127" i="18"/>
  <c r="C128" i="18"/>
  <c r="C129" i="18"/>
  <c r="C130" i="18"/>
  <c r="C131" i="18"/>
  <c r="C132" i="18"/>
  <c r="C133" i="18"/>
  <c r="C134" i="18"/>
  <c r="C135" i="18"/>
  <c r="C136" i="18"/>
  <c r="C137" i="18"/>
  <c r="C138" i="18"/>
  <c r="C139" i="18"/>
  <c r="C140" i="18"/>
  <c r="C141" i="18"/>
  <c r="C142" i="18"/>
  <c r="C143" i="18"/>
  <c r="C144" i="18"/>
  <c r="C145" i="18"/>
  <c r="C146" i="18"/>
  <c r="C147" i="18"/>
  <c r="C148" i="18"/>
  <c r="C149" i="18"/>
  <c r="C150" i="18"/>
  <c r="C151" i="18"/>
  <c r="C152" i="18"/>
  <c r="C153" i="18"/>
  <c r="C154" i="18"/>
  <c r="C155" i="18"/>
  <c r="C156" i="18"/>
  <c r="C157" i="18"/>
  <c r="C158" i="18"/>
  <c r="C159" i="18"/>
  <c r="C160" i="18"/>
  <c r="C161" i="18"/>
  <c r="C162" i="18"/>
  <c r="C163" i="18"/>
  <c r="C164" i="18"/>
  <c r="C165" i="18"/>
  <c r="C166" i="18"/>
  <c r="C167" i="18"/>
  <c r="C168" i="18"/>
  <c r="C169" i="18"/>
  <c r="C170" i="18"/>
  <c r="C171" i="18"/>
  <c r="C172" i="18"/>
  <c r="C173" i="18"/>
  <c r="C174" i="18"/>
  <c r="C175" i="18"/>
  <c r="C176" i="18"/>
  <c r="C177" i="18"/>
  <c r="C178" i="18"/>
  <c r="C179" i="18"/>
  <c r="C180" i="18"/>
  <c r="C181" i="18"/>
  <c r="C182" i="18"/>
  <c r="C183" i="18"/>
  <c r="C184" i="18"/>
  <c r="C185" i="18"/>
  <c r="C186" i="18"/>
  <c r="C187" i="18"/>
  <c r="C188" i="18"/>
  <c r="C189" i="18"/>
  <c r="C190" i="18"/>
  <c r="C191" i="18"/>
  <c r="C192" i="18"/>
  <c r="C193" i="18"/>
  <c r="C194" i="18"/>
  <c r="C195" i="18"/>
  <c r="C196" i="18"/>
  <c r="C197" i="18"/>
  <c r="C198" i="18"/>
  <c r="C199" i="18"/>
  <c r="C200" i="18"/>
  <c r="C201" i="18"/>
  <c r="C202" i="18"/>
  <c r="C203" i="18"/>
  <c r="C204" i="18"/>
  <c r="C205" i="18"/>
  <c r="C206" i="18"/>
  <c r="C207" i="18"/>
  <c r="C208" i="18"/>
  <c r="C209" i="18"/>
  <c r="C210" i="18"/>
  <c r="C211" i="18"/>
  <c r="C212" i="18"/>
  <c r="C213" i="18"/>
  <c r="C214" i="18"/>
  <c r="C215" i="18"/>
  <c r="C216" i="18"/>
  <c r="C217" i="18"/>
  <c r="C218" i="18"/>
  <c r="C219" i="18"/>
  <c r="C220" i="18"/>
  <c r="C221" i="18"/>
  <c r="C222" i="18"/>
  <c r="C223" i="18"/>
  <c r="C224" i="18"/>
  <c r="C225" i="18"/>
  <c r="C226" i="18"/>
  <c r="C227" i="18"/>
  <c r="C228" i="18"/>
  <c r="C229" i="18"/>
  <c r="C230" i="18"/>
  <c r="C231" i="18"/>
  <c r="C232" i="18"/>
  <c r="C233" i="18"/>
  <c r="C234" i="18"/>
  <c r="C235" i="18"/>
  <c r="C236" i="18"/>
  <c r="C237" i="18"/>
  <c r="C238" i="18"/>
  <c r="C239" i="18"/>
  <c r="C240" i="18"/>
  <c r="C241" i="18"/>
  <c r="C242" i="18"/>
  <c r="C243" i="18"/>
  <c r="C244" i="18"/>
  <c r="C245" i="18"/>
  <c r="C246" i="18"/>
  <c r="C247" i="18"/>
  <c r="C248" i="18"/>
  <c r="C249" i="18"/>
  <c r="C250" i="18"/>
  <c r="C251" i="18"/>
  <c r="C252" i="18"/>
  <c r="C253" i="18"/>
  <c r="C254" i="18"/>
  <c r="C255" i="18"/>
  <c r="C256" i="18"/>
  <c r="C257" i="18"/>
  <c r="C258" i="18"/>
  <c r="C259" i="18"/>
  <c r="C260" i="18"/>
  <c r="C261" i="18"/>
  <c r="C262" i="18"/>
  <c r="C263" i="18"/>
  <c r="C264" i="18"/>
  <c r="C265" i="18"/>
  <c r="C266" i="18"/>
  <c r="C267" i="18"/>
  <c r="C268" i="18"/>
  <c r="C269" i="18"/>
  <c r="C270" i="18"/>
  <c r="C271" i="18"/>
  <c r="C272" i="18"/>
  <c r="C273" i="18"/>
  <c r="C274" i="18"/>
  <c r="C275" i="18"/>
  <c r="C276" i="18"/>
  <c r="C277" i="18"/>
  <c r="C278" i="18"/>
  <c r="C279" i="18"/>
  <c r="C280" i="18"/>
  <c r="C281" i="18"/>
  <c r="C282" i="18"/>
  <c r="C283" i="18"/>
  <c r="C284" i="18"/>
  <c r="C285" i="18"/>
  <c r="C286" i="18"/>
  <c r="C287" i="18"/>
  <c r="C288" i="18"/>
  <c r="C289" i="18"/>
  <c r="C290" i="18"/>
  <c r="C291" i="18"/>
  <c r="C292" i="18"/>
  <c r="C293" i="18"/>
  <c r="C294" i="18"/>
  <c r="C295" i="18"/>
  <c r="C296" i="18"/>
  <c r="C297" i="18"/>
  <c r="C298" i="18"/>
  <c r="C299" i="18"/>
  <c r="C300" i="18"/>
  <c r="C301" i="18"/>
  <c r="C302" i="18"/>
  <c r="C303" i="18"/>
  <c r="C304" i="18"/>
  <c r="C305" i="18"/>
  <c r="C306" i="18"/>
  <c r="C307" i="18"/>
  <c r="C308" i="18"/>
  <c r="C309" i="18"/>
  <c r="C310" i="18"/>
  <c r="C311" i="18"/>
  <c r="C312" i="18"/>
  <c r="C313" i="18"/>
  <c r="C314" i="18"/>
  <c r="C315" i="18"/>
  <c r="C316" i="18"/>
  <c r="C317" i="18"/>
  <c r="C318" i="18"/>
  <c r="C319" i="18"/>
  <c r="C320" i="18"/>
  <c r="C321" i="18"/>
  <c r="C322" i="18"/>
  <c r="C323" i="18"/>
  <c r="C324" i="18"/>
  <c r="C325" i="18"/>
  <c r="C326" i="18"/>
  <c r="C327" i="18"/>
  <c r="C328" i="18"/>
  <c r="C329" i="18"/>
  <c r="C330" i="18"/>
  <c r="C331" i="18"/>
  <c r="C332" i="18"/>
  <c r="C333" i="18"/>
  <c r="C334" i="18"/>
  <c r="C335" i="18"/>
  <c r="B2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C138" i="17"/>
  <c r="C139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B2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99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113" i="16"/>
  <c r="C114" i="16"/>
  <c r="C115" i="16"/>
  <c r="C116" i="16"/>
  <c r="C117" i="16"/>
  <c r="C118" i="16"/>
  <c r="C119" i="16"/>
  <c r="C120" i="16"/>
  <c r="C121" i="16"/>
  <c r="C122" i="16"/>
  <c r="C123" i="16"/>
  <c r="C124" i="16"/>
  <c r="C125" i="16"/>
  <c r="C126" i="16"/>
  <c r="C127" i="16"/>
  <c r="C128" i="16"/>
  <c r="C129" i="16"/>
  <c r="C130" i="16"/>
  <c r="C131" i="16"/>
  <c r="C132" i="16"/>
  <c r="C133" i="16"/>
  <c r="C134" i="16"/>
  <c r="C135" i="16"/>
  <c r="C136" i="16"/>
  <c r="C137" i="16"/>
  <c r="C138" i="16"/>
  <c r="C139" i="16"/>
  <c r="C140" i="16"/>
  <c r="C141" i="16"/>
  <c r="C142" i="16"/>
  <c r="C143" i="16"/>
  <c r="C144" i="16"/>
  <c r="C145" i="16"/>
  <c r="C146" i="16"/>
  <c r="C147" i="16"/>
  <c r="C148" i="16"/>
  <c r="C149" i="16"/>
  <c r="C150" i="16"/>
  <c r="C151" i="16"/>
  <c r="C152" i="16"/>
  <c r="C153" i="16"/>
  <c r="C154" i="16"/>
  <c r="C155" i="16"/>
  <c r="C156" i="16"/>
  <c r="C157" i="16"/>
  <c r="C158" i="16"/>
  <c r="C159" i="16"/>
  <c r="C160" i="16"/>
  <c r="C161" i="16"/>
  <c r="C162" i="16"/>
  <c r="C163" i="16"/>
  <c r="C164" i="16"/>
  <c r="C165" i="16"/>
  <c r="C166" i="16"/>
  <c r="C167" i="16"/>
  <c r="C168" i="16"/>
  <c r="C169" i="16"/>
  <c r="C170" i="16"/>
  <c r="C171" i="16"/>
  <c r="C172" i="16"/>
  <c r="C173" i="16"/>
  <c r="C174" i="16"/>
  <c r="C175" i="16"/>
  <c r="C176" i="16"/>
  <c r="C177" i="16"/>
  <c r="C178" i="16"/>
  <c r="C179" i="16"/>
  <c r="C180" i="16"/>
  <c r="C181" i="16"/>
  <c r="C182" i="16"/>
  <c r="C183" i="16"/>
  <c r="C184" i="16"/>
  <c r="C185" i="16"/>
  <c r="C186" i="16"/>
  <c r="C187" i="16"/>
  <c r="C188" i="16"/>
  <c r="C189" i="16"/>
  <c r="C190" i="16"/>
  <c r="C191" i="16"/>
  <c r="C192" i="16"/>
  <c r="C193" i="16"/>
  <c r="C194" i="16"/>
  <c r="C195" i="16"/>
  <c r="C196" i="16"/>
  <c r="C197" i="16"/>
  <c r="C198" i="16"/>
  <c r="C199" i="16"/>
  <c r="C200" i="16"/>
  <c r="C201" i="16"/>
  <c r="C202" i="16"/>
  <c r="C203" i="16"/>
  <c r="C204" i="16"/>
  <c r="C205" i="16"/>
  <c r="C206" i="16"/>
  <c r="C207" i="16"/>
  <c r="C208" i="16"/>
  <c r="C209" i="16"/>
  <c r="C210" i="16"/>
  <c r="C211" i="16"/>
  <c r="C212" i="16"/>
  <c r="C213" i="16"/>
  <c r="C214" i="16"/>
  <c r="C215" i="16"/>
  <c r="C216" i="16"/>
  <c r="C217" i="16"/>
  <c r="C218" i="16"/>
  <c r="C219" i="16"/>
  <c r="C220" i="16"/>
  <c r="C221" i="16"/>
  <c r="C222" i="16"/>
  <c r="C223" i="16"/>
  <c r="C224" i="16"/>
  <c r="C225" i="16"/>
  <c r="C226" i="16"/>
  <c r="C227" i="16"/>
  <c r="C228" i="16"/>
  <c r="C229" i="16"/>
  <c r="C230" i="16"/>
  <c r="C231" i="16"/>
  <c r="C232" i="16"/>
  <c r="C233" i="16"/>
  <c r="C234" i="16"/>
  <c r="C235" i="16"/>
  <c r="C236" i="16"/>
  <c r="C237" i="16"/>
  <c r="C238" i="16"/>
  <c r="C239" i="16"/>
  <c r="C240" i="16"/>
  <c r="C241" i="16"/>
  <c r="C242" i="16"/>
  <c r="C243" i="16"/>
  <c r="C244" i="16"/>
  <c r="C245" i="16"/>
  <c r="C246" i="16"/>
  <c r="C247" i="16"/>
  <c r="C248" i="16"/>
  <c r="C249" i="16"/>
  <c r="C250" i="16"/>
  <c r="C251" i="16"/>
  <c r="C252" i="16"/>
  <c r="C253" i="16"/>
  <c r="C254" i="16"/>
  <c r="C255" i="16"/>
  <c r="C256" i="16"/>
  <c r="C257" i="16"/>
  <c r="C258" i="16"/>
  <c r="C259" i="16"/>
  <c r="C260" i="16"/>
  <c r="C261" i="16"/>
  <c r="C262" i="16"/>
  <c r="C263" i="16"/>
  <c r="C264" i="16"/>
  <c r="C265" i="16"/>
  <c r="C266" i="16"/>
  <c r="C267" i="16"/>
  <c r="C268" i="16"/>
  <c r="C269" i="16"/>
  <c r="C270" i="16"/>
  <c r="C271" i="16"/>
  <c r="C272" i="16"/>
  <c r="C273" i="16"/>
  <c r="C274" i="16"/>
  <c r="C275" i="16"/>
  <c r="C276" i="16"/>
  <c r="C277" i="16"/>
  <c r="C278" i="16"/>
  <c r="C279" i="16"/>
  <c r="C280" i="16"/>
  <c r="C281" i="16"/>
  <c r="C282" i="16"/>
  <c r="C283" i="16"/>
  <c r="C284" i="16"/>
  <c r="C285" i="16"/>
  <c r="C286" i="16"/>
  <c r="C287" i="16"/>
  <c r="C288" i="16"/>
  <c r="C289" i="16"/>
  <c r="C290" i="16"/>
  <c r="C291" i="16"/>
  <c r="C292" i="16"/>
  <c r="C293" i="16"/>
  <c r="C294" i="16"/>
  <c r="C295" i="16"/>
  <c r="C296" i="16"/>
  <c r="C297" i="16"/>
  <c r="C298" i="16"/>
  <c r="C299" i="16"/>
  <c r="C300" i="16"/>
  <c r="C301" i="16"/>
  <c r="C302" i="16"/>
  <c r="C303" i="16"/>
  <c r="C304" i="16"/>
  <c r="C305" i="16"/>
  <c r="C306" i="16"/>
  <c r="C307" i="16"/>
  <c r="C308" i="16"/>
  <c r="C309" i="16"/>
  <c r="C310" i="16"/>
  <c r="C311" i="16"/>
  <c r="C312" i="16"/>
  <c r="C313" i="16"/>
  <c r="C314" i="16"/>
  <c r="C315" i="16"/>
  <c r="C316" i="16"/>
  <c r="C317" i="16"/>
  <c r="C318" i="16"/>
  <c r="C319" i="16"/>
  <c r="C320" i="16"/>
  <c r="C321" i="16"/>
  <c r="C322" i="16"/>
  <c r="C323" i="16"/>
  <c r="C324" i="16"/>
  <c r="C325" i="16"/>
  <c r="C326" i="16"/>
  <c r="C327" i="16"/>
  <c r="C328" i="16"/>
  <c r="C329" i="16"/>
  <c r="C330" i="16"/>
  <c r="C331" i="16"/>
  <c r="C332" i="16"/>
  <c r="C333" i="16"/>
  <c r="C334" i="16"/>
  <c r="C335" i="16"/>
  <c r="C336" i="16"/>
  <c r="C337" i="16"/>
  <c r="C338" i="16"/>
  <c r="C339" i="16"/>
  <c r="C340" i="16"/>
  <c r="C341" i="16"/>
  <c r="C342" i="16"/>
  <c r="C343" i="16"/>
  <c r="C344" i="16"/>
  <c r="C345" i="16"/>
  <c r="C346" i="16"/>
  <c r="C347" i="16"/>
  <c r="C348" i="16"/>
  <c r="C349" i="16"/>
  <c r="C350" i="16"/>
  <c r="C351" i="16"/>
  <c r="C352" i="16"/>
  <c r="C353" i="16"/>
  <c r="C354" i="16"/>
  <c r="C355" i="16"/>
  <c r="C356" i="16"/>
  <c r="C357" i="16"/>
  <c r="C358" i="16"/>
  <c r="C359" i="16"/>
  <c r="C360" i="16"/>
  <c r="C361" i="16"/>
  <c r="C362" i="16"/>
  <c r="C363" i="16"/>
  <c r="C364" i="16"/>
  <c r="C365" i="16"/>
  <c r="C366" i="16"/>
  <c r="C367" i="16"/>
  <c r="C368" i="16"/>
  <c r="C369" i="16"/>
  <c r="C370" i="16"/>
  <c r="C371" i="16"/>
  <c r="C372" i="16"/>
  <c r="C373" i="16"/>
  <c r="C374" i="16"/>
  <c r="C375" i="16"/>
  <c r="C376" i="16"/>
  <c r="C377" i="16"/>
  <c r="C378" i="16"/>
  <c r="C379" i="16"/>
  <c r="C380" i="16"/>
  <c r="C381" i="16"/>
  <c r="C382" i="16"/>
  <c r="C383" i="16"/>
  <c r="C384" i="16"/>
  <c r="C385" i="16"/>
  <c r="C386" i="16"/>
  <c r="C387" i="16"/>
  <c r="C388" i="16"/>
  <c r="C389" i="16"/>
  <c r="C390" i="16"/>
  <c r="C391" i="16"/>
  <c r="C392" i="16"/>
  <c r="C393" i="16"/>
  <c r="C394" i="16"/>
  <c r="C395" i="16"/>
  <c r="C396" i="16"/>
  <c r="C397" i="16"/>
  <c r="C398" i="16"/>
  <c r="C399" i="16"/>
  <c r="C400" i="16"/>
  <c r="C401" i="16"/>
  <c r="C402" i="16"/>
  <c r="C403" i="16"/>
  <c r="C404" i="16"/>
  <c r="C405" i="16"/>
  <c r="C406" i="16"/>
  <c r="C407" i="16"/>
  <c r="C408" i="16"/>
  <c r="C409" i="16"/>
  <c r="C410" i="16"/>
  <c r="C411" i="16"/>
  <c r="C412" i="16"/>
  <c r="C413" i="16"/>
  <c r="C414" i="16"/>
  <c r="C415" i="16"/>
  <c r="C416" i="16"/>
  <c r="C417" i="16"/>
  <c r="C418" i="16"/>
  <c r="C419" i="16"/>
  <c r="C420" i="16"/>
  <c r="C421" i="16"/>
  <c r="C422" i="16"/>
  <c r="C423" i="16"/>
  <c r="C424" i="16"/>
  <c r="C425" i="16"/>
  <c r="C426" i="16"/>
  <c r="C427" i="16"/>
  <c r="C428" i="16"/>
  <c r="C429" i="16"/>
  <c r="C430" i="16"/>
  <c r="C431" i="16"/>
  <c r="C432" i="16"/>
  <c r="C433" i="16"/>
  <c r="C434" i="16"/>
  <c r="C435" i="16"/>
  <c r="C436" i="16"/>
  <c r="C437" i="16"/>
  <c r="C438" i="16"/>
  <c r="C439" i="16"/>
  <c r="C440" i="16"/>
  <c r="C441" i="16"/>
  <c r="C442" i="16"/>
  <c r="C443" i="16"/>
  <c r="C444" i="16"/>
  <c r="C445" i="16"/>
  <c r="C446" i="16"/>
  <c r="C447" i="16"/>
  <c r="C448" i="16"/>
  <c r="C449" i="16"/>
  <c r="C450" i="16"/>
  <c r="C451" i="16"/>
  <c r="C452" i="16"/>
  <c r="C453" i="16"/>
  <c r="C454" i="16"/>
  <c r="C455" i="16"/>
  <c r="C456" i="16"/>
  <c r="C457" i="16"/>
  <c r="C458" i="16"/>
  <c r="C459" i="16"/>
  <c r="C460" i="16"/>
  <c r="C461" i="16"/>
  <c r="C462" i="16"/>
  <c r="C463" i="16"/>
  <c r="C464" i="16"/>
  <c r="C465" i="16"/>
  <c r="C466" i="16"/>
  <c r="C467" i="16"/>
  <c r="C468" i="16"/>
  <c r="C469" i="16"/>
  <c r="C470" i="16"/>
  <c r="C471" i="16"/>
  <c r="C472" i="16"/>
  <c r="C473" i="16"/>
  <c r="C474" i="16"/>
  <c r="C475" i="16"/>
  <c r="C476" i="16"/>
  <c r="C477" i="16"/>
  <c r="C478" i="16"/>
  <c r="C479" i="16"/>
  <c r="C480" i="16"/>
  <c r="C481" i="16"/>
  <c r="C482" i="16"/>
  <c r="C483" i="16"/>
  <c r="C484" i="16"/>
  <c r="C485" i="16"/>
  <c r="C486" i="16"/>
  <c r="C487" i="16"/>
  <c r="C488" i="16"/>
  <c r="C489" i="16"/>
  <c r="C490" i="16"/>
  <c r="C491" i="16"/>
  <c r="C492" i="16"/>
  <c r="C493" i="16"/>
  <c r="C494" i="16"/>
  <c r="C495" i="16"/>
  <c r="C496" i="16"/>
  <c r="C497" i="16"/>
  <c r="C498" i="16"/>
  <c r="C499" i="16"/>
  <c r="C500" i="16"/>
  <c r="C501" i="16"/>
  <c r="C502" i="16"/>
  <c r="C503" i="16"/>
  <c r="C504" i="16"/>
  <c r="C505" i="16"/>
  <c r="C506" i="16"/>
  <c r="C507" i="16"/>
  <c r="C508" i="16"/>
  <c r="C509" i="16"/>
  <c r="C510" i="16"/>
  <c r="C511" i="16"/>
  <c r="C512" i="16"/>
  <c r="C513" i="16"/>
  <c r="C514" i="16"/>
  <c r="C515" i="16"/>
  <c r="C516" i="16"/>
  <c r="C517" i="16"/>
  <c r="C518" i="16"/>
  <c r="C519" i="16"/>
  <c r="C520" i="16"/>
  <c r="C521" i="16"/>
  <c r="C522" i="16"/>
  <c r="C523" i="16"/>
  <c r="C524" i="16"/>
  <c r="C525" i="16"/>
  <c r="C526" i="16"/>
  <c r="C527" i="16"/>
  <c r="C528" i="16"/>
  <c r="C529" i="16"/>
  <c r="C530" i="16"/>
  <c r="C531" i="16"/>
  <c r="C532" i="16"/>
  <c r="C533" i="16"/>
  <c r="C534" i="16"/>
  <c r="C535" i="16"/>
  <c r="C536" i="16"/>
  <c r="C537" i="16"/>
  <c r="C538" i="16"/>
  <c r="C539" i="16"/>
  <c r="C540" i="16"/>
  <c r="C541" i="16"/>
  <c r="C542" i="16"/>
  <c r="C543" i="16"/>
  <c r="C544" i="16"/>
  <c r="C545" i="16"/>
  <c r="C546" i="16"/>
  <c r="C547" i="16"/>
  <c r="C548" i="16"/>
  <c r="B2" i="15"/>
  <c r="C42" i="15"/>
  <c r="C72" i="15"/>
  <c r="C70" i="15"/>
  <c r="C61" i="15"/>
  <c r="C50" i="15"/>
  <c r="C41" i="15"/>
  <c r="C69" i="15"/>
  <c r="C59" i="15"/>
  <c r="C74" i="15"/>
  <c r="C73" i="15"/>
  <c r="C63" i="15"/>
  <c r="C52" i="15"/>
  <c r="C67" i="15"/>
  <c r="C38" i="15"/>
  <c r="C36" i="15"/>
  <c r="C20" i="15"/>
  <c r="C55" i="15"/>
  <c r="C30" i="15"/>
  <c r="C19" i="15"/>
  <c r="C16" i="15"/>
  <c r="C17" i="15"/>
  <c r="C18" i="15"/>
  <c r="C62" i="15"/>
  <c r="C58" i="15"/>
  <c r="C54" i="15"/>
  <c r="C56" i="15"/>
  <c r="C51" i="15"/>
  <c r="C71" i="15"/>
  <c r="C60" i="15"/>
  <c r="C53" i="15"/>
  <c r="C57" i="15"/>
  <c r="C49" i="15"/>
  <c r="C48" i="15"/>
  <c r="C45" i="15"/>
  <c r="C46" i="15"/>
  <c r="C47" i="15"/>
  <c r="C40" i="15"/>
  <c r="C15" i="15"/>
  <c r="C13" i="15"/>
  <c r="C14" i="15"/>
  <c r="C12" i="15"/>
  <c r="C65" i="15"/>
  <c r="C66" i="15"/>
  <c r="C43" i="15"/>
  <c r="C31" i="15"/>
  <c r="C32" i="15"/>
  <c r="C21" i="15"/>
  <c r="C22" i="15"/>
  <c r="C37" i="15"/>
  <c r="C23" i="15"/>
  <c r="C24" i="15"/>
  <c r="C25" i="15"/>
  <c r="C26" i="15"/>
  <c r="C44" i="15"/>
  <c r="C33" i="15"/>
  <c r="C34" i="15"/>
  <c r="C27" i="15"/>
  <c r="C28" i="15"/>
  <c r="C29" i="15"/>
  <c r="C35" i="15"/>
  <c r="C68" i="15"/>
  <c r="C64" i="15"/>
  <c r="C39" i="15"/>
</calcChain>
</file>

<file path=xl/sharedStrings.xml><?xml version="1.0" encoding="utf-8"?>
<sst xmlns="http://schemas.openxmlformats.org/spreadsheetml/2006/main" count="34058" uniqueCount="15157">
  <si>
    <t>Fg_down &amp; ABA_up</t>
  </si>
  <si>
    <t>Gene list (62)</t>
  </si>
  <si>
    <t>Gene Count:</t>
  </si>
  <si>
    <t>TraesCS1D01G337900</t>
  </si>
  <si>
    <t>Background Gene Count:</t>
  </si>
  <si>
    <t>TraesCS2B01G057800</t>
  </si>
  <si>
    <t>Ontology:</t>
  </si>
  <si>
    <t>G:\Software\GOAnalyzer\Deployment\Data\gofiles\gene_ontology_edit.obo</t>
  </si>
  <si>
    <t>TraesCS3B01G539600</t>
  </si>
  <si>
    <t>Annotation:</t>
  </si>
  <si>
    <t>G:\Software\GOAnalyzer\Deployment\Data\gofiles\\gene_association.UserDefined</t>
  </si>
  <si>
    <t>TraesCS4A01G060600</t>
  </si>
  <si>
    <t>Hierarchy:</t>
  </si>
  <si>
    <t>All</t>
  </si>
  <si>
    <t>TraesCS5B01G414400</t>
  </si>
  <si>
    <t>Correction:</t>
  </si>
  <si>
    <t>Benjamini FDR</t>
  </si>
  <si>
    <t>TraesCS6A01G318600</t>
  </si>
  <si>
    <t>Max Path Length From Leaf:</t>
  </si>
  <si>
    <t>N/A</t>
  </si>
  <si>
    <t>TraesCS6D01G065100</t>
  </si>
  <si>
    <t>Min Path Length From Root:</t>
  </si>
  <si>
    <t>TraesCS7B01G499300</t>
  </si>
  <si>
    <t>TraesCSU01G250300</t>
  </si>
  <si>
    <t>GO ID</t>
  </si>
  <si>
    <t>Description</t>
  </si>
  <si>
    <t>Total Genes</t>
  </si>
  <si>
    <t>Matched Gene Counts</t>
  </si>
  <si>
    <t>P-Value</t>
  </si>
  <si>
    <t>Corrected P-Value</t>
  </si>
  <si>
    <t>Matched Genes</t>
  </si>
  <si>
    <t>TraesCS1A01G238600</t>
  </si>
  <si>
    <t>growth factor activity</t>
  </si>
  <si>
    <t>TraesCS4B01G236000;TraesCS4A01G060600</t>
  </si>
  <si>
    <t>TraesCS1B01G127400</t>
  </si>
  <si>
    <t>receptor regulator activity</t>
  </si>
  <si>
    <t>TraesCS1D01G090800</t>
  </si>
  <si>
    <t>receptor ligand activity</t>
  </si>
  <si>
    <t>TraesCS1D01G420400</t>
  </si>
  <si>
    <t>signaling receptor binding</t>
  </si>
  <si>
    <t>TraesCS2A01G377400</t>
  </si>
  <si>
    <t>inositol phosphate biosynthetic process</t>
  </si>
  <si>
    <t>TraesCS3D01G339300;TraesCS3A01G345200</t>
  </si>
  <si>
    <t>TraesCS2B01G582000</t>
  </si>
  <si>
    <t>myo-inositol hexakisphosphate metabolic process</t>
  </si>
  <si>
    <t>TraesCS3A01G066600</t>
  </si>
  <si>
    <t>myo-inositol hexakisphosphate biosynthetic process</t>
  </si>
  <si>
    <t>TraesCS3A01G345200</t>
  </si>
  <si>
    <t>polyol biosynthetic process</t>
  </si>
  <si>
    <t>TraesCS3A01G346900</t>
  </si>
  <si>
    <t>inositol phosphate metabolic process</t>
  </si>
  <si>
    <t>TraesCS3B01G377300</t>
  </si>
  <si>
    <t>phosphatidylinositol-4,5-bisphosphate phosphatase activity</t>
  </si>
  <si>
    <t>TraesCS4B01G070500</t>
  </si>
  <si>
    <t>TraesCS3B01G378600</t>
  </si>
  <si>
    <t>phosphatidylinositol-4,5-bisphosphate 5-phosphatase activity</t>
  </si>
  <si>
    <t>TraesCS3D01G339300</t>
  </si>
  <si>
    <t>inositol trisphosphate phosphatase activity</t>
  </si>
  <si>
    <t>TraesCS3D01G340500</t>
  </si>
  <si>
    <t>inositol-polyphosphate 5-phosphatase activity</t>
  </si>
  <si>
    <t>phosphatidylinositol trisphosphate phosphatase activity</t>
  </si>
  <si>
    <t>TraesCS4D01G125700</t>
  </si>
  <si>
    <t>phosphatidylinositol-3,4,5-trisphosphate 5-phosphatase activity</t>
  </si>
  <si>
    <t>TraesCS5A01G547700</t>
  </si>
  <si>
    <t>inositol-1,4,5-trisphosphate 5-phosphatase activity</t>
  </si>
  <si>
    <t>TraesCS5D01G074300</t>
  </si>
  <si>
    <t>inositol tetrakisphosphate phosphatase activity</t>
  </si>
  <si>
    <t>TraesCS6B01G383600</t>
  </si>
  <si>
    <t>inositol-1,3,4,5-tetrakisphosphate 5-phosphatase activity</t>
  </si>
  <si>
    <t>TraesCS6D01G333200</t>
  </si>
  <si>
    <t>alcohol biosynthetic process</t>
  </si>
  <si>
    <t>TraesCS7A01G046800</t>
  </si>
  <si>
    <t>phosphatidylinositol phosphate 5-phosphatase activity</t>
  </si>
  <si>
    <t>TraesCS7A01G428800</t>
  </si>
  <si>
    <t>phosphatidylinositol bisphosphate phosphatase activity</t>
  </si>
  <si>
    <t>TraesCS7B01G110300</t>
  </si>
  <si>
    <t>phosphatidylinositol-3,5-bisphosphate phosphatase activity</t>
  </si>
  <si>
    <t>TraesCS7D01G206400</t>
  </si>
  <si>
    <t>phosphatidylinositol-3,5-bisphosphate 5-phosphatase activity</t>
  </si>
  <si>
    <t>TraesCS1A01G200400</t>
  </si>
  <si>
    <t>carbohydrate transport</t>
  </si>
  <si>
    <t>TraesCS5D01G046300;TraesCS5B01G040700</t>
  </si>
  <si>
    <t>TraesCS1B01G402600</t>
  </si>
  <si>
    <t>polyol metabolic process</t>
  </si>
  <si>
    <t>TraesCS1D01G048300</t>
  </si>
  <si>
    <t>inositol phosphate phosphatase activity</t>
  </si>
  <si>
    <t>TraesCS1D01G162800</t>
  </si>
  <si>
    <t>alcohol metabolic process</t>
  </si>
  <si>
    <t>TraesCS2A01G021700</t>
  </si>
  <si>
    <t>response to water</t>
  </si>
  <si>
    <t>TraesCS6D01G333200;TraesCS6B01G383600</t>
  </si>
  <si>
    <t>TraesCS2A01G522100</t>
  </si>
  <si>
    <t>cysteine-type peptidase activity</t>
  </si>
  <si>
    <t>TraesCS3A01G346900;TraesCS3B01G378600;TraesCS3D01G340500</t>
  </si>
  <si>
    <t>TraesCS2B01G289700</t>
  </si>
  <si>
    <t>O-methyltransferase activity</t>
  </si>
  <si>
    <t>TraesCS1D01G337900;TraesCS7A01G046800</t>
  </si>
  <si>
    <t>TraesCS2B01G483000</t>
  </si>
  <si>
    <t>hydrolase activity</t>
  </si>
  <si>
    <t>TraesCS1D01G090800;TraesCS3A01G346900;TraesCS2D01G022400;TraesCS4B01G070500;TraesCS5A01G547700;TraesCS1D01G420400;TraesCS3B01G378600;TraesCS2B01G597700;TraesCS3D01G340500;TraesCS1A01G238600;TraesCS7A01G430000;TraesCS7A01G428800</t>
  </si>
  <si>
    <t>TraesCS2B01G597700</t>
  </si>
  <si>
    <t>phosphatidylinositol phosphate phosphatase activity</t>
  </si>
  <si>
    <t>TraesCS2D01G022400</t>
  </si>
  <si>
    <t>phosphatidylinositol-3-phosphate biosynthetic process</t>
  </si>
  <si>
    <t>TraesCS2D01G022700</t>
  </si>
  <si>
    <t>positive regulation of RNA biosynthetic process</t>
  </si>
  <si>
    <t>TraesCS2D01G270000</t>
  </si>
  <si>
    <t>positive regulation of nucleic acid-templated transcription</t>
  </si>
  <si>
    <t>TraesCS2D01G392900</t>
  </si>
  <si>
    <t>positive regulation of transcription, DNA-templated</t>
  </si>
  <si>
    <t>TraesCS3A01G067500</t>
  </si>
  <si>
    <t>positive regulation of RNA metabolic process</t>
  </si>
  <si>
    <t>TraesCS3D01G067400</t>
  </si>
  <si>
    <t>positive regulation of nucleobase-containing compound metabolic process</t>
  </si>
  <si>
    <t>TraesCS3D01G501500</t>
  </si>
  <si>
    <t>hydrolase activity, acting on ester bonds</t>
  </si>
  <si>
    <t>TraesCS1D01G090800;TraesCS4B01G070500;TraesCS1D01G420400;TraesCS7A01G430000;TraesCS7A01G428800</t>
  </si>
  <si>
    <t>TraesCS4A01G489900</t>
  </si>
  <si>
    <t>positive regulation of macromolecule biosynthetic process</t>
  </si>
  <si>
    <t>TraesCS4B01G199700</t>
  </si>
  <si>
    <t>chloroplast organization</t>
  </si>
  <si>
    <t>TraesCS4B01G236000</t>
  </si>
  <si>
    <t>positive regulation of cellular biosynthetic process</t>
  </si>
  <si>
    <t>TraesCS5A01G347800</t>
  </si>
  <si>
    <t>positive regulation of gene expression</t>
  </si>
  <si>
    <t>TraesCS5B01G040700</t>
  </si>
  <si>
    <t>organic hydroxy compound biosynthetic process</t>
  </si>
  <si>
    <t>TraesCS5B01G423700</t>
  </si>
  <si>
    <t>positive regulation of biosynthetic process</t>
  </si>
  <si>
    <t>TraesCS5D01G046300</t>
  </si>
  <si>
    <t>positive regulation of nitrogen compound metabolic process</t>
  </si>
  <si>
    <t>TraesCS6B01G300600</t>
  </si>
  <si>
    <t>positive regulation of macromolecule metabolic process</t>
  </si>
  <si>
    <t>TraesCS6B01G316900</t>
  </si>
  <si>
    <t>phospholipase A1 activity</t>
  </si>
  <si>
    <t>TraesCS6B01G450200</t>
  </si>
  <si>
    <t>positive regulation of cellular metabolic process</t>
  </si>
  <si>
    <t>TraesCS6D01G122000</t>
  </si>
  <si>
    <t>fatty-acyl-CoA reductase (alcohol-forming) activity</t>
  </si>
  <si>
    <t>TraesCS6D01G389500</t>
  </si>
  <si>
    <t>positive regulation of metabolic process</t>
  </si>
  <si>
    <t>TraesCS7A01G430000</t>
  </si>
  <si>
    <t>plastid organization</t>
  </si>
  <si>
    <t>TraesCSU01G203200</t>
  </si>
  <si>
    <t>response to inorganic substance</t>
  </si>
  <si>
    <t>phospholipid dephosphorylation</t>
  </si>
  <si>
    <t>phosphatidylinositol dephosphorylation</t>
  </si>
  <si>
    <t>organic hydroxy compound metabolic process</t>
  </si>
  <si>
    <t>response to acid chemical</t>
  </si>
  <si>
    <t>protein dimerization activity</t>
  </si>
  <si>
    <t>TraesCS1D01G337900;TraesCS2B01G289700;TraesCS2D01G270000;TraesCS7A01G046800</t>
  </si>
  <si>
    <t>peptidase activity, acting on L-amino acid peptides</t>
  </si>
  <si>
    <t>TraesCS3A01G346900;TraesCS3B01G378600;TraesCS3D01G340500;TraesCS1A01G238600</t>
  </si>
  <si>
    <t>positive regulation of cellular process</t>
  </si>
  <si>
    <t>peptidase activity</t>
  </si>
  <si>
    <t>defense response</t>
  </si>
  <si>
    <t>TraesCS2B01G597700;TraesCS2B01G582000;TraesCS7B01G499300</t>
  </si>
  <si>
    <t>response to biotic stimulus</t>
  </si>
  <si>
    <t>TraesCS2B01G582000;TraesCS7B01G499300</t>
  </si>
  <si>
    <t>Fg_down &amp; ABA_down</t>
  </si>
  <si>
    <t>Gene list (3079)</t>
  </si>
  <si>
    <t>TraesCS1A01G011800</t>
  </si>
  <si>
    <t>TraesCS1A01G014300</t>
  </si>
  <si>
    <t>TraesCS1A01G020700</t>
  </si>
  <si>
    <t>TraesCS1A01G034600</t>
  </si>
  <si>
    <t>TraesCS1A01G058700</t>
  </si>
  <si>
    <t>TraesCS1A01G075000</t>
  </si>
  <si>
    <t>TraesCS1A01G078100</t>
  </si>
  <si>
    <t>TraesCS1A01G082300</t>
  </si>
  <si>
    <t>TraesCS1A01G083100</t>
  </si>
  <si>
    <t>TraesCS1A01G086300</t>
  </si>
  <si>
    <t>carbohydrate metabolic process</t>
  </si>
  <si>
    <t>TraesCS7A01G204500;TraesCS7D01G147700;TraesCS6B01G439100;TraesCS6A01G152400;TraesCS7B01G304400;TraesCS5A01G317400;TraesCS1D01G090100;TraesCS1A01G266600;TraesCS3B01G461800;TraesCS1A01G229300;TraesCS2B01G516700;TraesCS4B01G127600;TraesCS3B01G354300;TraesCS7A01G557900;TraesCS2D01G562400;TraesCS6A01G084500;TraesCS7A01G331500;TraesCS7D01G010000;TraesCS1A01G355200;TraesCS7A01G152300;TraesCS5B01G246400;TraesCS3D01G440200;TraesCS7B01G169700;TraesCS1A01G203700;TraesCS1D01G357000;TraesCS6B01G466600;TraesCS5B01G331300;TraesCS7B01G304500;TraesCS4D01G125100;TraesCS6B01G110400;TraesCS2A01G584800;TraesCS3D01G359200;TraesCS5B01G394000;TraesCS6B01G118000;TraesCS2A01G324800;TraesCSU01G082000;TraesCS6D01G312500;TraesCS5D01G099300;TraesCS6A01G023100;TraesCS6D01G350300;TraesCS4D01G169800;TraesCS7A01G146200;TraesCS2D01G301000;TraesCS4B01G267200;TraesCS4D01G339400;TraesCS7A01G272400;TraesCS3A01G208600;TraesCS5B01G294700;TraesCS5A01G173200;TraesCS4B01G167500;TraesCS4A01G321800;TraesCS3A01G425500;TraesCS7B01G326900;TraesCS7A01G385800;TraesCS1D01G404300;TraesCS5A01G295300;TraesCS7A01G426100;TraesCS4B01G344300;TraesCS3B01G483500;TraesCS7B01G193600;TraesCS2A01G122600;TraesCS2B01G318100;TraesCS5D01G323700;TraesCS7A01G426900;TraesCS2B01G430700;TraesCS2B01G079400;TraesCS6B01G202700;TraesCS5D01G302900;TraesCS7B01G350300;TraesCS5A01G281600;TraesCS7D01G382400;TraesCS3A01G499400;TraesCS3D01G323900;TraesCS3D01G403500;TraesCS1B01G368600;TraesCS7A01G357800;TraesCS7D01G399000;TraesCS6D01G318500;TraesCS6B01G363800;TraesCS2A01G521000;TraesCS7A01G075600;TraesCS1D01G207100;TraesCS3D01G359300;TraesCS4B01G259400;TraesCS5B01G481500;TraesCS2B01G024500;TraesCS3B01G562700;TraesCS5D01G177700;TraesCS5D01G261000;TraesCS3B01G598100;TraesCS4D01G176600;TraesCS3A01G366300;TraesCS1B01G107700;TraesCS3D01G110300;TraesCS5D01G255800;TraesCS5D01G481800;TraesCS2A01G302300;TraesCS5A01G329600;TraesCS2A01G120800;TraesCS7B01G153600;TraesCSU01G018400;TraesCS3A01G241000;TraesCS7A01G405000;TraesCS2D01G382600;TraesCS7D01G344700;TraesCS1D01G232700;TraesCS1B01G366400;TraesCS6A01G337600;TraesCS1A01G396200;TraesCS4A01G173100;TraesCS3B01G276700;TraesCS7B01G048700;TraesCS7D01G552500;TraesCS5D01G336700;TraesCS4A01G078900;TraesCS2B01G591900;TraesCS2A01G412100;TraesCS6D01G163200;TraesCS4A01G143800;TraesCS1D01G237500;TraesCS5D01G194800;TraesCS6A01G174100;TraesCS7A01G404700;TraesCS7D01G272600;TraesCS7A01G010200;TraesCS4A01G172000;TraesCS6D01G403800;TraesCS2A01G067300;TraesCS3A01G366400;TraesCS2B01G144900;TraesCS3A01G276100;TraesCS7A01G426700;TraesCS7D01G418600;TraesCS7B01G243200;TraesCS2A01G215300;TraesCS5D01G552900;TraesCS3D01G506300;TraesCS7B01G327000;TraesCS4D01G085500;TraesCS1B01G224300;TraesCS3A01G248000;TraesCS5A01G248700;TraesCS4A01G188300;TraesCS7A01G427000;TraesCS6B01G331500;TraesCS2B01G528300;TraesCS3B01G235100;TraesCS7D01G339800;TraesCS7D01G228500;TraesCS5A01G330900;TraesCSU01G021800;TraesCS7A01G426600;TraesCS6D01G026300;TraesCS4A01G129900;TraesCS7D01G418700;TraesCS7B01G304100;TraesCS2B01G184900;TraesCS2B01G141700;TraesCS2D01G489200;TraesCS5A01G513200;TraesCS5B01G319700;TraesCS5D01G288700;TraesCS3A01G038200;TraesCS3A01G447500;TraesCS7A01G404900;TraesCS6A01G367300;TraesCS3B01G528400;TraesCS3D01G420300;TraesCS2A01G344000;TraesCS4B01G194800;TraesCS2B01G341500;TraesCS2D01G126100;TraesCS1A01G353200;TraesCS3D01G041700;TraesCS4A01G484800;TraesCS3A01G108500;TraesCS2A01G159300;TraesCS6A01G398800;TraesCS4A01G116700;TraesCS1A01G234600;TraesCS2D01G091800;TraesCS3B01G108700;TraesCS3D01G276000;TraesCS7D01G419000;TraesCS7D01G363100;TraesCS2D01G166600;TraesCS7A01G359700;TraesCS7D01G036600;TraesCS6B01G332900;TraesCS6D01G360200;TraesCS7A01G040900;TraesCS7D01G227100;TraesCS3A01G239200;TraesCS5A01G495100;TraesCS1B01G249000;TraesCS2B01G550300;TraesCS3D01G248000;TraesCS2A01G123800;TraesCS1A01G088700;TraesCS6A01G088000;TraesCS6A01G159000;TraesCS2A01G488900;TraesCS6B01G368300;TraesCS5B01G556600;TraesCS2A01G591900;TraesCS4A01G321700;TraesCS6B01G031500;TraesCS2A01G210100;TraesCS7A01G337000;TraesCS7D01G397900;TraesCS5D01G398300;TraesCS2D01G065400;TraesCS4A01G492600;TraesCS2B01G599800;TraesCS7D01G419100;TraesCS4D01G319400;TraesCS2D01G322300;TraesCS7D01G418900;TraesCS2A01G469000;TraesCS4D01G085600;TraesCS3D01G298600;TraesCS3A01G330500;TraesCS6A01G023300;TraesCS6B01G031300;TraesCS7A01G335600;TraesCS2A01G344200;TraesCS2D01G409300;TraesCS3D01G477200;TraesCS5B01G458900;TraesCS1B01G382700;TraesCS7A01G226000;TraesCS7D01G207600;TraesCS7D01G398900;TraesCS2D01G065500;TraesCS1B01G244800;TraesCS6A01G303200;TraesCS4B01G143900;TraesCS7B01G111700</t>
  </si>
  <si>
    <t>TraesCS1A01G107500</t>
  </si>
  <si>
    <t>hydrolase activity, hydrolyzing O-glycosyl compounds</t>
  </si>
  <si>
    <t>TraesCS7D01G418600;TraesCS7A01G204500;TraesCS2A01G215300;TraesCS5D01G552900;TraesCS6B01G439100;TraesCS3D01G506300;TraesCS7B01G304400;TraesCS7B01G327000;TraesCS5A01G317400;TraesCS1D01G090100;TraesCS4D01G085500;TraesCS1A01G229300;TraesCS2B01G516700;TraesCS3A01G248000;TraesCS5A01G248700;TraesCS4B01G127600;TraesCS4A01G188300;TraesCS7A01G427000;TraesCS7A01G557900;TraesCS2D01G562400;TraesCS6A01G084500;TraesCS7D01G010000;TraesCS7A01G136600;TraesCS3B01G235100;TraesCS5B01G246400;TraesCS5A01G330900;TraesCS3D01G440200;TraesCS7B01G169700;TraesCS1A01G203700;TraesCSU01G021800;TraesCS7A01G426600;TraesCS6D01G026300;TraesCS7D01G418700;TraesCS5B01G331300;TraesCS7B01G304500;TraesCS4D01G125100;TraesCS6B01G110400;TraesCS2A01G584800;TraesCS7B01G304100;TraesCS5B01G394000;TraesCS2B01G141700;TraesCS6B01G118000;TraesCS2A01G324800;TraesCS2D01G489200;TraesCS6D01G312500;TraesCS6A01G023100;TraesCS5A01G513200;TraesCS5B01G319700;TraesCS3A01G038200;TraesCS3A01G447500;TraesCS7A01G404900;TraesCS4D01G339400;TraesCS7A01G272400;TraesCS3A01G208600;TraesCS3B01G528400;TraesCS5B01G294700;TraesCS5A01G173200;TraesCS4A01G321800;TraesCS7B01G326900;TraesCS7A01G385800;TraesCS1D01G404300;TraesCS3D01G041700;TraesCS4A01G484800;TraesCS5A01G295300;TraesCS6A01G398800;TraesCS7A01G426100;TraesCS4B01G344300;TraesCS3B01G483500;TraesCS1A01G234600;TraesCS3B01G108700;TraesCS5D01G323700;TraesCS7A01G426900;TraesCS7D01G419000;TraesCS7D01G363100;TraesCS5D01G302900;TraesCS7B01G350300;TraesCS7A01G359700;TraesCS7D01G382400;TraesCS3A01G499400;TraesCS3D01G323900;TraesCS6B01G332900;TraesCS6D01G360200;TraesCS7D01G227100;TraesCS7D01G399000;TraesCS3A01G239200;TraesCS1B01G249000;TraesCS6D01G318500;TraesCS6B01G363800;TraesCS2B01G550300;TraesCS2A01G521000;TraesCS3D01G248000;TraesCS1D01G207100;TraesCS1A01G088700;TraesCS4B01G259400;TraesCS5B01G481500;TraesCS6A01G088000;TraesCS6A01G159000;TraesCS2A01G488900;TraesCS3B01G562700;TraesCS6B01G368300;TraesCS5B01G556600;TraesCS5D01G177700;TraesCS2A01G591900;TraesCS4A01G321700;TraesCS6B01G031500;TraesCS1B01G107700;TraesCS7D01G136500;TraesCS5D01G255800;TraesCS5D01G481800;TraesCS7D01G397900;TraesCS5D01G398300;TraesCS5A01G329600;TraesCS2A01G120800;TraesCS2B01G599800;TraesCS7B01G153600;TraesCS7D01G419100;TraesCSU01G018400;TraesCS3A01G241000;TraesCS7A01G405000;TraesCS2D01G382600;TraesCS1D01G232700;TraesCS6A01G337600;TraesCS1A01G396200;TraesCS4A01G173100;TraesCS7D01G418900;TraesCS3B01G276700;TraesCS7D01G552500;TraesCS5D01G336700;TraesCS2A01G469000;TraesCS2B01G591900;TraesCS4D01G085600;TraesCS3A01G330500;TraesCS6A01G023300;TraesCS1D01G237500;TraesCS5D01G194800;TraesCS7A01G404700;TraesCS7D01G272600;TraesCS7A01G010200;TraesCS6B01G031300;TraesCS4A01G172000;TraesCS3D01G477200;TraesCS1B01G382700;TraesCS7D01G207600;TraesCS7D01G398900;TraesCS1B01G244800;TraesCS6A01G303200;TraesCS4B01G143900;TraesCS7A01G426700;TraesCS7B01G111700</t>
  </si>
  <si>
    <t>TraesCS1A01G113400</t>
  </si>
  <si>
    <t>hydrolase activity, acting on glycosyl bonds</t>
  </si>
  <si>
    <t>TraesCS7D01G418600;TraesCS3A01G508000;TraesCS7A01G204500;TraesCS2A01G215300;TraesCS5D01G552900;TraesCS6B01G439100;TraesCS3D01G506300;TraesCS7B01G304400;TraesCS7B01G327000;TraesCS5A01G317400;TraesCS1D01G090100;TraesCS4D01G085500;TraesCS1A01G229300;TraesCS2B01G516700;TraesCS3A01G248000;TraesCS5A01G248700;TraesCS4B01G127600;TraesCS4A01G188300;TraesCS7A01G427000;TraesCS7A01G557900;TraesCS2D01G562400;TraesCS6A01G084500;TraesCS7D01G010000;TraesCS7A01G136600;TraesCS3B01G235100;TraesCS5B01G246400;TraesCS5A01G330900;TraesCS3D01G440200;TraesCS7B01G169700;TraesCS1A01G203700;TraesCSU01G021800;TraesCS7A01G426600;TraesCS6D01G026300;TraesCS7D01G418700;TraesCS5B01G331300;TraesCS7B01G304500;TraesCS4D01G125100;TraesCS6B01G110400;TraesCS2A01G584800;TraesCS7B01G304100;TraesCS5B01G394000;TraesCS2B01G141700;TraesCS6B01G118000;TraesCS2A01G324800;TraesCS2D01G489200;TraesCS6D01G312500;TraesCS5D01G353600;TraesCS6A01G023100;TraesCS6D01G350300;TraesCS5A01G513200;TraesCS5B01G319700;TraesCS3A01G038200;TraesCS3A01G447500;TraesCS7A01G404900;TraesCS4D01G339400;TraesCS6A01G367300;TraesCS7A01G272400;TraesCS3A01G208600;TraesCS3B01G528400;TraesCS5B01G294700;TraesCS5A01G173200;TraesCS4A01G321800;TraesCS7B01G326900;TraesCS7A01G385800;TraesCS1D01G404300;TraesCS3D01G041700;TraesCS4A01G484800;TraesCS5A01G295300;TraesCS6A01G398800;TraesCS7A01G426100;TraesCS4B01G344300;TraesCS3B01G483500;TraesCS1A01G234600;TraesCS3B01G108700;TraesCS5D01G323700;TraesCS7A01G426900;TraesCS7D01G419000;TraesCS7D01G363100;TraesCS5D01G302900;TraesCS7B01G350300;TraesCS7A01G359700;TraesCS7D01G382400;TraesCS3A01G499400;TraesCS3D01G323900;TraesCS6B01G332900;TraesCS6D01G360200;TraesCS7D01G227100;TraesCS7D01G399000;TraesCS3A01G239200;TraesCS1B01G249000;TraesCS6D01G318500;TraesCS6B01G363800;TraesCS2B01G550300;TraesCS2A01G521000;TraesCS3D01G248000;TraesCS1D01G207100;TraesCS1A01G088700;TraesCS4B01G259400;TraesCS5B01G481500;TraesCS6A01G088000;TraesCS6A01G159000;TraesCS2A01G488900;TraesCS3B01G562700;TraesCS6B01G368300;TraesCS5B01G556600;TraesCS5D01G177700;TraesCS2A01G591900;TraesCS4A01G321700;TraesCS6B01G031500;TraesCS1B01G107700;TraesCS7D01G136500;TraesCS5D01G255800;TraesCS5D01G481800;TraesCS7D01G397900;TraesCS5D01G398300;TraesCS5A01G329600;TraesCS2A01G120800;TraesCS2B01G599800;TraesCS7B01G153600;TraesCS7D01G419100;TraesCSU01G018400;TraesCS3A01G241000;TraesCS7A01G405000;TraesCS2D01G382600;TraesCS1D01G232700;TraesCS6A01G337600;TraesCS1A01G396200;TraesCS4A01G173100;TraesCS7D01G418900;TraesCS3B01G276700;TraesCS7D01G552500;TraesCS5D01G336700;TraesCS2A01G469000;TraesCS2B01G591900;TraesCS4D01G085600;TraesCS3A01G330500;TraesCS6A01G023300;TraesCS1D01G237500;TraesCS5D01G194800;TraesCS7A01G404700;TraesCS7D01G272600;TraesCS7A01G010200;TraesCS6B01G031300;TraesCS4A01G172000;TraesCS3D01G477200;TraesCS1B01G382700;TraesCS7D01G207600;TraesCS7D01G398900;TraesCS1B01G244800;TraesCS6A01G303200;TraesCS4B01G143900;TraesCS7A01G426700;TraesCS7B01G111700</t>
  </si>
  <si>
    <t>TraesCS1A01G115300</t>
  </si>
  <si>
    <t>TraesCS4D01G129800;TraesCS5D01G558600;TraesCS6B01G439100;TraesCS6B01G133500;TraesCS4A01G238600;TraesCS1A01G229300;TraesCS6D01G264200;TraesCS3B01G354300;TraesCS7A01G557900;TraesCS6D01G011100;TraesCS2D01G562400;TraesCS6D01G380300;TraesCS5B01G024600;TraesCS3D01G440200;TraesCS1D01G357000;TraesCS7A01G510800;TraesCS2B01G427200;TraesCS2B01G335200;TraesCS1B01G409200;TraesCS2D01G015900;TraesCS3A01G071500;TraesCS5B01G331300;TraesCS1B01G024700;TraesCS2D01G322500;TraesCS4D01G125100;TraesCS6B01G110400;TraesCS7D01G521000;TraesCS2A01G584800;TraesCS6B01G118000;TraesCS3D01G416200;TraesCS6B01G215900;TraesCS6D01G312500;TraesCS1B01G375000;TraesCS5D01G353600;TraesCS5D01G099300;TraesCS3B01G264400;TraesCS7B01G450800;TraesCS6D01G228000;TraesCS2A01G406300;TraesCS2D01G519900;TraesCS3A01G208600;TraesCS5A01G173200;TraesCS4A01G046800;TraesCS4A01G321800;TraesCS5A01G450600;TraesCS7B01G326900;TraesCS7A01G385800;TraesCS6A01G351000;TraesCS1D01G404300;TraesCS4B01G077600;TraesCS7A01G426100;TraesCS3B01G483500;TraesCS1A01G423100;TraesCS2B01G430700;TraesCS6B01G202700;TraesCS5B01G138300;TraesCS7D01G500200;TraesCS1B01G368600;TraesCS3D01G235600;TraesCS3D01G323100;TraesCS1A01G358500;TraesCS6B01G363800;TraesCS1A01G415900;TraesCS2D01G507700;TraesCS2A01G521000;TraesCS1D01G207100;TraesCS7B01G034400;TraesCS2A01G364400;TraesCS4B01G259400;TraesCS5B01G481500;TraesCS2B01G154600;TraesCS2B01G424000;TraesCS3B01G562700;TraesCS2A01G092800;TraesCS7D01G146700;TraesCS5B01G242400;TraesCS7B01G047600;TraesCS5D01G481800;TraesCS3A01G232300;TraesCS2D01G226300;TraesCS5A01G520900;TraesCS5D01G519300;TraesCS7A01G074500;TraesCS5D01G224600;TraesCS6A01G395000;TraesCS7B01G253100;TraesCS6B01G449000;TraesCS7B01G153600;TraesCSU01G018400;TraesCS1B01G145300;TraesCS3A01G241000;TraesCS2D01G382600;TraesCS3B01G276700;TraesCS3A01G151300;TraesCS6A01G343800;TraesCS4A01G316400;TraesCS1A01G115300;TraesCS2B01G591900;TraesCS2B01G107500;TraesCS6D01G163200;TraesCS2B01G546900;TraesCS1D01G363400;TraesCS6B01G312000;TraesCS1D01G237500;TraesCS5D01G194800;TraesCS7A01G404700;TraesCS7D01G272600;TraesCS1A01G403700;TraesCS2A01G153000;TraesCS2B01G612200;TraesCS1B01G283300;TraesCS7A01G381400;TraesCS3A01G364100;TraesCS4B01G117000;TraesCS6A01G007000;TraesCS3B01G359800;TraesCS6D01G388000;TraesCS6B01G434900;TraesCS4D01G346700;TraesCS1D01G389900;TraesCS6A01G161600;TraesCS7B01G291400;TraesCS7D01G418600;TraesCS1D01G268700;TraesCS2D01G406000;TraesCS5A01G317000;TraesCS2D01G582400;TraesCS3D01G506300;TraesCS7B01G327000;TraesCS4D01G085500;TraesCS4D01G144800;TraesCS4A01G188300;TraesCS5A01G532400;TraesCS2D01G354600;TraesCS2D01G315100;TraesCS3D01G322900;TraesCS7B01G467200;TraesCSU01G021800;TraesCS6D01G135300;TraesCS7B01G094100;TraesCS3B01G116300;TraesCS7A01G426600;TraesCS6D01G026300;TraesCS7D01G418700;TraesCS5B01G222500;TraesCS2D01G074800;TraesCS7B01G304100;TraesCS2B01G141700;TraesCS5B01G524300;TraesCS3A01G235500;TraesCS7D01G351000;TraesCS1A01G268600;TraesCS2D01G489200;TraesCS2D01G278500;TraesCS5B01G319700;TraesCS3A01G038200;TraesCS3A01G447500;TraesCS3A01G351000;TraesCS6A01G367300;TraesCS3B01G519000;TraesCS3D01G041700;TraesCS4A01G484800;TraesCS1B01G321200;TraesCS7B01G467100;TraesCS1A01G234600;TraesCS3B01G108700;TraesCS1D01G127400;TraesCS6A01G404700;TraesCS7D01G363100;TraesCS1D01G234700;TraesCS7A01G145400;TraesCS7A01G359700;TraesCS6B01G332900;TraesCS4D01G074800;TraesCS7D01G227100;TraesCS1B01G249000;TraesCS4B01G187700;TraesCS2B01G291900;TraesCS4A01G169700;TraesCS4D01G081100;TraesCS6D01G333500;TraesCS2B01G374900;TraesCS4A01G398600;TraesCS1A01G126100;TraesCS2D01G362300;TraesCS4A01G321700;TraesCS5B01G307800;TraesCS5D01G100400;TraesCS7D01G417600;TraesCS7D01G136500;TraesCS2A01G025400;TraesCS7B01G305000;TraesCS5D01G398300;TraesCS5A01G239500;TraesCS6D01G093000;TraesCS6D01G177300;TraesCS4B01G195200;TraesCS1B01G477900;TraesCS7D01G418900;TraesCS1A01G327300;TraesCS5A01G202000;TraesCS3B01G383600;TraesCS4A01G343500;TraesCS7B01G291300;TraesCS4D01G085600;TraesCS5B01G562700;TraesCS3A01G330500;TraesCS1A01G237900;TraesCS5B01G317600;TraesCS1A01G382200;TraesCS7A01G335600;TraesCS7D01G190300;TraesCSU01G014100;TraesCS2D01G409300;TraesCS3D01G477200;TraesCS5B01G458900;TraesCS1B01G382700;TraesCS7D01G207600;TraesCS4D01G305100;TraesCS1B01G135200;TraesCS7D01G346700;TraesCS5A01G216500;TraesCS1B01G181300;TraesCS1B01G244800;TraesCS1D01G234500;TraesCS4B01G143900;TraesCS4B01G363800;TraesCS7B01G111700;TraesCS3B01G085300;TraesCS3A01G508000;TraesCS7A01G204500;TraesCS2D01G565100;TraesCS4A01G198500;TraesCS1D01G161500;TraesCS5B01G566200;TraesCS4A01G035200;TraesCS6A01G188600;TraesCS2D01G523700;TraesCS7B01G304400;TraesCS5A01G317400;TraesCS1D01G090100;TraesCS2B01G516700;TraesCS6A01G245600;TraesCS4B01G267900;TraesCS3A01G171800;TraesCS4B01G127600;TraesCS3A01G420400;TraesCS7A01G389600;TraesCS4B01G135100;TraesCS3B01G455800;TraesCS7D01G108900;TraesCS6A01G084500;TraesCS7D01G010000;TraesCS2B01G297300;TraesCS7B01G250700;TraesCS7A01G136600;TraesCS1D01G116700;TraesCS7B01G326200;TraesCS5B01G246400;TraesCS1A01G339400;TraesCS1D01G423300;TraesCS7B01G169700;TraesCS1A01G203700;TraesCS4B01G126400;TraesCS1D01G309600;TraesCSU01G038600;TraesCS6A01G356000;TraesCS7A01G489300;TraesCS2A01G521900;TraesCS7B01G304500;TraesCS2A01G542800;TraesCS2B01G007100;TraesCS2D01G003200;TraesCS5B01G394000;TraesCS2A01G324800;TraesCS5D01G460500;TraesCS6A01G023100;TraesCS6D01G350300;TraesCS1A01G342700;TraesCS6A01G351900;TraesCS6B01G278800;TraesCS7A01G389500;TraesCS4B01G217300;TraesCS4D01G339400;TraesCS7A01G272400;TraesCS5B01G294700;TraesCS5B01G523600;TraesCS4A01G445000;TraesCS3B01G437000;TraesCS7A01G113600;TraesCS2A01G436200;TraesCS4A01G313500;TraesCS1A01G020700;TraesCS5A01G295300;TraesCS5D01G188900;TraesCS4B01G344300;TraesCS7B01G421700;TraesCS5A01G434700;TraesCS5D01G323700;TraesCS7A01G426900;TraesCS6A01G104300;TraesCS5D01G566700;TraesCS1A01G383100;TraesCS5D01G302900;TraesCS7B01G350300;TraesCS2D01G433700;TraesCS7D01G382400;TraesCS3A01G499400;TraesCS3D01G323900;TraesCS7D01G399000;TraesCS1A01G027300;TraesCS2B01G535300;TraesCS6D01G318500;TraesCS4A01G308200;TraesCS3D01G225000;TraesCS4D01G159700;TraesCS3D01G070700;TraesCS5D01G177700;TraesCS1B01G312000;TraesCS5D01G152400;TraesCS3B01G598100;TraesCS1D01G267700;TraesCS1B01G107700;TraesCS2D01G027400;TraesCS6B01G383700;TraesCS4D01G120000;TraesCS5D01G255800;TraesCS5A01G329600;TraesCS2A01G120800;TraesCS2A01G279600;TraesCS2B01G382900;TraesCS5A01G486000;TraesCS2A01G518500;TraesCS7A01G405000;TraesCS4D01G189100;TraesCS1D01G232700;TraesCS2A01G275000;TraesCS3D01G220900;TraesCS6A01G337600;TraesCS1A01G396200;TraesCS4A01G173100;TraesCS7D01G552500;TraesCS5D01G336700;TraesCS3A01G329700;TraesCS2B01G178100;TraesCS3A01G254900;TraesCS2A01G412100;TraesCS1B01G324000;TraesCS1B01G442400;TraesCS6A01G174100;TraesCS1D01G344800;TraesCS7A01G010200;TraesCS4A01G172000;TraesCS7A01G100600;TraesCS1B01G340700;TraesCS2B01G572600;TraesCS5B01G227600;TraesCS6A01G283700;TraesCS5A01G138700;TraesCS2D01G317900;TraesCS3B01G270600;TraesCS6B01G393400;TraesCS7B01G283300;TraesCS1D01G020200;TraesCS1B01G351700;TraesCS4D01G114700;TraesCS7A01G426700;TraesCS2A01G408900;TraesCS2A01G215300;TraesCS1D01G249500;TraesCS5D01G552900;TraesCS2A01G507300;TraesCS5D01G231100;TraesCS2D01G544800;TraesCS3D01G008400;TraesCS3D01G275700;TraesCS6A01G002700;TraesCS1B01G224300;TraesCS3A01G248000;TraesCS5A01G248700;TraesCS7A01G427000;TraesCSU01G114300;TraesCS1D01G273500;TraesCS2A01G570900;TraesCS1D01G301600;TraesCS5D01G066300;TraesCS4B01G352300;TraesCS3B01G235100;TraesCS5A01G330900;TraesCS5B01G215400;TraesCS7D01G069500;TraesCS5A01G384500;TraesCS5A01G055000;TraesCS5A01G223500;TraesCS5B01G507400;TraesCS1D01G390700;TraesCS5A01G513200;TraesCS6A01G302300;TraesCS4D01G195800;TraesCS6D01G002800;TraesCS1D01G451500;TraesCS7A01G404900;TraesCS7A01G423900;TraesCS3B01G134300;TraesCS7D01G385500;TraesCS2B01G091000;TraesCS3B01G528400;TraesCS4B01G194800;TraesCS7A01G203900;TraesCSU01G106900;TraesCS1B01G147900;TraesCS7D01G421200;TraesCS1A01G353200;TraesCS2D01G285600;TraesCS6A01G398800;TraesCS1D01G390800;TraesCS4A01G116700;TraesCS5D01G323300;TraesCS2D01G091800;TraesCS7D01G419000;TraesCS7A01G489400;TraesCS6D01G360200;TraesCS3A01G239200;TraesCS2B01G178400;TraesCS3D01G470100;TraesCS2B01G550300;TraesCS6B01G170600;TraesCS4D01G087200;TraesCS3D01G248000;TraesCS1A01G088700;TraesCS1A01G273500;TraesCS6A01G088000;TraesCS6A01G159000;TraesCS2A01G488900;TraesCS6B01G368300;TraesCS5B01G556600;TraesCS2A01G591900;TraesCS6B01G031500;TraesCS4A01G407500;TraesCS5D01G033200;TraesCS5A01G511000;TraesCS7D01G397900;TraesCS1B01G246400;TraesCS2D01G273200;TraesCS2B01G599800;TraesCS7D01G419100;TraesCS3A01G404000;TraesCS1B01G355800;TraesCS2A01G469000;TraesCS2D01G542200;TraesCS4A01G183500;TraesCS4D01G257900;TraesCS7B01G255800;TraesCS3D01G357500;TraesCS3B01G136800;TraesCS3B01G096500;TraesCS6A01G023300;TraesCS3A01G227000;TraesCS2A01G220600;TraesCS5D01G208300;TraesCS3B01G004200;TraesCS6B01G031300;TraesCS7D01G385700;TraesCS5D01G169000;TraesCS2D01G403200;TraesCS4B01G083000;TraesCS1D01G441900;TraesCS2A01G344200;TraesCS4A01G193200;TraesCS2A01G510400;TraesCS4A01G298300;TraesCS2B01G551400;TraesCS7D01G398900;TraesCS4B01G258000;TraesCS7D01G095900;TraesCS6B01G273200;TraesCS6A01G303200;TraesCS7B01G488900;TraesCS1B01G409100</t>
  </si>
  <si>
    <t>TraesCS1A01G115600</t>
  </si>
  <si>
    <t>lipid metabolic process</t>
  </si>
  <si>
    <t>TraesCS7B01G291400;TraesCS2D01G582400;TraesCS6B01G133500;TraesCS7B01G142500;TraesCS5D01G219100;TraesCS7A01G206000;TraesCS5B01G132400;TraesCS5D01G231100;TraesCS7A01G538700;TraesCS3D01G485000;TraesCS6A01G002700;TraesCS4B01G135900;TraesCS5D01G244700;TraesCS4D01G215000;TraesCS2A01G507700;TraesCS1A01G034600;TraesCS1A01G369600;TraesCS7A01G389600;TraesCS2A01G331800;TraesCS2D01G016300;TraesCS5D01G131500;TraesCS6B01G331500;TraesCS6D01G321600;TraesCS2A01G075300;TraesCS2A01G570900;TraesCS2B01G297300;TraesCS6D01G258300;TraesCS7B01G250700;TraesCS4B01G352300;TraesCS1B01G388700;TraesCS6A01G359900;TraesCS1D01G116700;TraesCS6A01G026800;TraesCS1A01G339400;TraesCS5A01G237000;TraesCS5B01G322500;TraesCS1B01G416800;TraesCS1D01G357000;TraesCS5A01G132500;TraesCS1B01G168400;TraesCS5A01G321800;TraesCS3D01G331600;TraesCS5A01G195500;TraesCSU01G038600;TraesCS5B01G222500;TraesCS3A01G279400;TraesCS7D01G208600;TraesCS6A01G280100;TraesCS5A01G223500;TraesCS4A01G165400;TraesCS4A01G185600;TraesCS4B01G332500;TraesCS7D01G351000;TraesCS1D01G375700;TraesCS5A01G076500;TraesCS2D01G278500;TraesCS2D01G546200;TraesCS3B01G427100;TraesCS6A01G302300;TraesCS4D01G195800;TraesCS6D01G002800;TraesCS2B01G051300;TraesCS2B01G156800;TraesCS4B01G133100;TraesCS4B01G267200;TraesCS7A01G389500;TraesCS4A01G025300;TraesCS4B01G217300;TraesCS3A01G351000;TraesCS3B01G134300;TraesCS6A01G277800;TraesCS7D01G385500;TraesCS4A01G445000;TraesCS4D01G130700;TraesCS3A01G425500;TraesCS7A01G113600;TraesCS7D01G421200;TraesCS1A01G353200;TraesCS3B01G313800;TraesCS3D01G117300;TraesCS1D01G127400;TraesCS6A01G150000;TraesCS6A01G104300;TraesCS5D01G566700;TraesCS6B01G202700;TraesCS1D01G375600;TraesCS4D01G093600;TraesCS5B01G379300;TraesCS1B01G368600;TraesCS4A01G018100;TraesCS7A01G569400;TraesCS1D01G396700;TraesCS2D01G135300;TraesCS3D01G225000;TraesCS1D01G147800;TraesCS2B01G007200;TraesCS5D01G328700;TraesCS4A01G398600;TraesCS2B01G154600;TraesCS1A01G126100;TraesCS1D01G420900;TraesCS2A01G385100;TraesCS4D01G314400;TraesCS7B01G489300;TraesCS3D01G279300;TraesCS6D01G281800;TraesCS5A01G236800;TraesCS4D01G277300;TraesCS5A01G123600;TraesCS7D01G543200;TraesCS4D01G161900;TraesCS5A01G511000;TraesCS4A01G218400;TraesCS4A01G143600;TraesCS7B01G086400;TraesCS4D01G329200;TraesCS5A01G520900;TraesCS2A01G279600;TraesCS5D01G519300;TraesCS7B01G253100;TraesCS6D01G093000;TraesCS1B01G145300;TraesCS5D01G285100;TraesCS6D01G139700;TraesCS4D01G128000;TraesCS7D01G101900;TraesCS5B01G123200;TraesCS1A01G385500;TraesCS1B01G093600;TraesCS4B01G195200;TraesCS1D01G375500;TraesCS5A01G202000;TraesCS5D01G017000;TraesCS7B01G291300;TraesCS1A01G115300;TraesCS7D01G183100;TraesCS7B01G006300;TraesCS7B01G459300;TraesCS7B01G255800;TraesCS6A01G226500;TraesCS6D01G163200;TraesCS5D01G140700;TraesCS4B01G152500;TraesCS5B01G235900;TraesCS2D01G381800;TraesCS3A01G227000;TraesCS1B01G050600;TraesCS5B01G277500;TraesCS1B01G442400;TraesCS6A01G174100;TraesCS1A01G382200;TraesCS5D01G208300;TraesCS7D01G385700;TraesCS4B01G278800;TraesCS7A01G335600;TraesCS5B01G418800;TraesCS5A01G503600;TraesCS6D01G208500;TraesCS2B01G402100;TraesCS7D01G488800;TraesCS7D01G111200;TraesCS4D01G346700;TraesCS4A01G182700;TraesCS5A01G278100;TraesCS1D01G389900;TraesCS1B01G135200;TraesCS2B01G350400;TraesCS7D01G346700;TraesCS4B01G318000;TraesCS5A01G220200;TraesCS2B01G302400;TraesCS4A01G301600;TraesCS6B01G273200;TraesCS7B01G113200;TraesCS6A01G341400;TraesCS2A01G447800;TraesCS7A01G181500;TraesCS4A01G020500</t>
  </si>
  <si>
    <t>TraesCS1A01G126100</t>
  </si>
  <si>
    <t>pectinesterase activity</t>
  </si>
  <si>
    <t>TraesCS1B01G477900;TraesCS2A01G521900;TraesCS2D01G322500;TraesCS6A01G343800;TraesCS4B01G187700;TraesCS2D01G523700;TraesCS5B01G507400;TraesCS6D01G333500;TraesCS2B01G107500;TraesCS2B01G546900;TraesCS5D01G460500;TraesCS5D01G099300;TraesCS3A01G171800;TraesCS3B01G354300;TraesCS1D01G451500;TraesCS1A01G403700;TraesCS2D01G519900;TraesCS2A01G092800;TraesCS3B01G598100;TraesCS6D01G011100;TraesCS5A01G450600;TraesCS5D01G100400;TraesCS6A01G007000;TraesCS6B01G383700;TraesCS2A01G344200;TraesCS6A01G351000;TraesCS1B01G147900;TraesCS5B01G458900;TraesCS2B01G551400;TraesCS4A01G116700;TraesCS5A01G434700;TraesCS2D01G317900;TraesCS5A01G216500;TraesCS2D01G091800;TraesCS5D01G224600;TraesCS2A01G518500;TraesCS5B01G215400;TraesCS4D01G189100</t>
  </si>
  <si>
    <t>TraesCS1A01G203700</t>
  </si>
  <si>
    <t>cell wall modification</t>
  </si>
  <si>
    <t>TraesCS1B01G477900;TraesCS2A01G521900;TraesCS5B01G025000;TraesCS2D01G322500;TraesCS6A01G343800;TraesCS4B01G187700;TraesCS2D01G523700;TraesCS6D01G333500;TraesCS2B01G107500;TraesCS4A01G089000;TraesCS5D01G460500;TraesCS5D01G099300;TraesCS4B01G215300;TraesCS3B01G354300;TraesCS1D01G451500;TraesCS6B01G331500;TraesCS2A01G092800;TraesCS3B01G598100;TraesCS5A01G450600;TraesCS6B01G383700;TraesCS2A01G344200;TraesCS6A01G351000;TraesCS5B01G458900;TraesCS5D01G033500;TraesCS2B01G551400;TraesCS4A01G116700;TraesCS5A01G434700;TraesCS2D01G317900;TraesCS5A01G216500;TraesCS1D01G144300;TraesCS2D01G091800;TraesCS5D01G224600;TraesCS5A01G025700;TraesCS5B01G215400;TraesCS4D01G189100;TraesCS5D01G002400;TraesCS7D01G380300</t>
  </si>
  <si>
    <t>TraesCS1A01G207100</t>
  </si>
  <si>
    <t>intrinsic component of membrane</t>
  </si>
  <si>
    <t>TraesCS1B01G213800;TraesCS2D01G408700;TraesCS3B01G085300;TraesCS4D01G129800;TraesCS2A01G565700;TraesCS6D01G207400;TraesCS2D01G565100;TraesCS5D01G447300;TraesCS1D01G161500;TraesCS1D01G293500;TraesCS3D01G199100;TraesCS4B01G149500;TraesCS4B01G015200;TraesCS1B01G433300;TraesCS7A01G206000;TraesCS4D01G215000;TraesCS2B01G381900;TraesCS3A01G420400;TraesCS5D01G320100;TraesCS6B01G165100;TraesCS4B01G135100;TraesCS1A01G290700;TraesCS3B01G455800;TraesCS2D01G002800;TraesCS3D01G288600;TraesCS1D01G246500;TraesCS5A01G039000;TraesCS3B01G336200;TraesCS4A01G216700;TraesCS5B01G003000;TraesCS7D01G276300;TraesCS6A01G200700;TraesCS6D01G258300;TraesCS5D01G081200;TraesCS7A01G136600;TraesCS5B01G288600;TraesCS6A01G227600;TraesCS6B01G317700;TraesCS3D01G440200;TraesCS7B01G444700;TraesCS5A01G069100;TraesCS5D01G304300;TraesCS5D01G321300;TraesCS7A01G510800;TraesCS1D01G309600;TraesCS7A01G556800;TraesCS3B01G246500;TraesCS4D01G057200;TraesCS3A01G071500;TraesCS3B01G169200;TraesCS4A01G043400;TraesCS1B01G024700;TraesCS5B01G564000;TraesCS7D01G313600;TraesCS3A01G126300;TraesCS3A01G340500;TraesCS4B01G096900;TraesCS3D01G416200;TraesCS2D01G523600;TraesCS6B01G340700;TraesCS2B01G603700;TraesCS3B01G266700;TraesCS6A01G023100;TraesCS2B01G051300;TraesCS4A01G077500;TraesCS4A01G046800;TraesCS4D01G130700;TraesCS4B01G333700;TraesCS2A01G411200;TraesCS6D01G260500;TraesCS2B01G306000;TraesCS1D01G059800;TraesCS2B01G255800;TraesCS3A01G458000;TraesCS1B01G300000;TraesCS4A01G294300;TraesCS7B01G421700;TraesCS5D01G268200;TraesCS4A01G081200;TraesCS2A01G122600;TraesCS6A01G402000;TraesCS1B01G141400;TraesCS2B01G318100;TraesCS6D01G009600;TraesCS4D01G093600;TraesCS3A01G241800;TraesCS7D01G500200;TraesCS3B01G169300;TraesCS6A01G310700;TraesCS5B01G572000;TraesCS7B01G243000;TraesCS4D01G150200;TraesCS3B01G236500;TraesCS2A01G582800;TraesCS3D01G325400;TraesCS4A01G257600;TraesCS2A01G312800;TraesCS6B01G444100;TraesCS5B01G455900;TraesCS2D01G058700;TraesCS3A01G135400;TraesCS5D01G416600;TraesCS3D01G070700;TraesCS5D01G452700;TraesCS1A01G403800;TraesCS2A01G572200;TraesCS4A01G136500;TraesCS4A01G021800;TraesCS7B01G185600;TraesCS2D01G396200;TraesCS3A01G179500;TraesCS7D01G146700;TraesCS4A01G061000;TraesCS2D01G422000;TraesCS6D01G096900;TraesCS5A01G406600;TraesCS6A01G371800;TraesCS7B01G047600;TraesCS4A01G218400;TraesCS6D01G290000;TraesCS1B01G321500;TraesCS6D01G355800;TraesCS2A01G302300;TraesCS2B01G329800;TraesCS2D01G280800;TraesCS2B01G457100;TraesCS3B01G372100;TraesCS2A01G279600;TraesCS3A01G331900;TraesCS7A01G533900;TraesCS3A01G243300;TraesCS6D01G139700;TraesCS1D01G309800;TraesCS4A01G001100;TraesCS5D01G002400;TraesCS5A01G289200;TraesCS4A01G150100;TraesCS4B01G279900;TraesCS7A01G298200;TraesCS3A01G214800;TraesCS5D01G017000;TraesCS5B01G008100;TraesCS3B01G337900;TraesCS6B01G137200;TraesCS7A01G156600;TraesCS4D01G302000;TraesCS1B01G077000;TraesCS2B01G055700;TraesCS3B01G323500;TraesCS1B01G324000;TraesCS4A01G143800;TraesCS4B01G343000;TraesCS6A01G134000;TraesCS5A01G221000;TraesCS2A01G572900;TraesCS2B01G416600;TraesCS4D01G170700;TraesCS5D01G091100;TraesCS4B01G192200;TraesCS5D01G319000;TraesCS7B01G481200;TraesCS2B01G612200;TraesCS3A01G179400;TraesCS6D01G208500;TraesCS7B01G393200;TraesCS6A01G418500;TraesCS4D01G013400;TraesCS2B01G402100;TraesCS1B01G307100;TraesCS3D01G303300;TraesCS1D01G135900;TraesCS4A01G182700;TraesCS2A01G363900;TraesCS3B01G244900;TraesCS2B01G591100;TraesCS6B01G254300;TraesCS5B01G318300;TraesCS5D01G178100;TraesCS6B01G393400;TraesCS2D01G361700;TraesCS6D01G267900;TraesCS1D01G020200;TraesCS3D01G184400;TraesCS7D01G157000;TraesCS4A01G301600;TraesCS7A01G189300;TraesCS1B01G314100;TraesCS1B01G211100;TraesCS4D01G278300;TraesCS3B01G429900;TraesCS5D01G550600;TraesCS1B01G257900;TraesCS7B01G142500;TraesCS5D01G219100;TraesCS2A01G043200;TraesCS3D01G159600;TraesCS5B01G411600;TraesCS5D01G001000;TraesCS5A01G293500;TraesCS4D01G272200;TraesCS5B01G552200;TraesCS1A01G120600;TraesCS5B01G365500;TraesCS3B01G132100;TraesCS6D01G321600;TraesCS1B01G440000;TraesCS5A01G081500;TraesCS5A01G173600;TraesCS1D01G114800;TraesCS4D01G174100;TraesCS5B01G296500;TraesCS2B01G551300;TraesCS5D01G066300;TraesCS3B01G227600;TraesCS3B01G441800;TraesCS7A01G503200;TraesCS6A01G359900;TraesCS2B01G251700;TraesCS6D01G124300;TraesCS2D01G311300;TraesCS2D01G342500;TraesCS1A01G058700;TraesCS6D01G267200;TraesCS4A01G102300;TraesCS7D01G294000;TraesCS1A01G134100;TraesCS5B01G440500;TraesCS3A01G403200;TraesCS4A01G404100;TraesCS5A01G055000;TraesCS4B01G281700;TraesCS5D01G346300;TraesCS7D01G521400;TraesCS6B01G282100;TraesCS3D01G023100;TraesCS2B01G179200;TraesCS3A01G298600;TraesCS4A01G132600;TraesCS2A01G316900;TraesCS6A01G277800;TraesCS3A01G288800;TraesCS4B01G194800;TraesCS7D01G553900;TraesCS6B01G381900;TraesCS7A01G490000;TraesCS6D01G384400;TraesCS3B01G519000;TraesCS7D01G203200;TraesCS1B01G321200;TraesCS5B01G040800;TraesCS4D01G305300;TraesCS1B01G099200;TraesCS2B01G006400;TraesCS5D01G018000;TraesCS2B01G335500;TraesCS3A01G339800;TraesCS1A01G341100;TraesCS1B01G353800;TraesCS7B01G094200;TraesCS6B01G409400;TraesCS7A01G145400;TraesCS7D01G388900;TraesCS5B01G010800;TraesCS2B01G235800;TraesCS4D01G091700;TraesCS4D01G280300;TraesCS6D01G224100;TraesCS1A01G081500;TraesCS4D01G121600;TraesCS3B01G362000;TraesCS3D01G470100;TraesCS7B01G451200;TraesCS4B01G094900;TraesCS5B01G452900;TraesCS3B01G264300;TraesCS4A01G191900;TraesCS2D01G597300;TraesCS7B01G060400;TraesCS2A01G385500;TraesCS3B01G371400;TraesCS5B01G149200;TraesCS3D01G126600;TraesCS6D01G006500;TraesCS2B01G334200;TraesCS4A01G023700;TraesCS4D01G314400;TraesCS2A01G220700;TraesCS2B01G615300;TraesCS4D01G352400;TraesCS6A01G009000;TraesCS1A01G303800;TraesCS3B01G021900;TraesCS4B01G056900;TraesCS5D01G444900;TraesCS7D01G136500;TraesCS6B01G360800;TraesCS4D01G214500;TraesCS7B01G106900;TraesCS3D01G488300;TraesCS3D01G333300;TraesCS4D01G329200;TraesCS6D01G270800;TraesCS5A01G512200;TraesCS5B01G171000;TraesCS1D01G343200;TraesCS5B01G219800;TraesCS4B01G172100;TraesCS3D01G039800;TraesCS6B01G162200;TraesCS1D01G411600;TraesCS4D01G150500;TraesCS1D01G289300;TraesCS4B01G009700;TraesCS5A01G527800;TraesCS7A01G200200;TraesCS4A01G183500;TraesCS2A01G284100;TraesCS4D01G257900;TraesCS2D01G314800;TraesCS3B01G136800;TraesCS5A01G031700;TraesCS6A01G287100;TraesCS5D01G051400;TraesCS1A01G086300;TraesCS6A01G023300;TraesCS6A01G306700;TraesCS1A01G426300;TraesCS2D01G381800;TraesCS6B01G201300;TraesCS5D01G372600;TraesCS2B01G246200;TraesCS4B01G123500;TraesCS1A01G122200;TraesCS2A01G278100;TraesCS5B01G292600;TraesCS5B01G084900;TraesCS5B01G376100;TraesCS5B01G418800;TraesCS2A01G321100;TraesCS4D01G344800;TraesCS1D01G441900;TraesCSU01G014100;TraesCS2A01G344200;TraesCS5D01G297100;TraesCS2A01G398700;TraesCS2B01G012600;TraesCS2D01G042400;TraesCS5B01G458900;TraesCS6A01G330000;TraesCS4B01G339600;TraesCS5A01G440100;TraesCS4A01G218100;TraesCS6A01G288200;TraesCS2A01G231600;TraesCS4B01G258000;TraesCS4B01G318000;TraesCS1A01G310300;TraesCS2D01G191300;TraesCS1B01G181300;TraesCS2A01G391500;TraesCS3B01G043100;TraesCS5D01G228700;TraesCS1D01G303200;TraesCS2A01G447800;TraesCS4D01G093200;TraesCS6A01G108700;TraesCS5D01G300800</t>
  </si>
  <si>
    <t>TraesCS1A01G208200</t>
  </si>
  <si>
    <t>cell wall organization</t>
  </si>
  <si>
    <t>TraesCS7D01G399000;TraesCS4B01G187700;TraesCS2D01G523700;TraesCS6D01G333500;TraesCS2A01G066600;TraesCS7B01G197100;TraesCS2A01G123800;TraesCS4B01G215300;TraesCS5A01G248700;TraesCS5B01G481500;TraesCS3B01G354300;TraesCS3D01G338400;TraesCS6A01G159000;TraesCS3D01G338600;TraesCS6B01G331500;TraesCS2A01G092800;TraesCS3B01G598100;TraesCS6A01G084500;TraesCS6B01G383700;TraesCS7A01G136600;TraesCS7D01G136500;TraesCS7D01G397900;TraesCS3B01G376900;TraesCS1D01G144300;TraesCS5D01G224600;TraesCS7B01G299700;TraesCS7D01G419100;TraesCS2D01G065000;TraesCS5B01G215400;TraesCS7A01G405000;TraesCS4D01G189100;TraesCS5D01G002400;TraesCS1B01G477900;TraesCS1A01G396200;TraesCS7D01G418900;TraesCS2A01G521900;TraesCS7B01G304500;TraesCS5B01G025000;TraesCS2D01G322500;TraesCS6A01G343800;TraesCS2A01G469000;TraesCS7A01G399100;TraesCS2B01G107500;TraesCS4A01G089000;TraesCS5D01G460500;TraesCS5D01G099300;TraesCS7D01G284000;TraesCS1D01G451500;TraesCS7A01G404700;TraesCS4A01G321800;TraesCS5A01G450600;TraesCS2A01G344200;TraesCS6A01G351000;TraesCS1D01G404300;TraesCS5B01G458900;TraesCS5D01G033500;TraesCS2B01G551400;TraesCS7D01G398900;TraesCS4A01G116700;TraesCS5A01G434700;TraesCS2D01G317900;TraesCS5A01G216500;TraesCS2D01G091800;TraesCS3B01G108700;TraesCS5A01G025700;TraesCS7D01G380300</t>
  </si>
  <si>
    <t>TraesCS1A01G211000</t>
  </si>
  <si>
    <t>external encapsulating structure organization</t>
  </si>
  <si>
    <t>TraesCS7D01G147700;TraesCS7D01G399000;TraesCS4B01G187700;TraesCS2D01G523700;TraesCS6D01G333500;TraesCS2A01G066600;TraesCS7B01G197100;TraesCS2A01G123800;TraesCS4B01G215300;TraesCS5A01G248700;TraesCS5B01G481500;TraesCS3B01G354300;TraesCS3D01G338400;TraesCS6A01G159000;TraesCS3D01G338600;TraesCS6B01G331500;TraesCS2A01G092800;TraesCS3B01G598100;TraesCS6A01G084500;TraesCS6B01G383700;TraesCS7A01G136600;TraesCS7D01G136500;TraesCS7D01G397900;TraesCS3B01G376900;TraesCS1D01G144300;TraesCS5D01G224600;TraesCS7B01G299700;TraesCS7D01G419100;TraesCS2D01G065000;TraesCS5B01G215400;TraesCS7A01G405000;TraesCS4D01G189100;TraesCS5D01G002400;TraesCS1B01G477900;TraesCS1A01G396200;TraesCS7D01G418900;TraesCS2A01G521900;TraesCS7B01G304500;TraesCS5B01G025000;TraesCS2D01G322500;TraesCS6A01G343800;TraesCS2A01G469000;TraesCS7A01G399100;TraesCS2B01G107500;TraesCS4A01G089000;TraesCS5D01G460500;TraesCS5D01G099300;TraesCS7D01G284000;TraesCS1D01G451500;TraesCS7A01G404700;TraesCS4A01G321800;TraesCS5A01G450600;TraesCS2A01G344200;TraesCS6A01G351000;TraesCS1D01G404300;TraesCS5B01G458900;TraesCS5D01G033500;TraesCS2B01G551400;TraesCS7D01G398900;TraesCS4A01G116700;TraesCS5A01G434700;TraesCS2D01G317900;TraesCS5A01G216500;TraesCS2D01G091800;TraesCS3B01G108700;TraesCS5A01G025700;TraesCS7D01G380300;TraesCS4A01G020500</t>
  </si>
  <si>
    <t>TraesCS1A01G212300</t>
  </si>
  <si>
    <t>ribulose-bisphosphate carboxylase activity</t>
  </si>
  <si>
    <t>TraesCS2A01G067100;TraesCS2A01G067200;TraesCS2A01G067000;TraesCS2A01G067300;TraesCS2A01G066800;TraesCS2A01G066900;TraesCS2A01G066700;TraesCS2B01G079500;TraesCS2D01G065600;TraesCS2D01G065400;TraesCS2D01G065500;TraesCS2D01G065200;TraesCS2D01G065300;TraesCS2D01G065100;TraesCS2B01G079400;TraesCS2B01G079200;TraesCS2B01G079100</t>
  </si>
  <si>
    <t>TraesCS1A01G221300</t>
  </si>
  <si>
    <t>integral component of membrane</t>
  </si>
  <si>
    <t>TraesCS1B01G213800;TraesCS2D01G408700;TraesCS3B01G085300;TraesCS4D01G129800;TraesCS2A01G565700;TraesCS6D01G207400;TraesCS2D01G565100;TraesCS5D01G447300;TraesCS1D01G161500;TraesCS1D01G293500;TraesCS3D01G199100;TraesCS4B01G149500;TraesCS4B01G015200;TraesCS1B01G433300;TraesCS7A01G206000;TraesCS2B01G381900;TraesCS3A01G420400;TraesCS5D01G320100;TraesCS6B01G165100;TraesCS4B01G135100;TraesCS1A01G290700;TraesCS3B01G455800;TraesCS2D01G002800;TraesCS3D01G288600;TraesCS1D01G246500;TraesCS5A01G039000;TraesCS3B01G336200;TraesCS4A01G216700;TraesCS5B01G003000;TraesCS7D01G276300;TraesCS6A01G200700;TraesCS6D01G258300;TraesCS5D01G081200;TraesCS5B01G288600;TraesCS6A01G227600;TraesCS6B01G317700;TraesCS3D01G440200;TraesCS7B01G444700;TraesCS5A01G069100;TraesCS5D01G304300;TraesCS5D01G321300;TraesCS7A01G510800;TraesCS1D01G309600;TraesCS7A01G556800;TraesCS3B01G246500;TraesCS4D01G057200;TraesCS3A01G071500;TraesCS3B01G169200;TraesCS4A01G043400;TraesCS1B01G024700;TraesCS5B01G564000;TraesCS7D01G313600;TraesCS3A01G126300;TraesCS3A01G340500;TraesCS4B01G096900;TraesCS3D01G416200;TraesCS2D01G523600;TraesCS6B01G340700;TraesCS2B01G603700;TraesCS3B01G266700;TraesCS6A01G023100;TraesCS2B01G051300;TraesCS4A01G077500;TraesCS4A01G046800;TraesCS4D01G130700;TraesCS4B01G333700;TraesCS2A01G411200;TraesCS6D01G260500;TraesCS2B01G306000;TraesCS1D01G059800;TraesCS2B01G255800;TraesCS3A01G458000;TraesCS1B01G300000;TraesCS4A01G294300;TraesCS7B01G421700;TraesCS5D01G268200;TraesCS4A01G081200;TraesCS2A01G122600;TraesCS6A01G402000;TraesCS1B01G141400;TraesCS2B01G318100;TraesCS6D01G009600;TraesCS4D01G093600;TraesCS3A01G241800;TraesCS7D01G500200;TraesCS3B01G169300;TraesCS6A01G310700;TraesCS5B01G572000;TraesCS7B01G243000;TraesCS4D01G150200;TraesCS3B01G236500;TraesCS2A01G582800;TraesCS3D01G325400;TraesCS4A01G257600;TraesCS2A01G312800;TraesCS6B01G444100;TraesCS5B01G455900;TraesCS2D01G058700;TraesCS3A01G135400;TraesCS5D01G416600;TraesCS3D01G070700;TraesCS5D01G452700;TraesCS1A01G403800;TraesCS2A01G572200;TraesCS4A01G136500;TraesCS4A01G021800;TraesCS7B01G185600;TraesCS2D01G396200;TraesCS3A01G179500;TraesCS7D01G146700;TraesCS4A01G061000;TraesCS2D01G422000;TraesCS6D01G096900;TraesCS5A01G406600;TraesCS6A01G371800;TraesCS7B01G047600;TraesCS4A01G218400;TraesCS6D01G290000;TraesCS1B01G321500;TraesCS6D01G355800;TraesCS2A01G302300;TraesCS2B01G329800;TraesCS2D01G280800;TraesCS2B01G457100;TraesCS3B01G372100;TraesCS2A01G279600;TraesCS3A01G331900;TraesCS7A01G533900;TraesCS3A01G243300;TraesCS6D01G139700;TraesCS1D01G309800;TraesCS4A01G001100;TraesCS5D01G002400;TraesCS5A01G289200;TraesCS4A01G150100;TraesCS4B01G279900;TraesCS7A01G298200;TraesCS3A01G214800;TraesCS5D01G017000;TraesCS5B01G008100;TraesCS3B01G337900;TraesCS6B01G137200;TraesCS7A01G156600;TraesCS4D01G302000;TraesCS1B01G077000;TraesCS2B01G055700;TraesCS3B01G323500;TraesCS1B01G324000;TraesCS4A01G143800;TraesCS4B01G343000;TraesCS6A01G134000;TraesCS5A01G221000;TraesCS2A01G572900;TraesCS2B01G416600;TraesCS4D01G170700;TraesCS5D01G091100;TraesCS4B01G192200;TraesCS5D01G319000;TraesCS7B01G481200;TraesCS2B01G612200;TraesCS3A01G179400;TraesCS6D01G208500;TraesCS7B01G393200;TraesCS6A01G418500;TraesCS4D01G013400;TraesCS2B01G402100;TraesCS1B01G307100;TraesCS3D01G303300;TraesCS1D01G135900;TraesCS4A01G182700;TraesCS2A01G363900;TraesCS3B01G244900;TraesCS2B01G591100;TraesCS6B01G254300;TraesCS5B01G318300;TraesCS5D01G178100;TraesCS6B01G393400;TraesCS2D01G361700;TraesCS1D01G020200;TraesCS3D01G184400;TraesCS7D01G157000;TraesCS4A01G301600;TraesCS7A01G189300;TraesCS1B01G314100;TraesCS1B01G211100;TraesCS4D01G278300;TraesCS3B01G429900;TraesCS5D01G550600;TraesCS1B01G257900;TraesCS7B01G142500;TraesCS5D01G219100;TraesCS2A01G043200;TraesCS3D01G159600;TraesCS5B01G411600;TraesCS5D01G001000;TraesCS5A01G293500;TraesCS4D01G272200;TraesCS5B01G552200;TraesCS1A01G120600;TraesCS5B01G365500;TraesCS3B01G132100;TraesCS6D01G321600;TraesCS5A01G081500;TraesCS5A01G173600;TraesCS1D01G114800;TraesCS4D01G174100;TraesCS5B01G296500;TraesCS2B01G551300;TraesCS5D01G066300;TraesCS3B01G227600;TraesCS3B01G441800;TraesCS7A01G503200;TraesCS6A01G359900;TraesCS2B01G251700;TraesCS6D01G124300;TraesCS2D01G311300;TraesCS2D01G342500;TraesCS1A01G058700;TraesCS6D01G267200;TraesCS4A01G102300;TraesCS7D01G294000;TraesCS1A01G134100;TraesCS5B01G440500;TraesCS3A01G403200;TraesCS4A01G404100;TraesCS5A01G055000;TraesCS4B01G281700;TraesCS5D01G346300;TraesCS7D01G521400;TraesCS6B01G282100;TraesCS3D01G023100;TraesCS2B01G179200;TraesCS3A01G298600;TraesCS4A01G132600;TraesCS2A01G316900;TraesCS6A01G277800;TraesCS3A01G288800;TraesCS4B01G194800;TraesCS7D01G553900;TraesCS6B01G381900;TraesCS7A01G490000;TraesCS6D01G384400;TraesCS3B01G519000;TraesCS7D01G203200;TraesCS1B01G321200;TraesCS5B01G040800;TraesCS4D01G305300;TraesCS1B01G099200;TraesCS2B01G006400;TraesCS5D01G018000;TraesCS2B01G335500;TraesCS3A01G339800;TraesCS1A01G341100;TraesCS1B01G353800;TraesCS7B01G094200;TraesCS6B01G409400;TraesCS7A01G145400;TraesCS7D01G388900;TraesCS5B01G010800;TraesCS2B01G235800;TraesCS4D01G091700;TraesCS4D01G280300;TraesCS6D01G224100;TraesCS1A01G081500;TraesCS4D01G121600;TraesCS3B01G362000;TraesCS3D01G470100;TraesCS7B01G451200;TraesCS4B01G094900;TraesCS5B01G452900;TraesCS3B01G264300;TraesCS4A01G191900;TraesCS2D01G597300;TraesCS7B01G060400;TraesCS2A01G385500;TraesCS3B01G371400;TraesCS5B01G149200;TraesCS3D01G126600;TraesCS6D01G006500;TraesCS2B01G334200;TraesCS4A01G023700;TraesCS4D01G314400;TraesCS2A01G220700;TraesCS2B01G615300;TraesCS4D01G352400;TraesCS6A01G009000;TraesCS1A01G303800;TraesCS3B01G021900;TraesCS4B01G056900;TraesCS5D01G444900;TraesCS6B01G360800;TraesCS4D01G214500;TraesCS7B01G106900;TraesCS3D01G488300;TraesCS3D01G333300;TraesCS4D01G329200;TraesCS6D01G270800;TraesCS5A01G512200;TraesCS5B01G171000;TraesCS1D01G343200;TraesCS5B01G219800;TraesCS4B01G172100;TraesCS3D01G039800;TraesCS6B01G162200;TraesCS1D01G411600;TraesCS4D01G150500;TraesCS1D01G289300;TraesCS4B01G009700;TraesCS5A01G527800;TraesCS7A01G200200;TraesCS4A01G183500;TraesCS2A01G284100;TraesCS4D01G257900;TraesCS2D01G314800;TraesCS3B01G136800;TraesCS5A01G031700;TraesCS5D01G051400;TraesCS1A01G086300;TraesCS6A01G023300;TraesCS6A01G306700;TraesCS1A01G426300;TraesCS2D01G381800;TraesCS6B01G201300;TraesCS5D01G372600;TraesCS2B01G246200;TraesCS4B01G123500;TraesCS1A01G122200;TraesCS2A01G278100;TraesCS5B01G292600;TraesCS5B01G084900;TraesCS5B01G376100;TraesCS5B01G418800;TraesCS2A01G321100;TraesCS4D01G344800;TraesCS1D01G441900;TraesCSU01G014100;TraesCS2A01G344200;TraesCS5D01G297100;TraesCS2A01G398700;TraesCS2B01G012600;TraesCS2D01G042400;TraesCS5B01G458900;TraesCS6A01G330000;TraesCS4B01G339600;TraesCS5A01G440100;TraesCS4A01G218100;TraesCS6A01G288200;TraesCS2A01G231600;TraesCS4B01G258000;TraesCS4B01G318000;TraesCS1A01G310300;TraesCS2D01G191300;TraesCS1B01G181300;TraesCS2A01G391500;TraesCS3B01G043100;TraesCS5D01G228700;TraesCS1D01G303200;TraesCS2A01G447800;TraesCS4D01G093200;TraesCS6A01G108700;TraesCS5D01G300800</t>
  </si>
  <si>
    <t>TraesCS1A01G237900</t>
  </si>
  <si>
    <t>cell wall organization or biogenesis</t>
  </si>
  <si>
    <t>TraesCS7D01G418600;TraesCS7D01G399000;TraesCS4B01G187700;TraesCS6D01G318500;TraesCS2D01G523700;TraesCS7B01G327000;TraesCS6D01G333500;TraesCS1A01G266600;TraesCS2A01G066600;TraesCS7B01G197100;TraesCS2A01G123800;TraesCS4B01G215300;TraesCS5A01G248700;TraesCS1D01G207100;TraesCS5B01G481500;TraesCS7A01G427000;TraesCS3B01G354300;TraesCS3D01G338400;TraesCS6A01G088000;TraesCS6A01G159000;TraesCS3D01G338600;TraesCS6B01G368300;TraesCS7B01G076200;TraesCS6B01G331500;TraesCS6B01G350600;TraesCS2A01G092800;TraesCS3B01G598100;TraesCS7D01G171900;TraesCS6A01G084500;TraesCS6B01G383700;TraesCS7A01G136600;TraesCS7D01G136500;TraesCS7D01G397900;TraesCS3B01G376900;TraesCS1D01G144300;TraesCS5D01G224600;TraesCS1A01G203700;TraesCS7B01G299700;TraesCS7D01G419100;TraesCSU01G018400;TraesCS2D01G065000;TraesCS5B01G215400;TraesCS7A01G405000;TraesCS7A01G426600;TraesCS4D01G189100;TraesCS5D01G002400;TraesCS1B01G477900;TraesCS6A01G337600;TraesCS1A01G396200;TraesCS7D01G418900;TraesCS2A01G521900;TraesCS7B01G304500;TraesCS5B01G025000;TraesCS2D01G322500;TraesCS6A01G343800;TraesCS6B01G110400;TraesCS2A01G469000;TraesCS4A01G078900;TraesCS7A01G399100;TraesCS2B01G107500;TraesCS4A01G089000;TraesCS5D01G460500;TraesCS5D01G099300;TraesCS7D01G284000;TraesCS1D01G451500;TraesCS7A01G404700;TraesCS4A01G321800;TraesCS5A01G450600;TraesCS7B01G326900;TraesCS2A01G344200;TraesCS6A01G351000;TraesCS1D01G404300;TraesCS5B01G458900;TraesCS5D01G033500;TraesCS2B01G551400;TraesCS7A01G171100;TraesCS7A01G426100;TraesCS7D01G398900;TraesCS4A01G116700;TraesCS5A01G434700;TraesCS2D01G317900;TraesCS5A01G216500;TraesCS2D01G091800;TraesCS3B01G108700;TraesCS7A01G426900;TraesCS5A01G025700;TraesCS7A01G426700;TraesCS7D01G380300</t>
  </si>
  <si>
    <t>TraesCS1A01G248100</t>
  </si>
  <si>
    <t>external encapsulating structure</t>
  </si>
  <si>
    <t>TraesCS7D01G418600;TraesCS7B01G243000;TraesCS4B01G187700;TraesCS6D01G318500;TraesCS2D01G523700;TraesCS7B01G327000;TraesCS6D01G333500;TraesCS7A01G427000;TraesCS3B01G354300;TraesCS6A01G088000;TraesCS6B01G368300;TraesCS2A01G092800;TraesCS3B01G598100;TraesCS6B01G383700;TraesCS3B01G376900;TraesCS7A01G239800;TraesCS5D01G224600;TraesCS7B01G299700;TraesCS7D01G419100;TraesCSU01G018400;TraesCS5B01G215400;TraesCS7A01G426600;TraesCS4D01G189100;TraesCS1B01G477900;TraesCS6A01G337600;TraesCS7D01G418700;TraesCS1A01G396200;TraesCS7D01G418900;TraesCS2A01G521900;TraesCS2D01G322500;TraesCS6A01G343800;TraesCS6B01G110400;TraesCS2B01G107500;TraesCS5D01G460500;TraesCS5D01G099300;TraesCS1D01G451500;TraesCS6A01G367300;TraesCS4A01G321800;TraesCS5A01G450600;TraesCS7B01G326900;TraesCS2A01G344200;TraesCS6A01G351000;TraesCS1D01G404300;TraesCS5B01G458900;TraesCS2B01G551400;TraesCS7A01G426100;TraesCS4A01G116700;TraesCS5A01G434700;TraesCS2D01G317900;TraesCS5A01G216500;TraesCS2D01G091800;TraesCS3B01G108700;TraesCS7A01G426900;TraesCS7D01G419000;TraesCS7A01G426700</t>
  </si>
  <si>
    <t>TraesCS1A01G266600</t>
  </si>
  <si>
    <t>potassium ion transport</t>
  </si>
  <si>
    <t>TraesCS1B01G314100;TraesCS4D01G091700;TraesCS7B01G295600;TraesCS7D01G202900;TraesCS7A01G200200;TraesCS7A01G246800;TraesCS7A01G199900;TraesCS3A01G340500;TraesCS3B01G498200;TraesCS4B01G094900;TraesCSU01G182900;TraesCS2D01G523600;TraesCS2A01G312800;TraesCS5A01G374200;TraesCS5B01G149200;TraesCS3D01G443400;TraesCS5B01G376100;TraesCS2D01G287400;TraesCS2A01G321100;TraesCS4A01G216700;TraesCS3D01G450800;TraesCS2B01G306000;TraesCS1B01G307100;TraesCS3B01G487700;TraesCS6D01G290000;TraesCS7D01G203200;TraesCS3A01G458000;TraesCS7B01G106900;TraesCS2B01G329800;TraesCS3B01G521800;TraesCS7A01G393600;TraesCS2D01G311300;TraesCS2D01G342500;TraesCS5D01G002400;TraesCS7D01G388900</t>
  </si>
  <si>
    <t>TraesCS1A01G267600</t>
  </si>
  <si>
    <t>membrane part</t>
  </si>
  <si>
    <t>TraesCS4D01G129800;TraesCS7D01G147700;TraesCS6D01G207400;TraesCS1D01G293500;TraesCS3D01G199100;TraesCS4B01G015200;TraesCS1B01G433300;TraesCS7A01G206000;TraesCS4D01G215000;TraesCS6B01G165100;TraesCS1A01G290700;TraesCS2D01G002800;TraesCS1D01G246500;TraesCS4A01G216700;TraesCS5B01G288600;TraesCS6A01G227600;TraesCS6B01G317700;TraesCS3D01G440200;TraesCS5A01G069100;TraesCS5D01G304300;TraesCS7A01G510800;TraesCS7A01G556800;TraesCS4D01G057200;TraesCS3A01G071500;TraesCS3B01G169200;TraesCS4A01G043400;TraesCS1B01G024700;TraesCS3A01G126300;TraesCS3D01G416200;TraesCS6B01G340700;TraesCS2B01G603700;TraesCS3B01G266700;TraesCS2B01G051300;TraesCS4A01G077500;TraesCS4A01G046800;TraesCS4D01G130700;TraesCS3A01G458000;TraesCS4A01G294300;TraesCS5D01G268200;TraesCS2A01G122600;TraesCS4D01G093600;TraesCS7D01G500200;TraesCS3B01G169300;TraesCS6A01G310700;TraesCS5B01G572000;TraesCS4D01G150200;TraesCS2A01G582800;TraesCS3D01G325400;TraesCS1B01G343300;TraesCS2D01G058700;TraesCS1A01G403800;TraesCS4A01G136500;TraesCS4A01G021800;TraesCS7B01G185600;TraesCS7D01G146700;TraesCS4A01G061000;TraesCS2D01G422000;TraesCS6D01G096900;TraesCS5A01G406600;TraesCS7B01G047600;TraesCS1B01G321500;TraesCS2A01G302300;TraesCS2B01G329800;TraesCS2D01G280800;TraesCS7A01G533900;TraesCS3A01G243300;TraesCS6D01G139700;TraesCS5A01G289200;TraesCS7A01G298200;TraesCS7B01G048700;TraesCS5D01G017000;TraesCS5B01G008100;TraesCS3B01G337900;TraesCS7A01G156600;TraesCS1B01G077000;TraesCS2B01G055700;TraesCS3B01G323500;TraesCS6A01G134000;TraesCS2A01G572900;TraesCS2B01G416600;TraesCS7B01G481200;TraesCS2B01G612200;TraesCS6D01G208500;TraesCS4D01G013400;TraesCS2B01G402100;TraesCS1B01G307100;TraesCS3D01G303300;TraesCS1D01G135900;TraesCS4A01G182700;TraesCS3B01G244900;TraesCS5B01G318300;TraesCS5D01G178100;TraesCS6D01G267900;TraesCS7A01G189300;TraesCS4D01G278300;TraesCS1B01G257900;TraesCS7B01G142500;TraesCS5B01G411600;TraesCS5D01G001000;TraesCS5A01G293500;TraesCS1A01G120600;TraesCS3A01G502300;TraesCS6D01G321600;TraesCS4D01G174100;TraesCS6A01G359900;TraesCS6D01G124300;TraesCS2D01G342500;TraesCS1A01G058700;TraesCS7D01G294000;TraesCS4B01G281700;TraesCS7D01G521400;TraesCS3D01G023100;TraesCS6A01G136900;TraesCS2B01G179200;TraesCS4A01G132600;TraesCS6A01G277800;TraesCS7A01G490000;TraesCS3B01G519000;TraesCS7D01G203200;TraesCS1B01G321200;TraesCS5B01G040800;TraesCS4D01G305300;TraesCS1B01G099200;TraesCS2B01G335500;TraesCS7B01G094200;TraesCS6B01G409400;TraesCS7A01G145400;TraesCS2B01G235800;TraesCS4D01G280300;TraesCS6D01G224100;TraesCS1A01G081500;TraesCS4D01G121600;TraesCS4B01G094900;TraesCS3B01G264300;TraesCS4A01G191900;TraesCS7B01G060400;TraesCS2A01G385500;TraesCS3B01G371400;TraesCS5B01G149200;TraesCS6D01G006500;TraesCS2B01G334200;TraesCS2B01G615300;TraesCS4D01G352400;TraesCS6A01G206600;TraesCS7D01G136500;TraesCS4D01G214500;TraesCS3D01G488300;TraesCS6A01G154100;TraesCS4D01G329200;TraesCS5B01G171000;TraesCS4B01G172100;TraesCS3D01G039800;TraesCS1D01G328500;TraesCS6B01G162200;TraesCS1D01G411600;TraesCS1D01G289300;TraesCS5A01G031700;TraesCS5D01G051400;TraesCS6B01G201300;TraesCS2A01G278100;TraesCS5B01G292600;TraesCS5B01G084900;TraesCS4D01G344800;TraesCSU01G014100;TraesCS2A01G398700;TraesCS2B01G012600;TraesCS5B01G458900;TraesCS6A01G330000;TraesCS4B01G339600;TraesCS1B01G181300;TraesCS3B01G043100;TraesCS5D01G228700;TraesCS3D01G400400;TraesCS1D01G303200;TraesCS2A01G447800;TraesCS4D01G093200;TraesCS5D01G300800;TraesCS1B01G213800;TraesCS2D01G408700;TraesCS3B01G085300;TraesCS3B01G362600;TraesCS2A01G565700;TraesCS2D01G565100;TraesCS5D01G447300;TraesCS1D01G161500;TraesCS4B01G149500;TraesCS2B01G381900;TraesCS3A01G420400;TraesCS5D01G320100;TraesCS4B01G135100;TraesCS3A01G405000;TraesCS4B01G219700;TraesCS3B01G455800;TraesCS3D01G288600;TraesCS5A01G039000;TraesCS3B01G336200;TraesCS5B01G003000;TraesCS7D01G276300;TraesCS6A01G200700;TraesCS6D01G258300;TraesCS5D01G081200;TraesCS7A01G136600;TraesCS7B01G444700;TraesCS5D01G321300;TraesCS1D01G309600;TraesCS3B01G246500;TraesCS5B01G564000;TraesCS7D01G313600;TraesCS3A01G340500;TraesCS4B01G096900;TraesCS2D01G523600;TraesCS6A01G023100;TraesCS7A01G146200;TraesCS4B01G333700;TraesCS2A01G411200;TraesCS6D01G260500;TraesCS2B01G306000;TraesCS1D01G059800;TraesCS6A01G242200;TraesCS2B01G255800;TraesCS1B01G300000;TraesCS7B01G421700;TraesCS4A01G081200;TraesCS6A01G402000;TraesCS1B01G141400;TraesCS2B01G318100;TraesCS7D01G476900;TraesCS6D01G009600;TraesCS3A01G241800;TraesCS7B01G243000;TraesCS3B01G236500;TraesCS4A01G257600;TraesCS2A01G312800;TraesCS6B01G444100;TraesCS5B01G455900;TraesCS3A01G135400;TraesCS5D01G416600;TraesCS3D01G070700;TraesCS5D01G452700;TraesCS1B01G312000;TraesCS5B01G296700;TraesCS2A01G572200;TraesCS2D01G396200;TraesCS3A01G179500;TraesCS6A01G371800;TraesCS4A01G218400;TraesCS6D01G290000;TraesCS6D01G355800;TraesCS2B01G457100;TraesCS3B01G372100;TraesCS2A01G279600;TraesCS3A01G331900;TraesCS1B01G277200;TraesCS1D01G309800;TraesCS4A01G001100;TraesCS5D01G002400;TraesCS4A01G150100;TraesCS4B01G279900;TraesCS3A01G214800;TraesCS6B01G137200;TraesCS4D01G302000;TraesCS1B01G324000;TraesCS4A01G143800;TraesCS4B01G343000;TraesCS5A01G221000;TraesCS6A01G302500;TraesCS4D01G170700;TraesCS5D01G091100;TraesCS4B01G192200;TraesCS5D01G319000;TraesCS3A01G179400;TraesCS7B01G393200;TraesCS6A01G418500;TraesCS2A01G363900;TraesCS2B01G591100;TraesCS6B01G254300;TraesCS6B01G393400;TraesCS2D01G361700;TraesCS1D01G020200;TraesCS3D01G184400;TraesCS7D01G157000;TraesCS4A01G301600;TraesCS1B01G314100;TraesCS1B01G211100;TraesCS3B01G429900;TraesCS5D01G550600;TraesCS5D01G219100;TraesCS2A01G043200;TraesCS3D01G159600;TraesCS4D01G272200;TraesCS5B01G552200;TraesCS5B01G365500;TraesCS3B01G132100;TraesCS1B01G440000;TraesCS5A01G081500;TraesCS5A01G173600;TraesCS1D01G114800;TraesCS5B01G296500;TraesCS2B01G551300;TraesCS1D01G301600;TraesCS5D01G066300;TraesCS3B01G227600;TraesCS3B01G441800;TraesCS7A01G503200;TraesCS2B01G251700;TraesCS1D01G332000;TraesCS2D01G311300;TraesCS6D01G267200;TraesCS4A01G102300;TraesCS1A01G134100;TraesCS5B01G440500;TraesCS3A01G403200;TraesCS4A01G404100;TraesCS5A01G055000;TraesCS5D01G346300;TraesCS4A01G185600;TraesCS6B01G282100;TraesCS3A01G298600;TraesCS2A01G316900;TraesCS3A01G288800;TraesCS4B01G194800;TraesCS7D01G553900;TraesCS6B01G381900;TraesCS6D01G143700;TraesCS6D01G384400;TraesCS3D01G509100;TraesCS2B01G006400;TraesCS5D01G018000;TraesCS3A01G339800;TraesCS1A01G341100;TraesCS1B01G353800;TraesCS7D01G388900;TraesCS5B01G010800;TraesCS4D01G091700;TraesCS2A01G240300;TraesCS3B01G362000;TraesCS3D01G470100;TraesCS7B01G451200;TraesCS5B01G452900;TraesCS2D01G597300;TraesCS3D01G126600;TraesCS4A01G023700;TraesCS4D01G314400;TraesCS2A01G220700;TraesCS3B01G438700;TraesCS6A01G009000;TraesCS1A01G303800;TraesCS7A01G490500;TraesCS3B01G021900;TraesCS4B01G056900;TraesCS5D01G444900;TraesCS6B01G360800;TraesCS7B01G106900;TraesCS3D01G333300;TraesCS6D01G270800;TraesCS5A01G512200;TraesCS1D01G343200;TraesCS5B01G219800;TraesCS4D01G150500;TraesCS4B01G009700;TraesCS5A01G527800;TraesCS7A01G200200;TraesCS4A01G183500;TraesCS2A01G284100;TraesCS4D01G257900;TraesCS2D01G314800;TraesCS3B01G136800;TraesCS6A01G287100;TraesCS1A01G086300;TraesCS6A01G023300;TraesCS6A01G306700;TraesCS1A01G426300;TraesCS2D01G381800;TraesCS5D01G372600;TraesCS2B01G246200;TraesCS4B01G123500;TraesCS1A01G122200;TraesCS5B01G376100;TraesCS5B01G418800;TraesCS2A01G321100;TraesCS1D01G441900;TraesCS2A01G344200;TraesCS5D01G297100;TraesCS2D01G042400;TraesCS6D01G187800;TraesCS5A01G440100;TraesCS1D01G332300;TraesCS4A01G218100;TraesCS6A01G288200;TraesCS2A01G231600;TraesCS4B01G258000;TraesCS4B01G318000;TraesCS1A01G310300;TraesCS2D01G191300;TraesCS2A01G391500;TraesCS6A01G108700</t>
  </si>
  <si>
    <t>TraesCS1A01G276600</t>
  </si>
  <si>
    <t>cell wall</t>
  </si>
  <si>
    <t>TraesCS7D01G418600;TraesCS7B01G243000;TraesCS4B01G187700;TraesCS6D01G318500;TraesCS2D01G523700;TraesCS7B01G327000;TraesCS6D01G333500;TraesCS7A01G427000;TraesCS3B01G354300;TraesCS6A01G088000;TraesCS6B01G368300;TraesCS2A01G092800;TraesCS3B01G598100;TraesCS6B01G383700;TraesCS3B01G376900;TraesCS5D01G224600;TraesCS7B01G299700;TraesCS7D01G419100;TraesCSU01G018400;TraesCS5B01G215400;TraesCS7A01G426600;TraesCS4D01G189100;TraesCS1B01G477900;TraesCS6A01G337600;TraesCS7D01G418700;TraesCS1A01G396200;TraesCS7D01G418900;TraesCS2A01G521900;TraesCS2D01G322500;TraesCS6A01G343800;TraesCS6B01G110400;TraesCS2B01G107500;TraesCS5D01G460500;TraesCS5D01G099300;TraesCS1D01G451500;TraesCS6A01G367300;TraesCS4A01G321800;TraesCS5A01G450600;TraesCS7B01G326900;TraesCS2A01G344200;TraesCS6A01G351000;TraesCS1D01G404300;TraesCS5B01G458900;TraesCS2B01G551400;TraesCS7A01G426100;TraesCS4A01G116700;TraesCS5A01G434700;TraesCS2D01G317900;TraesCS5A01G216500;TraesCS2D01G091800;TraesCS3B01G108700;TraesCS7A01G426900;TraesCS7D01G419000;TraesCS7A01G426700</t>
  </si>
  <si>
    <t>TraesCS1A01G290700</t>
  </si>
  <si>
    <t>solute:cation antiporter activity</t>
  </si>
  <si>
    <t>TraesCS1B01G314100;TraesCS6A01G310700;TraesCS1D01G293500;TraesCS3A01G340500;TraesCS5D01G346300;TraesCS2D01G523600;TraesCS6B01G137200;TraesCS6B01G340700;TraesCS5A01G031700;TraesCS4B01G343000;TraesCS5B01G149200;TraesCS1A01G120600;TraesCS1A01G303800;TraesCS2B01G551300;TraesCS5B01G003000;TraesCS6A01G418500;TraesCS6D01G096900;TraesCS5D01G081200;TraesCS1B01G307100;TraesCS6D01G290000;TraesCS3B01G372100;TraesCS5D01G268200;TraesCS5A01G512200;TraesCS5A01G069100;TraesCS1D01G303200;TraesCS5D01G002400;TraesCS6A01G108700</t>
  </si>
  <si>
    <t>TraesCS1A01G303800</t>
  </si>
  <si>
    <t>solute:proton antiporter activity</t>
  </si>
  <si>
    <t>TraesCS1A01G310300</t>
  </si>
  <si>
    <t>TraesCS4D01G129800;TraesCS7B01G291400;TraesCS2D01G565100;TraesCS2D01G523700;TraesCS2D01G582400;TraesCS6B01G133500;TraesCS2A01G507300;TraesCS5D01G231100;TraesCS6A01G002700;TraesCS3A01G171800;TraesCS1B01G224300;TraesCS3B01G354300;TraesCS7A01G389600;TraesCS4B01G135100;TraesCS7D01G108900;TraesCS6D01G011100;TraesCS2A01G570900;TraesCS5A01G532400;TraesCS2B01G297300;TraesCS7B01G250700;TraesCS2D01G354600;TraesCS4B01G352300;TraesCS1D01G116700;TraesCS2D01G315100;TraesCS7B01G326200;TraesCS7B01G467200;TraesCS1A01G339400;TraesCS1D01G357000;TraesCS5B01G215400;TraesCS6D01G135300;TraesCS2B01G335200;TraesCSU01G038600;TraesCS5B01G222500;TraesCS1B01G024700;TraesCS2A01G521900;TraesCS2D01G322500;TraesCS7D01G521000;TraesCS2D01G003200;TraesCS5A01G223500;TraesCS3A01G235500;TraesCS5B01G507400;TraesCS7D01G351000;TraesCS5D01G460500;TraesCS5D01G099300;TraesCS2D01G278500;TraesCS3B01G264400;TraesCS4D01G195800;TraesCS6D01G002800;TraesCS7B01G450800;TraesCS6A01G351900;TraesCS7A01G389500;TraesCS4B01G217300;TraesCS1D01G451500;TraesCS7A01G423900;TraesCS3A01G351000;TraesCS7D01G385500;TraesCS2A01G406300;TraesCS2D01G519900;TraesCS4B01G194800;TraesCS4A01G445000;TraesCS5A01G450600;TraesCS6A01G351000;TraesCS7A01G113600;TraesCS1B01G147900;TraesCS7D01G421200;TraesCS1A01G353200;TraesCS1A01G020700;TraesCS7B01G467100;TraesCS4A01G116700;TraesCS5A01G434700;TraesCS2D01G091800;TraesCS1D01G127400;TraesCS2B01G430700;TraesCS6A01G404700;TraesCS6A01G104300;TraesCS5D01G566700;TraesCS6B01G202700;TraesCS1B01G368600;TraesCS3D01G235600;TraesCS2B01G535300;TraesCS4B01G187700;TraesCS3D01G323100;TraesCS2D01G507700;TraesCS4D01G087200;TraesCS6D01G333500;TraesCS7B01G034400;TraesCS2A01G364400;TraesCS4D01G159700;TraesCS2B01G374900;TraesCS4A01G398600;TraesCS2B01G154600;TraesCS2B01G424000;TraesCS1A01G126100;TraesCS2D01G362300;TraesCS2A01G092800;TraesCS3B01G598100;TraesCS5D01G100400;TraesCS6B01G383700;TraesCS4D01G120000;TraesCS7D01G417600;TraesCS5A01G511000;TraesCS5A01G520900;TraesCS2A01G279600;TraesCS2B01G382900;TraesCS5D01G224600;TraesCS7B01G253100;TraesCS5A01G239500;TraesCS6D01G093000;TraesCS1B01G145300;TraesCS2A01G518500;TraesCS4D01G189100;TraesCS4B01G195200;TraesCS1B01G477900;TraesCS5A01G202000;TraesCS6A01G343800;TraesCS3B01G383600;TraesCS4A01G316400;TraesCS7B01G291300;TraesCS1A01G115300;TraesCS3A01G329700;TraesCS4A01G183500;TraesCS2B01G107500;TraesCS5B01G562700;TraesCS7B01G255800;TraesCS2A01G412100;TraesCS6D01G163200;TraesCS2B01G546900;TraesCS1B01G442400;TraesCS6A01G174100;TraesCS1A01G382200;TraesCS5D01G208300;TraesCS1A01G403700;TraesCS7D01G385700;TraesCS5D01G169000;TraesCS2D01G403200;TraesCS6A01G007000;TraesCS3B01G359800;TraesCS2A01G344200;TraesCS2D01G409300;TraesCS7A01G100600;TraesCS6D01G388000;TraesCS4A01G298300;TraesCS5B01G458900;TraesCS2B01G551400;TraesCS4D01G346700;TraesCS1D01G389900;TraesCS1B01G135200;TraesCS7D01G346700;TraesCS2D01G317900;TraesCS5A01G216500;TraesCS7D01G095900;TraesCS1D01G020200;TraesCS1B01G351700;TraesCS6B01G273200;TraesCS4B01G363800</t>
  </si>
  <si>
    <t>TraesCS1A01G317900</t>
  </si>
  <si>
    <t>carbon fixation</t>
  </si>
  <si>
    <t>TraesCS2A01G067100;TraesCS2A01G067200;TraesCS2A01G067000;TraesCS2A01G067300;TraesCS2A01G066800;TraesCS2A01G066900;TraesCS2A01G066700;TraesCS3B01G011200;TraesCS3D01G005000;TraesCS2B01G079500;TraesCS2D01G065600;TraesCS2D01G065400;TraesCS2D01G065500;TraesCS2D01G065200;TraesCS2D01G065300;TraesCS2D01G065100;TraesCS2B01G079400;TraesCS2B01G079200;TraesCS2B01G079100;TraesCS3B01G008500</t>
  </si>
  <si>
    <t>TraesCS1A01G339400</t>
  </si>
  <si>
    <t>inorganic molecular entity transmembrane transporter activity</t>
  </si>
  <si>
    <t>TraesCS1B01G314100;TraesCS1B01G211100;TraesCS7B01G295600;TraesCS1D01G161500;TraesCS1D01G293500;TraesCS7A01G199900;TraesCS5A01G227600;TraesCSU01G182900;TraesCS5B01G226400;TraesCS7B01G210400;TraesCS5A01G374200;TraesCS6B01G165100;TraesCS1A01G120600;TraesCS2D01G287400;TraesCS3D01G288600;TraesCS2B01G551300;TraesCS1D01G301600;TraesCS4A01G216700;TraesCS5B01G003000;TraesCS3D01G450800;TraesCS5D01G081200;TraesCS6A01G098500;TraesCS5A01G069100;TraesCS2D01G311300;TraesCS5D01G321300;TraesCS2D01G342500;TraesCS4A01G043400;TraesCS7D01G202900;TraesCS3A01G126300;TraesCS3A01G340500;TraesCS5D01G346300;TraesCS2D01G523600;TraesCS6B01G340700;TraesCS6A01G136900;TraesCS3A01G288800;TraesCS4A01G046800;TraesCS4B01G333700;TraesCS2B01G306000;TraesCS3B01G487700;TraesCS3B01G519000;TraesCS7D01G203200;TraesCS3A01G458000;TraesCS4A01G294300;TraesCS6B01G258700;TraesCS5D01G268200;TraesCSU01G108000;TraesCS6A01G402000;TraesCS1B01G334100;TraesCS7D01G388900;TraesCS4D01G091700;TraesCS6A01G310700;TraesCS7B01G243000;TraesCS5D01G235100;TraesCS3D01G470100;TraesCS3B01G498200;TraesCS4B01G094900;TraesCS2A01G312800;TraesCS2D01G058700;TraesCS5B01G149200;TraesCS3D01G126600;TraesCS3D01G443400;TraesCS1B01G312000;TraesCS2A01G220700;TraesCS7D01G307100;TraesCS1A01G303800;TraesCS2D01G422000;TraesCS6D01G096900;TraesCS6D01G290000;TraesCS7B01G106900;TraesCS2B01G329800;TraesCS3B01G372100;TraesCS5A01G512200;TraesCS7A01G393600;TraesCS5D01G002400;TraesCS3B01G144700;TraesCS7A01G200200;TraesCS7A01G246800;TraesCS3A01G149900;TraesCS4D01G257900;TraesCS6B01G137200;TraesCS5A01G031700;TraesCS3B01G323500;TraesCS5D01G051400;TraesCS1A01G086300;TraesCS1B01G324000;TraesCS4B01G343000;TraesCS6B01G201300;TraesCS2B01G246200;TraesCS2A01G278100;TraesCS7A01G310600;TraesCS5B01G376100;TraesCS2A01G321100;TraesCS4D01G344800;TraesCS6A01G418500;TraesCS1B01G307100;TraesCS4B01G258000;TraesCS3B01G521800;TraesCS1B01G181300;TraesCS1D01G303200;TraesCS6A01G108700</t>
  </si>
  <si>
    <t>TraesCS1A01G341100</t>
  </si>
  <si>
    <t>glucosyltransferase activity</t>
  </si>
  <si>
    <t>TraesCS6A01G337600;TraesCS7D01G036600;TraesCS7D01G418600;TraesCS7D01G418700;TraesCS1A01G396200;TraesCS7A01G040900;TraesCS7D01G418900;TraesCS7B01G243200;TraesCS7D01G147700;TraesCS7B01G048700;TraesCS6B01G110400;TraesCS6D01G318500;TraesCS7B01G327000;TraesCS3B01G461800;TraesCSU01G082000;TraesCS4D01G169800;TraesCS7A01G427000;TraesCS6A01G088000;TraesCS7A01G146200;TraesCS2D01G301000;TraesCS6B01G368300;TraesCS5D01G261000;TraesCS3D01G420300;TraesCS4B01G167500;TraesCS4A01G321800;TraesCS2A01G210100;TraesCS2D01G126100;TraesCS3A01G425500;TraesCS7A01G331500;TraesCS7B01G326900;TraesCS6D01G403800;TraesCS1D01G404300;TraesCS7D01G339800;TraesCS2A01G302300;TraesCS2B01G144900;TraesCS7A01G426100;TraesCS3B01G108700;TraesCS2A01G122600;TraesCS4A01G492600;TraesCS2B01G318100;TraesCS7A01G426900;TraesCS7D01G419000;TraesCS7D01G419100;TraesCSU01G018400;TraesCS6B01G466600;TraesCS7A01G426600;TraesCS7A01G426700</t>
  </si>
  <si>
    <t>TraesCS1A01G353100</t>
  </si>
  <si>
    <t>cellular carbohydrate metabolic process</t>
  </si>
  <si>
    <t>TraesCS7D01G036600;TraesCS7D01G418600;TraesCS7A01G040900;TraesCS1B01G368600;TraesCS7A01G357800;TraesCS7B01G243200;TraesCS7D01G147700;TraesCS6D01G318500;TraesCS7B01G327000;TraesCS5A01G317400;TraesCS1A01G266600;TraesCS3B01G461800;TraesCS2A01G123800;TraesCS1B01G224300;TraesCS5A01G248700;TraesCS7A01G427000;TraesCS6A01G088000;TraesCS6B01G368300;TraesCS5D01G261000;TraesCS6B01G331500;TraesCS2A01G210100;TraesCS7A01G331500;TraesCS1A01G355200;TraesCS3D01G110300;TraesCS7A01G337000;TraesCS5D01G255800;TraesCS7D01G339800;TraesCS2A01G302300;TraesCS4A01G492600;TraesCS1D01G357000;TraesCS7D01G419100;TraesCSU01G018400;TraesCS6B01G466600;TraesCS7A01G426600;TraesCS1B01G366400;TraesCS6A01G337600;TraesCS7D01G418700;TraesCS1A01G396200;TraesCS7D01G418900;TraesCS7B01G048700;TraesCS6B01G110400;TraesCS2B01G184900;TraesCS4A01G078900;TraesCSU01G082000;TraesCS2A01G412100;TraesCS6D01G163200;TraesCS3D01G298600;TraesCS4D01G169800;TraesCS7A01G146200;TraesCS2D01G301000;TraesCS4B01G267200;TraesCS6A01G174100;TraesCS4D01G339400;TraesCS3D01G420300;TraesCS4B01G167500;TraesCS4B01G194800;TraesCS4A01G321800;TraesCS7A01G335600;TraesCS2D01G126100;TraesCS3A01G425500;TraesCS7B01G326900;TraesCS6D01G403800;TraesCS2D01G409300;TraesCS1A01G353200;TraesCS1D01G404300;TraesCS3A01G108500;TraesCS2A01G159300;TraesCS2B01G144900;TraesCS7A01G226000;TraesCS7A01G426100;TraesCS7B01G193600;TraesCS3B01G108700;TraesCS2A01G122600;TraesCS2B01G318100;TraesCS3D01G276000;TraesCS5D01G323700;TraesCS7A01G426900;TraesCS7D01G419000;TraesCS2B01G430700;TraesCS3A01G276100;TraesCS2D01G166600;TraesCS6B01G202700;TraesCS7A01G426700</t>
  </si>
  <si>
    <t>TraesCS1A01G353200</t>
  </si>
  <si>
    <t>transmembrane transport</t>
  </si>
  <si>
    <t>TraesCS2B01G424600;TraesCS2D01G408700;TraesCS1B01G314100;TraesCS1B01G211100;TraesCS7B01G295600;TraesCS5D01G447300;TraesCS1D01G293500;TraesCS7A01G199900;TraesCS5A01G227600;TraesCS4B01G015200;TraesCSU01G182900;TraesCS5B01G226400;TraesCS3D01G159600;TraesCS7B01G210400;TraesCS5A01G293500;TraesCS5A01G374200;TraesCS6B01G165100;TraesCS1A01G120600;TraesCS5D01G265400;TraesCS3B01G191300;TraesCS2D01G287400;TraesCS3D01G288600;TraesCS4D01G174100;TraesCS3B01G382100;TraesCS2B01G551300;TraesCS1D01G301600;TraesCS4A01G216700;TraesCS5B01G003000;TraesCS3D01G450800;TraesCS5D01G081200;TraesCS2D01G373100;TraesCS3A01G349500;TraesCS6A01G098500;TraesCS5A01G069100;TraesCS2D01G311300;TraesCS5D01G321300;TraesCS6B01G059100;TraesCS2D01G342500;TraesCS1D01G309600;TraesCS7A01G556800;TraesCS2A01G407000;TraesCS4A01G043400;TraesCS7D01G202900;TraesCS4A01G316600;TraesCS7D01G460200;TraesCS3A01G340500;TraesCS5D01G346300;TraesCS6B01G282100;TraesCS2D01G523600;TraesCS6B01G340700;TraesCS6A01G136900;TraesCS4A01G132600;TraesCS3A01G288800;TraesCS7D01G553900;TraesCS4A01G046800;TraesCS5A01G312200;TraesCS7B01G374500;TraesCS4B01G333700;TraesCS1B01G153500;TraesCS6D01G384400;TraesCS2A01G411200;TraesCS2B01G306000;TraesCS3A01G160700;TraesCS3B01G487700;TraesCS3B01G519000;TraesCS7D01G203200;TraesCS3A01G458000;TraesCS1B01G321200;TraesCS5D01G104100;TraesCS4A01G294300;TraesCS6B01G258700;TraesCS7D01G048400;TraesCS5D01G268200;TraesCS6A01G402000;TraesCS2B01G465500;TraesCS1A01G341100;TraesCS1B01G334100;TraesCS6A01G043100;TraesCS1B01G353800;TraesCS7D01G388900;TraesCS5A01G256800;TraesCS4D01G091700;TraesCS6A01G310700;TraesCS5D01G235100;TraesCS3D01G470100;TraesCS3B01G498200;TraesCS4B01G094900;TraesCS2A01G312800;TraesCS6B01G444100;TraesCS5A01G263100;TraesCS2D01G058700;TraesCS2A01G385500;TraesCS5B01G149200;TraesCS3D01G126600;TraesCS3D01G443400;TraesCS1B01G312000;TraesCS2A01G220700;TraesCS5B01G256300;TraesCS7D01G307100;TraesCS1A01G303800;TraesCS3D01G343500;TraesCS2D01G422000;TraesCS6D01G096900;TraesCS6D01G290000;TraesCS7B01G106900;TraesCS2B01G329800;TraesCS3B01G372100;TraesCS5A01G512200;TraesCS7A01G393600;TraesCS1D01G343200;TraesCS2D01G403900;TraesCS4B01G172100;TraesCS5D01G002400;TraesCS6B01G162200;TraesCS3B01G144700;TraesCS6B01G292900;TraesCS7A01G200200;TraesCS7A01G246800;TraesCS1A01G132800;TraesCS3A01G149900;TraesCS4D01G257900;TraesCS6B01G137200;TraesCS3B01G136800;TraesCS5A01G031700;TraesCS3B01G323500;TraesCS5D01G051400;TraesCS1A01G086300;TraesCS1B01G324000;TraesCS4B01G343000;TraesCS6A01G134000;TraesCS1A01G426300;TraesCS6B01G201300;TraesCS2B01G246200;TraesCS2A01G427400;TraesCS6B01G058700;TraesCS5D01G319000;TraesCS5B01G292600;TraesCS7B01G481200;TraesCS7A01G310600;TraesCS5B01G376100;TraesCS5A01G091900;TraesCS2A01G321100;TraesCS4D01G344800;TraesCSU01G014100;TraesCS6A01G418500;TraesCS4D01G013400;TraesCS1B01G307100;TraesCS4B01G339600;TraesCS5A01G440100;TraesCS6D01G049500;TraesCS4B01G258000;TraesCS3B01G521800;TraesCS7B01G167700;TraesCS1D01G303200;TraesCS1A01G165700;TraesCS6A01G108700;TraesCS5D01G300800</t>
  </si>
  <si>
    <t>TraesCS1A01G357700</t>
  </si>
  <si>
    <t>aspartyl esterase activity</t>
  </si>
  <si>
    <t>TraesCS3B01G598100;TraesCS2A01G521900;TraesCS2A01G344200;TraesCS2D01G322500;TraesCS4B01G187700;TraesCS6A01G351000;TraesCS5B01G458900;TraesCS2B01G551400;TraesCS6D01G333500;TraesCS2B01G107500;TraesCS5D01G460500;TraesCS5D01G099300;TraesCS4A01G116700;TraesCS2D01G091800;TraesCS3B01G354300;TraesCS5B01G215400;TraesCS1D01G451500;TraesCS4D01G189100;TraesCS2A01G092800</t>
  </si>
  <si>
    <t>TraesCS1A01G369600</t>
  </si>
  <si>
    <t>ion transmembrane transporter activity</t>
  </si>
  <si>
    <t>TraesCS1B01G314100;TraesCS1B01G211100;TraesCS7B01G295600;TraesCS1D01G161500;TraesCS1D01G293500;TraesCS7A01G199900;TraesCS5A01G227600;TraesCSU01G182900;TraesCS5B01G226400;TraesCS7B01G210400;TraesCS5A01G374200;TraesCS6B01G165100;TraesCS1A01G120600;TraesCS2D01G287400;TraesCS3D01G288600;TraesCS2B01G551300;TraesCS1D01G301600;TraesCS4A01G216700;TraesCS5B01G003000;TraesCS3D01G450800;TraesCS5D01G081200;TraesCS6A01G098500;TraesCS5A01G069100;TraesCS2D01G311300;TraesCS5D01G321300;TraesCS2D01G342500;TraesCS4A01G043400;TraesCS7D01G202900;TraesCS3A01G126300;TraesCS3A01G340500;TraesCS5D01G346300;TraesCS2D01G523600;TraesCS6B01G340700;TraesCS6A01G136900;TraesCS3A01G288800;TraesCS4A01G046800;TraesCS2B01G306000;TraesCS3B01G487700;TraesCS3B01G519000;TraesCS7D01G203200;TraesCS3A01G458000;TraesCS4A01G294300;TraesCS6B01G258700;TraesCS5D01G268200;TraesCSU01G108000;TraesCS6A01G402000;TraesCS1B01G334100;TraesCS7D01G388900;TraesCS4D01G091700;TraesCS6A01G310700;TraesCS7B01G243000;TraesCS5D01G235100;TraesCS3D01G470100;TraesCS3B01G498200;TraesCS4B01G094900;TraesCS2A01G312800;TraesCS2D01G058700;TraesCS5B01G149200;TraesCS3D01G126600;TraesCS3D01G443400;TraesCS1B01G312000;TraesCS2A01G220700;TraesCS7D01G307100;TraesCS1A01G303800;TraesCS2D01G422000;TraesCS6D01G096900;TraesCS6D01G290000;TraesCS7B01G106900;TraesCS2B01G329800;TraesCS3B01G372100;TraesCS5A01G512200;TraesCS7A01G393600;TraesCS5D01G002400;TraesCS3B01G144700;TraesCS7A01G200200;TraesCS7A01G246800;TraesCS3A01G149900;TraesCS4D01G257900;TraesCS6B01G137200;TraesCS5A01G031700;TraesCS3B01G323500;TraesCS5D01G051400;TraesCS1A01G086300;TraesCS1B01G324000;TraesCS4B01G343000;TraesCS6B01G201300;TraesCS2B01G246200;TraesCS2A01G278100;TraesCS7A01G310600;TraesCS5B01G376100;TraesCS2A01G321100;TraesCS4D01G344800;TraesCS6A01G418500;TraesCS1B01G307100;TraesCS4B01G258000;TraesCS3B01G521800;TraesCS1B01G181300;TraesCS1D01G303200;TraesCS6A01G108700</t>
  </si>
  <si>
    <t>TraesCS1A01G373700</t>
  </si>
  <si>
    <t>monovalent inorganic cation transmembrane transporter activity</t>
  </si>
  <si>
    <t>TraesCS1B01G314100;TraesCS4D01G091700;TraesCS7B01G295600;TraesCS6A01G310700;TraesCS1D01G293500;TraesCS7A01G199900;TraesCS3B01G498200;TraesCS4B01G094900;TraesCSU01G182900;TraesCS2A01G312800;TraesCS5A01G374200;TraesCS5B01G149200;TraesCS6B01G165100;TraesCS1A01G120600;TraesCS3D01G443400;TraesCS1B01G312000;TraesCS1A01G303800;TraesCS2D01G287400;TraesCS2B01G551300;TraesCS1D01G301600;TraesCS4A01G216700;TraesCS5B01G003000;TraesCS3D01G450800;TraesCS6D01G096900;TraesCS5D01G081200;TraesCS6D01G290000;TraesCS7B01G106900;TraesCS2B01G329800;TraesCS3B01G372100;TraesCS5A01G512200;TraesCS7A01G393600;TraesCS5A01G069100;TraesCS2D01G311300;TraesCS2D01G342500;TraesCS5D01G002400;TraesCS7D01G202900;TraesCS7A01G200200;TraesCS7A01G246800;TraesCS3A01G340500;TraesCS5D01G346300;TraesCS2D01G523600;TraesCS6B01G137200;TraesCS6B01G340700;TraesCS6A01G136900;TraesCS5A01G031700;TraesCS4B01G343000;TraesCS5B01G376100;TraesCS2A01G321100;TraesCS6A01G418500;TraesCS2B01G306000;TraesCS1B01G307100;TraesCS3B01G487700;TraesCS7D01G203200;TraesCS3A01G458000;TraesCS5D01G268200;TraesCS3B01G521800;TraesCS1D01G303200;TraesCS6A01G108700;TraesCS7D01G388900</t>
  </si>
  <si>
    <t>TraesCS1A01G382200</t>
  </si>
  <si>
    <t>inorganic cation transmembrane transporter activity</t>
  </si>
  <si>
    <t>TraesCS1B01G314100;TraesCS4D01G091700;TraesCS7B01G295600;TraesCS6A01G310700;TraesCS1D01G293500;TraesCS7A01G199900;TraesCS3D01G470100;TraesCS3B01G498200;TraesCS4B01G094900;TraesCSU01G182900;TraesCS7B01G210400;TraesCS2A01G312800;TraesCS2D01G058700;TraesCS5A01G374200;TraesCS5B01G149200;TraesCS6B01G165100;TraesCS1A01G120600;TraesCS3D01G443400;TraesCS1B01G312000;TraesCS7D01G307100;TraesCS1A01G303800;TraesCS2D01G287400;TraesCS2B01G551300;TraesCS1D01G301600;TraesCS4A01G216700;TraesCS5B01G003000;TraesCS2D01G422000;TraesCS3D01G450800;TraesCS6D01G096900;TraesCS5D01G081200;TraesCS6D01G290000;TraesCS7B01G106900;TraesCS2B01G329800;TraesCS3B01G372100;TraesCS5A01G512200;TraesCS7A01G393600;TraesCS5A01G069100;TraesCS2D01G311300;TraesCS2D01G342500;TraesCS5D01G002400;TraesCS7D01G202900;TraesCS7A01G200200;TraesCS7A01G246800;TraesCS3A01G340500;TraesCS5D01G346300;TraesCS2D01G523600;TraesCS4D01G257900;TraesCS6B01G137200;TraesCS6B01G340700;TraesCS6A01G136900;TraesCS5A01G031700;TraesCS1B01G324000;TraesCS4B01G343000;TraesCS6B01G201300;TraesCS2A01G278100;TraesCS7A01G310600;TraesCS4A01G046800;TraesCS5B01G376100;TraesCS2A01G321100;TraesCS6A01G418500;TraesCS2B01G306000;TraesCS1B01G307100;TraesCS3B01G487700;TraesCS3B01G519000;TraesCS7D01G203200;TraesCS3A01G458000;TraesCS4A01G294300;TraesCS4B01G258000;TraesCS5D01G268200;TraesCS3B01G521800;TraesCS1D01G303200;TraesCS6A01G108700;TraesCS7D01G388900</t>
  </si>
  <si>
    <t>TraesCS1A01G392600</t>
  </si>
  <si>
    <t>cell periphery</t>
  </si>
  <si>
    <t>TraesCS1B01G213800;TraesCS7A01G189300;TraesCS7D01G418600;TraesCS5D01G130800;TraesCS7D01G147700;TraesCS1D01G161500;TraesCS4B01G112100;TraesCS2D01G523700;TraesCS7A01G267000;TraesCS7B01G327000;TraesCS2A01G043200;TraesCS5D01G320100;TraesCS7A01G427000;TraesCS3B01G354300;TraesCS3A01G502300;TraesCS4B01G219700;TraesCS1B01G440000;TraesCS4B01G115200;TraesCS4D01G277500;TraesCS6B01G117400;TraesCS5B01G288600;TraesCS3B01G376900;TraesCS7B01G299700;TraesCS3B01G246500;TraesCS5B01G215400;TraesCS7A01G426600;TraesCS2D01G216300;TraesCS7D01G418700;TraesCS5B01G222500;TraesCS1A01G134100;TraesCS4A01G043400;TraesCS2A01G521900;TraesCS4A01G316600;TraesCS2D01G322500;TraesCS6B01G110400;TraesCS4A01G185600;TraesCS5D01G460500;TraesCS5D01G099300;TraesCS7A01G146200;TraesCS1D01G451500;TraesCS6A01G367300;TraesCS2A01G050400;TraesCS4A01G321800;TraesCS4A01G208500;TraesCS4A01G233400;TraesCS5A01G450600;TraesCS7B01G326900;TraesCS4D01G109600;TraesCS6A01G351000;TraesCS5B01G112900;TraesCS1D01G404300;TraesCS3D01G509100;TraesCS7A01G426100;TraesCS4A01G116700;TraesCS5A01G434700;TraesCS2D01G091800;TraesCS3B01G108700;TraesCS7A01G426900;TraesCS7D01G419000;TraesCS4A01G200100;TraesCS7B01G094200;TraesCS6D01G224100;TraesCS2A01G240300;TraesCS7B01G243000;TraesCS4B01G187700;TraesCS6D01G318500;TraesCS4B01G279000;TraesCS6D01G333500;TraesCS4D01G080800;TraesCS2B01G131600;TraesCS6A01G088000;TraesCS6B01G368300;TraesCS2A01G092800;TraesCS4D01G352400;TraesCS3B01G598100;TraesCS6A01G009000;TraesCS6B01G383700;TraesCS7A01G239800;TraesCS5D01G519300;TraesCS5D01G224600;TraesCS4D01G112900;TraesCS5B01G219800;TraesCS7D01G419100;TraesCSU01G018400;TraesCS7A01G185400;TraesCS4D01G189100;TraesCS1B01G477900;TraesCS6A01G337600;TraesCS1A01G396200;TraesCS7D01G418900;TraesCS3A01G214800;TraesCS7B01G048700;TraesCS6A01G343800;TraesCS5A01G122400;TraesCS5A01G527800;TraesCS2B01G107500;TraesCS5D01G051400;TraesCS4A01G025100;TraesCS5A01G221000;TraesCS5B01G122500;TraesCS2A01G278100;TraesCS2A01G344200;TraesCS5D01G297100;TraesCS2D01G042400;TraesCS5B01G458900;TraesCS2B01G551400;TraesCS1D01G135900;TraesCS7D01G264700;TraesCS2D01G317900;TraesCS5A01G216500;TraesCS1B01G181300;TraesCS5D01G228700;TraesCS4B01G082700;TraesCS7A01G426700</t>
  </si>
  <si>
    <t>TraesCS1A01G396200</t>
  </si>
  <si>
    <t>cellular lipid metabolic process</t>
  </si>
  <si>
    <t>TraesCS7B01G142500;TraesCS5D01G219100;TraesCS7A01G206000;TraesCS5B01G132400;TraesCS5D01G231100;TraesCS3D01G485000;TraesCS5D01G244700;TraesCS2A01G507700;TraesCS1A01G369600;TraesCS2D01G016300;TraesCS5D01G131500;TraesCS6B01G331500;TraesCS6D01G321600;TraesCS2A01G075300;TraesCS6D01G258300;TraesCS4B01G352300;TraesCS1B01G388700;TraesCS6A01G359900;TraesCS1D01G116700;TraesCS6A01G026800;TraesCS5A01G237000;TraesCS5B01G322500;TraesCS5A01G132500;TraesCS1B01G168400;TraesCS5A01G321800;TraesCS3D01G331600;TraesCS5A01G195500;TraesCS5B01G222500;TraesCS3A01G279400;TraesCS7D01G208600;TraesCS5A01G223500;TraesCS4A01G165400;TraesCS4A01G185600;TraesCS4B01G332500;TraesCS7D01G351000;TraesCS1D01G375700;TraesCS5A01G076500;TraesCS2D01G546200;TraesCS6A01G302300;TraesCS2B01G156800;TraesCS4B01G133100;TraesCS4B01G267200;TraesCS4A01G025300;TraesCS4B01G217300;TraesCS3B01G134300;TraesCS6A01G277800;TraesCS3A01G425500;TraesCS3B01G313800;TraesCS3D01G117300;TraesCS6A01G150000;TraesCS1D01G375600;TraesCS4D01G093600;TraesCS7A01G569400;TraesCS2D01G135300;TraesCS1D01G147800;TraesCS2B01G007200;TraesCS5D01G328700;TraesCS2B01G154600;TraesCS1D01G420900;TraesCS2A01G385100;TraesCS4D01G314400;TraesCS7B01G489300;TraesCS3D01G279300;TraesCS6D01G281800;TraesCS5A01G236800;TraesCS4D01G277300;TraesCS5A01G123600;TraesCS7D01G543200;TraesCS4D01G161900;TraesCS4A01G218400;TraesCS4A01G143600;TraesCS7B01G086400;TraesCS4D01G329200;TraesCS5A01G520900;TraesCS5D01G519300;TraesCS5D01G285100;TraesCS6D01G139700;TraesCS4D01G128000;TraesCS7D01G101900;TraesCS5B01G123200;TraesCS1A01G385500;TraesCS1B01G093600;TraesCS1D01G375500;TraesCS5A01G202000;TraesCS5D01G017000;TraesCS1A01G115300;TraesCS7D01G183100;TraesCS7B01G006300;TraesCS7B01G255800;TraesCS6A01G226500;TraesCS5D01G140700;TraesCS4B01G152500;TraesCS5B01G235900;TraesCS2D01G381800;TraesCS5B01G277500;TraesCS5D01G208300;TraesCS4B01G278800;TraesCS7A01G335600;TraesCS5B01G418800;TraesCS5A01G503600;TraesCS6D01G208500;TraesCS2B01G402100;TraesCS7D01G488800;TraesCS7D01G111200;TraesCS4D01G346700;TraesCS5A01G278100;TraesCS1B01G135200;TraesCS4B01G318000;TraesCS5A01G220200;TraesCS2B01G302400;TraesCS4A01G301600;TraesCS7B01G113200;TraesCS6A01G341400;TraesCS2A01G447800;TraesCS7A01G181500</t>
  </si>
  <si>
    <t>TraesCS1A01G401400</t>
  </si>
  <si>
    <t>transmembrane transporter activity</t>
  </si>
  <si>
    <t>TraesCS1B01G314100;TraesCS1B01G211100;TraesCS7B01G295600;TraesCS5D01G447300;TraesCS1D01G161500;TraesCS1D01G293500;TraesCS3D01G199100;TraesCS7A01G199900;TraesCS5A01G227600;TraesCSU01G182900;TraesCS5B01G226400;TraesCS7B01G210400;TraesCS5A01G293500;TraesCS5A01G374200;TraesCS6B01G165100;TraesCS1A01G120600;TraesCS2D01G287400;TraesCS3D01G288600;TraesCS2B01G551300;TraesCS1D01G301600;TraesCS4A01G216700;TraesCS5B01G003000;TraesCS3B01G227600;TraesCS3D01G450800;TraesCS5D01G081200;TraesCS6A01G098500;TraesCS5A01G069100;TraesCS2D01G311300;TraesCS5D01G321300;TraesCS2D01G342500;TraesCS1D01G309600;TraesCS7A01G556800;TraesCS1A01G134100;TraesCS4A01G043400;TraesCS7D01G202900;TraesCS4A01G316600;TraesCS3A01G126300;TraesCS7D01G460200;TraesCS3A01G340500;TraesCS5D01G346300;TraesCS2D01G523600;TraesCS6B01G340700;TraesCS6A01G136900;TraesCS3A01G288800;TraesCS7D01G553900;TraesCS4A01G046800;TraesCS5A01G312200;TraesCS7B01G374500;TraesCS4B01G333700;TraesCS7A01G490000;TraesCS6D01G384400;TraesCS2B01G306000;TraesCS3B01G487700;TraesCS3B01G519000;TraesCS7D01G203200;TraesCS2B01G255800;TraesCS3A01G458000;TraesCS1B01G321200;TraesCS4A01G294300;TraesCS6B01G258700;TraesCS5D01G268200;TraesCSU01G108000;TraesCS6A01G402000;TraesCS3A01G339800;TraesCS1A01G341100;TraesCS1B01G334100;TraesCS1B01G353800;TraesCS7D01G388900;TraesCS4D01G091700;TraesCS6A01G310700;TraesCS7B01G243000;TraesCS5D01G235100;TraesCS3B01G362000;TraesCS3D01G470100;TraesCS3B01G498200;TraesCS3D01G325400;TraesCS4B01G094900;TraesCS2A01G312800;TraesCS2D01G058700;TraesCS2A01G385500;TraesCS3B01G371400;TraesCS5B01G149200;TraesCS3D01G126600;TraesCS3D01G443400;TraesCS1B01G312000;TraesCS2A01G220700;TraesCS7D01G307100;TraesCS1A01G303800;TraesCS2D01G422000;TraesCS6D01G096900;TraesCS6D01G290000;TraesCS6B01G360800;TraesCS7B01G106900;TraesCS2B01G329800;TraesCS3D01G488300;TraesCS3B01G372100;TraesCS3D01G333300;TraesCS5A01G512200;TraesCS7A01G393600;TraesCS3A01G331900;TraesCS5B01G171000;TraesCS1D01G343200;TraesCS1D01G309800;TraesCS5D01G002400;TraesCS6B01G162200;TraesCS3B01G144700;TraesCS7A01G200200;TraesCS7A01G246800;TraesCS3A01G149900;TraesCS4D01G257900;TraesCS6B01G137200;TraesCS3B01G136800;TraesCS5A01G031700;TraesCS3B01G323500;TraesCS5D01G051400;TraesCS1A01G086300;TraesCS1B01G324000;TraesCS4B01G343000;TraesCS6A01G134000;TraesCS1A01G426300;TraesCS6B01G201300;TraesCS2B01G246200;TraesCS5D01G319000;TraesCS2A01G278100;TraesCS5B01G292600;TraesCS7B01G481200;TraesCS7A01G310600;TraesCS5B01G376100;TraesCS2A01G321100;TraesCS4D01G344800;TraesCSU01G014100;TraesCS7B01G393200;TraesCS6A01G418500;TraesCS1B01G307100;TraesCS1D01G135900;TraesCS6A01G330000;TraesCS4B01G339600;TraesCS5A01G440100;TraesCS2A01G231600;TraesCS4B01G258000;TraesCS1A01G310300;TraesCS3B01G521800;TraesCS7B01G167700;TraesCS1B01G181300;TraesCS1D01G303200;TraesCS6A01G108700;TraesCS5D01G300800</t>
  </si>
  <si>
    <t>TraesCS1A01G403700</t>
  </si>
  <si>
    <t>potassium ion transmembrane transporter activity</t>
  </si>
  <si>
    <t>TraesCS4D01G091700;TraesCS7B01G295600;TraesCS7D01G202900;TraesCS7A01G200200;TraesCS7A01G246800;TraesCS7A01G199900;TraesCS3B01G498200;TraesCS4B01G094900;TraesCSU01G182900;TraesCS2A01G312800;TraesCS5A01G374200;TraesCS3D01G443400;TraesCS5B01G376100;TraesCS2D01G287400;TraesCS2A01G321100;TraesCS4A01G216700;TraesCS3D01G450800;TraesCS2B01G306000;TraesCS3B01G487700;TraesCS7D01G203200;TraesCS3A01G458000;TraesCS7B01G106900;TraesCS2B01G329800;TraesCS3B01G521800;TraesCS7A01G393600;TraesCS2D01G311300;TraesCS2D01G342500;TraesCS7D01G388900</t>
  </si>
  <si>
    <t>TraesCS1A01G403800</t>
  </si>
  <si>
    <t>carboxylic ester hydrolase activity</t>
  </si>
  <si>
    <t>TraesCS1B01G477900;TraesCS2A01G521900;TraesCS2D01G322500;TraesCS6A01G343800;TraesCS4B01G187700;TraesCS2D01G523700;TraesCS5B01G507400;TraesCS6D01G333500;TraesCS2B01G107500;TraesCS2B01G546900;TraesCS5D01G460500;TraesCS5D01G099300;TraesCS3A01G171800;TraesCS3B01G354300;TraesCS1B01G442400;TraesCS2B01G154600;TraesCS4B01G217300;TraesCS1D01G451500;TraesCS1A01G403700;TraesCS2D01G519900;TraesCS2A01G092800;TraesCS3B01G598100;TraesCS6D01G011100;TraesCS5A01G450600;TraesCS5D01G100400;TraesCS6A01G007000;TraesCS6B01G383700;TraesCS2A01G344200;TraesCS4D01G120000;TraesCS6A01G351000;TraesCS1B01G147900;TraesCS5B01G458900;TraesCS2B01G551400;TraesCS5A01G511000;TraesCS4A01G116700;TraesCS5A01G434700;TraesCS2D01G317900;TraesCS5A01G216500;TraesCS2D01G091800;TraesCS5D01G224600;TraesCS2A01G518500;TraesCS5B01G215400;TraesCS6D01G135300;TraesCS4D01G189100</t>
  </si>
  <si>
    <t>TraesCS1A01G426300</t>
  </si>
  <si>
    <t>glycerolipid metabolic process</t>
  </si>
  <si>
    <t>TraesCS1D01G375600;TraesCS7A01G569400;TraesCS5B01G132400;TraesCS5D01G231100;TraesCS2B01G007200;TraesCS5D01G328700;TraesCS1A01G369600;TraesCS2D01G016300;TraesCS7B01G489300;TraesCS6B01G331500;TraesCS6D01G281800;TraesCS7D01G543200;TraesCS4D01G161900;TraesCS4B01G352300;TraesCS1B01G388700;TraesCS1D01G116700;TraesCS4A01G143600;TraesCS7B01G086400;TraesCS5A01G520900;TraesCS5D01G519300;TraesCS5B01G322500;TraesCS5A01G132500;TraesCS5D01G285100;TraesCS4D01G128000;TraesCS5A01G321800;TraesCS3D01G331600;TraesCS1A01G385500;TraesCS1D01G375500;TraesCS5B01G222500;TraesCS5A01G202000;TraesCS1A01G115300;TraesCS7D01G183100;TraesCS5A01G223500;TraesCS4A01G165400;TraesCS4A01G185600;TraesCS1D01G375700;TraesCS5D01G140700;TraesCS2D01G546200;TraesCS4B01G152500;TraesCS6A01G302300;TraesCS4B01G133100;TraesCS5B01G277500;TraesCS3B01G134300;TraesCS5D01G208300;TraesCS7D01G111200;TraesCS4D01G346700;TraesCS5A01G278100;TraesCS1B01G135200;TraesCS3D01G117300;TraesCS4A01G301600;TraesCS2A01G447800;TraesCS7A01G181500</t>
  </si>
  <si>
    <t>TraesCS1B01G014200</t>
  </si>
  <si>
    <t>metal ion transmembrane transporter activity</t>
  </si>
  <si>
    <t>TraesCS4D01G091700;TraesCS7B01G295600;TraesCS7D01G202900;TraesCS7A01G200200;TraesCS7A01G246800;TraesCS7A01G199900;TraesCS3D01G470100;TraesCS3B01G498200;TraesCS4B01G094900;TraesCSU01G182900;TraesCS4D01G257900;TraesCS7B01G210400;TraesCS6B01G137200;TraesCS2A01G312800;TraesCS1B01G324000;TraesCS5A01G374200;TraesCS6B01G201300;TraesCS3D01G443400;TraesCS2A01G278100;TraesCS7D01G307100;TraesCS7A01G310600;TraesCS4A01G046800;TraesCS5B01G376100;TraesCS2D01G287400;TraesCS2A01G321100;TraesCS4A01G216700;TraesCS2D01G422000;TraesCS3D01G450800;TraesCS6D01G096900;TraesCS2B01G306000;TraesCS3B01G487700;TraesCS3B01G519000;TraesCS7D01G203200;TraesCS3A01G458000;TraesCS7B01G106900;TraesCS2B01G329800;TraesCS4A01G294300;TraesCS4B01G258000;TraesCS5D01G268200;TraesCS3B01G521800;TraesCS7A01G393600;TraesCS2D01G311300;TraesCS2D01G342500;TraesCS6A01G108700;TraesCS7D01G388900</t>
  </si>
  <si>
    <t>TraesCS1B01G047400</t>
  </si>
  <si>
    <t>cation transmembrane transporter activity</t>
  </si>
  <si>
    <t>TraesCS1B01G314100;TraesCS4D01G091700;TraesCS7B01G295600;TraesCS6A01G310700;TraesCS7B01G243000;TraesCS1D01G293500;TraesCS7A01G199900;TraesCS3D01G470100;TraesCS3B01G498200;TraesCS4B01G094900;TraesCSU01G182900;TraesCS7B01G210400;TraesCS2A01G312800;TraesCS2D01G058700;TraesCS5A01G374200;TraesCS5B01G149200;TraesCS6B01G165100;TraesCS1A01G120600;TraesCS3D01G443400;TraesCS1B01G312000;TraesCS7D01G307100;TraesCS1A01G303800;TraesCS2D01G287400;TraesCS2B01G551300;TraesCS1D01G301600;TraesCS4A01G216700;TraesCS5B01G003000;TraesCS2D01G422000;TraesCS3D01G450800;TraesCS6D01G096900;TraesCS5D01G081200;TraesCS6D01G290000;TraesCS7B01G106900;TraesCS2B01G329800;TraesCS3B01G372100;TraesCS5A01G512200;TraesCS7A01G393600;TraesCS5A01G069100;TraesCS2D01G311300;TraesCS2D01G342500;TraesCS5D01G002400;TraesCS7D01G202900;TraesCS7A01G200200;TraesCS7A01G246800;TraesCS3A01G149900;TraesCS3A01G340500;TraesCS5D01G346300;TraesCS2D01G523600;TraesCS4D01G257900;TraesCS6B01G137200;TraesCS6B01G340700;TraesCS6A01G136900;TraesCS5A01G031700;TraesCS5D01G051400;TraesCS1B01G324000;TraesCS4B01G343000;TraesCS6B01G201300;TraesCS2A01G278100;TraesCS7A01G310600;TraesCS4A01G046800;TraesCS5B01G376100;TraesCS2A01G321100;TraesCS6A01G418500;TraesCS2B01G306000;TraesCS1B01G307100;TraesCS3B01G487700;TraesCS3B01G519000;TraesCS7D01G203200;TraesCS3A01G458000;TraesCS4A01G294300;TraesCS4B01G258000;TraesCS5D01G268200;TraesCS3B01G521800;TraesCS1D01G303200;TraesCS6A01G108700;TraesCS7D01G388900</t>
  </si>
  <si>
    <t>TraesCS1B01G050600</t>
  </si>
  <si>
    <t>voltage-gated potassium channel activity</t>
  </si>
  <si>
    <t>TraesCS5B01G376100;TraesCS2A01G321100;TraesCS4D01G091700;TraesCS7D01G202900;TraesCS4A01G216700;TraesCS7A01G200200;TraesCS7A01G199900;TraesCS4B01G094900;TraesCSU01G182900;TraesCS7D01G203200;TraesCS7B01G106900;TraesCS2B01G329800;TraesCS2A01G312800;TraesCS2D01G311300;TraesCS5A01G374200;TraesCS2D01G342500</t>
  </si>
  <si>
    <t>TraesCS1B01G056800</t>
  </si>
  <si>
    <t>voltage-gated cation channel activity</t>
  </si>
  <si>
    <t>TraesCS1B01G077000</t>
  </si>
  <si>
    <t>phosphatidylcholine metabolic process</t>
  </si>
  <si>
    <t>TraesCS1D01G375500;TraesCS1D01G375600;TraesCS5B01G222500;TraesCS5A01G202000;TraesCS1A01G115300;TraesCS4B01G352300;TraesCS1B01G388700;TraesCS1D01G116700;TraesCS5A01G223500;TraesCS4D01G346700;TraesCS1D01G375700;TraesCS5D01G231100;TraesCS1B01G135200;TraesCS5A01G520900;TraesCS1A01G369600;TraesCS5D01G208300</t>
  </si>
  <si>
    <t>TraesCS1B01G093600</t>
  </si>
  <si>
    <t>fatty acid biosynthetic process</t>
  </si>
  <si>
    <t>TraesCS4D01G093600;TraesCS5D01G017000;TraesCS3A01G279400;TraesCS7D01G208600;TraesCS7B01G006300;TraesCS2D01G135300;TraesCS4B01G332500;TraesCS7A01G206000;TraesCS7D01G351000;TraesCS7B01G255800;TraesCS6A01G226500;TraesCS5A01G076500;TraesCS1D01G147800;TraesCS2A01G507700;TraesCS2D01G381800;TraesCS2B01G156800;TraesCS5D01G131500;TraesCS4A01G025300;TraesCS1D01G420900;TraesCS2A01G385100;TraesCS4D01G314400;TraesCS6D01G321600;TraesCS3D01G279300;TraesCS4B01G278800;TraesCS5B01G418800;TraesCS5A01G503600;TraesCS6D01G208500;TraesCS4D01G277300;TraesCS5A01G123600;TraesCS2B01G402100;TraesCS7D01G488800;TraesCS4A01G218400;TraesCS3B01G313800;TraesCS4D01G329200;TraesCS6A01G026800;TraesCS4B01G318000;TraesCS5A01G220200;TraesCS6A01G150000;TraesCS1B01G168400;TraesCS7B01G113200;TraesCS6D01G139700;TraesCS6A01G341400;TraesCS7D01G101900;TraesCS5B01G123200;TraesCS5A01G195500</t>
  </si>
  <si>
    <t>TraesCS1B01G095800</t>
  </si>
  <si>
    <t>polysaccharide catabolic process</t>
  </si>
  <si>
    <t>TraesCS3B01G598100;TraesCS2A01G215300;TraesCS2A01G344200;TraesCS3A01G239200;TraesCS2B01G184900;TraesCS5B01G458900;TraesCS5D01G255800;TraesCS2B01G141700;TraesCS5A01G317400;TraesCS2A01G159300;TraesCS2A01G123800;TraesCS4B01G344300;TraesCS5D01G099300;TraesCS2A01G120800;TraesCS4A01G116700;TraesCS5A01G248700;TraesCS5A01G513200;TraesCS2D01G091800;TraesCS3B01G354300;TraesCS5D01G323700;TraesCS2B01G024500;TraesCS2D01G166600;TraesCS4D01G339400</t>
  </si>
  <si>
    <t>TraesCS1B01G100600</t>
  </si>
  <si>
    <t>glycerophospholipid metabolic process</t>
  </si>
  <si>
    <t>TraesCS1D01G375500;TraesCS1D01G375600;TraesCS5B01G222500;TraesCS7A01G569400;TraesCS5A01G202000;TraesCS1A01G115300;TraesCS7D01G183100;TraesCS5A01G223500;TraesCS4A01G165400;TraesCS4A01G185600;TraesCS1D01G375700;TraesCS5B01G132400;TraesCS5D01G231100;TraesCS5D01G140700;TraesCS2D01G546200;TraesCS4B01G152500;TraesCS6A01G302300;TraesCS1A01G369600;TraesCS4B01G133100;TraesCS5B01G277500;TraesCS7B01G489300;TraesCS3B01G134300;TraesCS5D01G208300;TraesCS6B01G331500;TraesCS6D01G281800;TraesCS7D01G543200;TraesCS4D01G161900;TraesCS4B01G352300;TraesCS1B01G388700;TraesCS1D01G116700;TraesCS4A01G143600;TraesCS4D01G346700;TraesCS5A01G278100;TraesCS7B01G086400;TraesCS1B01G135200;TraesCS3D01G117300;TraesCS5A01G520900;TraesCS5D01G519300;TraesCS5A01G132500;TraesCS4A01G301600;TraesCS5D01G285100;TraesCS4D01G128000;TraesCS3D01G331600;TraesCS2A01G447800;TraesCS7A01G181500</t>
  </si>
  <si>
    <t>TraesCS1B01G125200</t>
  </si>
  <si>
    <t>carboxy-lyase activity</t>
  </si>
  <si>
    <t>TraesCS5B01G220000;TraesCS2A01G066800;TraesCS2A01G066900;TraesCS2A01G066700;TraesCS5A01G221200;TraesCS5D01G173900;TraesCS3B01G008500;TraesCS2A01G067100;TraesCS5B01G166300;TraesCS2A01G067200;TraesCS2A01G067000;TraesCS2A01G067300;TraesCS2B01G104000;TraesCS5A01G169500;TraesCS3B01G011200;TraesCS3D01G005000;TraesCS2D01G086300;TraesCS2A01G088600;TraesCS2B01G079500;TraesCS2D01G065600;TraesCS2D01G065400;TraesCS2D01G065500;TraesCS2D01G065200;TraesCS5D01G228900;TraesCS2D01G065300;TraesCS2D01G065100;TraesCS3D01G519600;TraesCS4D01G359400;TraesCS2B01G079400;TraesCS2B01G079200;TraesCS2B01G079100</t>
  </si>
  <si>
    <t>TraesCS1B01G129500</t>
  </si>
  <si>
    <t>ion transport</t>
  </si>
  <si>
    <t>TraesCS1B01G314100;TraesCS1B01G211100;TraesCS7B01G295600;TraesCS1D01G161500;TraesCS1D01G293500;TraesCS7A01G199900;TraesCS5A01G227600;TraesCSU01G182900;TraesCS5D01G219100;TraesCS5B01G226400;TraesCS7B01G210400;TraesCS5A01G374200;TraesCS6B01G165100;TraesCS1A01G120600;TraesCS1B01G440000;TraesCS2D01G287400;TraesCS3D01G288600;TraesCS2B01G551300;TraesCS1D01G301600;TraesCS4A01G216700;TraesCS5B01G003000;TraesCS3D01G450800;TraesCS5D01G081200;TraesCS6A01G098500;TraesCS2B01G375900;TraesCS5A01G069100;TraesCS2D01G311300;TraesCS5D01G321300;TraesCS2D01G342500;TraesCS2B01G090300;TraesCS4A01G043400;TraesCS7D01G202900;TraesCS3A01G126300;TraesCS2D01G355500;TraesCS3A01G340500;TraesCS5D01G346300;TraesCS2D01G523600;TraesCS6B01G340700;TraesCS6A01G136900;TraesCS4D01G111100;TraesCS2A01G356600;TraesCS4B01G217300;TraesCS3A01G288800;TraesCS4A01G046800;TraesCS4B01G333700;TraesCS2B01G306000;TraesCS3B01G487700;TraesCS3B01G519000;TraesCS7D01G203200;TraesCS3A01G458000;TraesCS4A01G294300;TraesCS6B01G258700;TraesCS5D01G268200;TraesCS6A01G402000;TraesCS1B01G334100;TraesCS7D01G388900;TraesCS4D01G091700;TraesCS6A01G310700;TraesCS5D01G235100;TraesCS3D01G470100;TraesCS3B01G498200;TraesCS4B01G094900;TraesCS2A01G312800;TraesCS5A01G263100;TraesCS2D01G058700;TraesCS5B01G149200;TraesCS2B01G131600;TraesCS2B01G154600;TraesCS3D01G126600;TraesCS3D01G443400;TraesCS1B01G312000;TraesCS2A01G220700;TraesCS7D01G307100;TraesCS1A01G303800;TraesCS2D01G422000;TraesCS6D01G096900;TraesCS6D01G290000;TraesCS6B01G321600;TraesCS7B01G106900;TraesCS2B01G329800;TraesCS3B01G372100;TraesCS5A01G512200;TraesCS7A01G393600;TraesCS5B01G171000;TraesCS5D01G002400;TraesCS3B01G144700;TraesCS7A01G200200;TraesCS7A01G246800;TraesCS4D01G257900;TraesCS6B01G137200;TraesCS5A01G031700;TraesCS3B01G323500;TraesCS5D01G051400;TraesCS1A01G086300;TraesCS1B01G324000;TraesCS4B01G343000;TraesCS6B01G201300;TraesCS2B01G246200;TraesCS2A01G278100;TraesCS7A01G310600;TraesCS5B01G376100;TraesCS2A01G321100;TraesCS4D01G344800;TraesCS6A01G418500;TraesCS1B01G307100;TraesCS5B01G131600;TraesCS2B01G186900;TraesCS4B01G258000;TraesCS3B01G521800;TraesCS1B01G181300;TraesCS1D01G303200;TraesCS6A01G108700</t>
  </si>
  <si>
    <t>TraesCS1B01G133500</t>
  </si>
  <si>
    <t>monocarboxylic acid biosynthetic process</t>
  </si>
  <si>
    <t>TraesCS4D01G093600;TraesCS2D01G135300;TraesCS7A01G206000;TraesCS7B01G210400;TraesCS7A01G075600;TraesCS1D01G147800;TraesCS7B01G019600;TraesCS2A01G507700;TraesCS2B01G131600;TraesCS5D01G131500;TraesCS1D01G420900;TraesCS2A01G385100;TraesCS4D01G314400;TraesCS6D01G321600;TraesCS1B01G440000;TraesCS3D01G279300;TraesCS7D01G307100;TraesCS4D01G176600;TraesCS2B01G528300;TraesCS4D01G277300;TraesCS5A01G123600;TraesCS1A01G355200;TraesCS3D01G110300;TraesCS4A01G218400;TraesCS7D01G228500;TraesCS4D01G329200;TraesCS6A01G026800;TraesCS1B01G168400;TraesCS6D01G139700;TraesCS7D01G101900;TraesCS5B01G123200;TraesCS5A01G195500;TraesCS1B01G366400;TraesCS4A01G129900;TraesCS5D01G017000;TraesCS3A01G279400;TraesCS7D01G208600;TraesCS7B01G006300;TraesCS4D01G045300;TraesCS4B01G332500;TraesCS7D01G351000;TraesCS7B01G255800;TraesCS6A01G226500;TraesCS5A01G076500;TraesCS4B01G045400;TraesCS2D01G381800;TraesCS2B01G156800;TraesCS4A01G025300;TraesCS7A01G310600;TraesCS4B01G278800;TraesCS5B01G418800;TraesCS5A01G503600;TraesCS6D01G208500;TraesCS2B01G402100;TraesCS7D01G488800;TraesCS3A01G108500;TraesCS3B01G313800;TraesCS7A01G226000;TraesCS7A01G561600;TraesCS4B01G318000;TraesCS7B01G193600;TraesCS5A01G220200;TraesCS6A01G150000;TraesCS3D01G276000;TraesCS3A01G276100;TraesCS7B01G113200;TraesCS6A01G341400</t>
  </si>
  <si>
    <t>TraesCS1B01G135200</t>
  </si>
  <si>
    <t>cellular potassium ion transport</t>
  </si>
  <si>
    <t>TraesCS5B01G376100;TraesCS2D01G287400;TraesCS2A01G321100;TraesCS7B01G295600;TraesCS4A01G216700;TraesCS3D01G450800;TraesCS7A01G246800;TraesCS2B01G306000;TraesCS3B01G487700;TraesCS3B01G498200;TraesCS4B01G094900;TraesCS7D01G203200;TraesCS3A01G458000;TraesCS7B01G106900;TraesCS2B01G329800;TraesCS2A01G312800;TraesCS3B01G521800;TraesCS7A01G393600;TraesCS2D01G311300;TraesCS2D01G342500;TraesCS3D01G443400;TraesCS7D01G388900</t>
  </si>
  <si>
    <t>TraesCS1B01G148600</t>
  </si>
  <si>
    <t>potassium ion transmembrane transport</t>
  </si>
  <si>
    <t>TraesCS1B01G177900</t>
  </si>
  <si>
    <t>potassium channel activity</t>
  </si>
  <si>
    <t>TraesCS1B01G179600</t>
  </si>
  <si>
    <t>polysaccharide metabolic process</t>
  </si>
  <si>
    <t>TraesCS7D01G418600;TraesCS7B01G243200;TraesCS7D01G147700;TraesCS2A01G215300;TraesCS3A01G239200;TraesCS6D01G318500;TraesCS7B01G327000;TraesCS5A01G317400;TraesCS1A01G266600;TraesCS2A01G123800;TraesCS5A01G248700;TraesCS7A01G427000;TraesCS3B01G354300;TraesCS6A01G088000;TraesCS2B01G024500;TraesCS6B01G368300;TraesCS5D01G261000;TraesCS3B01G598100;TraesCS2A01G210100;TraesCS7A01G331500;TraesCS7A01G337000;TraesCS5D01G255800;TraesCS7D01G339800;TraesCS2A01G302300;TraesCS2A01G120800;TraesCS7D01G419100;TraesCSU01G018400;TraesCS7A01G426600;TraesCS6A01G337600;TraesCS7D01G418700;TraesCS1A01G396200;TraesCS7D01G418900;TraesCS7B01G048700;TraesCS6B01G110400;TraesCS2B01G184900;TraesCS4A01G078900;TraesCS2B01G141700;TraesCS3D01G298600;TraesCS5D01G099300;TraesCS4A01G143800;TraesCS5A01G513200;TraesCS7A01G146200;TraesCS2D01G301000;TraesCS4D01G339400;TraesCS4A01G321800;TraesCS7A01G335600;TraesCS2D01G126100;TraesCS7B01G326900;TraesCS2A01G344200;TraesCS1D01G404300;TraesCS5B01G458900;TraesCS2A01G159300;TraesCS2B01G144900;TraesCS7A01G426100;TraesCS4B01G344300;TraesCS4A01G116700;TraesCS2D01G091800;TraesCS3B01G108700;TraesCS2A01G122600;TraesCS2B01G318100;TraesCS5D01G323700;TraesCS7A01G426900;TraesCS7D01G419000;TraesCS2D01G166600;TraesCS7A01G426700</t>
  </si>
  <si>
    <t>TraesCS1B01G181300</t>
  </si>
  <si>
    <t>oxidoreductase activity</t>
  </si>
  <si>
    <t>TraesCS7B01G375600;TraesCS2A01G565700;TraesCS2A01G091000;TraesCS3B01G146900;TraesCS7A01G538700;TraesCS2A01G551300;TraesCS4B01G135900;TraesCS5D01G244700;TraesCS2D01G035500;TraesCS6B01G165100;TraesCS2A01G331800;TraesCS1D01G417400;TraesCS3A01G405000;TraesCS3B01G568600;TraesCS4B01G232800;TraesCS1A01G290700;TraesCS6D01G323500;TraesCS2B01G284900;TraesCS1D01G301200;TraesCS2D01G002800;TraesCS4B01G385600;TraesCS7D01G442300;TraesCS3D01G345600;TraesCS2A01G075300;TraesCS2A01G067000;TraesCS2B01G035600;TraesCS6D01G258300;TraesCS6B01G321400;TraesCS5A01G056600;TraesCS7B01G026000;TraesCS7B01G273800;TraesCS2D01G065600;TraesCS1D01G276600;TraesCS3D01G505600;TraesCS4A01G028800;TraesCS2B01G615800;TraesCS5B01G564000;TraesCS6B01G357700;TraesCS7B01G291100;TraesCS1A01G392600;TraesCS3A01G321100;TraesCS4B01G332500;TraesCS1B01G368900;TraesCS2A01G066700;TraesCS1D01G038300;TraesCS6A01G325700;TraesCS1A01G277400;TraesCS6A01G136500;TraesCS2B01G051300;TraesCSU01G032500;TraesCS2D01G026000;TraesCS3A01G351400;TraesCS1D01G417500;TraesCS3B01G044900;TraesCS2B01G091500;TraesCS4D01G130700;TraesCS5B01G202800;TraesCS2A01G067100;TraesCS5D01G370600;TraesCS2D01G015000;TraesCS1B01G300000;TraesCS1D01G357100;TraesCS3D01G354200;TraesCS6A01G150000;TraesCS2A01G571500;TraesCS2B01G079400;TraesCS4D01G093600;TraesCS2B01G615700;TraesCS5D01G309100;TraesCS7A01G357800;TraesCS2A01G066800;TraesCS6B01G018700;TraesCS7A01G234000;TraesCS2B01G001100;TraesCS2B01G592100;TraesCS7B01G388200;TraesCS4D01G170600;TraesCS2A01G385100;TraesCS7D01G511500;TraesCS7A01G278500;TraesCS4B01G205900;TraesCS2D01G583000;TraesCS3D01G402400;TraesCS5A01G362400;TraesCS2A01G067200;TraesCS2A01G044900;TraesCS2B01G574800;TraesCS3B01G371800;TraesCS4A01G218400;TraesCS2B01G106400;TraesCS2B01G604800;TraesCS5A01G348100;TraesCS1B01G355400;TraesCS6A01G372100;TraesCS4B01G268900;TraesCS5B01G232600;TraesCS6D01G139700;TraesCS2A01G254200;TraesCS2D01G254500;TraesCS2B01G006900;TraesCS2B01G079100;TraesCS2B01G615600;TraesCS5A01G044700;TraesCS1A01G222600;TraesCS3D01G411700;TraesCS7B01G459300;TraesCS2A01G066900;TraesCS6A01G226500;TraesCS2A01G379000;TraesCS1A01G317900;TraesCS3B01G350200;TraesCS5B01G235900;TraesCS6A01G302500;TraesCS2A01G572900;TraesCS4A01G098400;TraesCS4A01G136600;TraesCS1B01G440100;TraesCS2B01G005800;TraesCS1D01G303600;TraesCS4B01G358500;TraesCSU01G012200;TraesCS2D01G583100;TraesCS3B01G497700;TraesCS6D01G208500;TraesCS3B01G392700;TraesCS5A01G234200;TraesCS2B01G402100;TraesCS2A01G067300;TraesCS7D01G488800;TraesCS4A01G182700;TraesCS2D01G375300;TraesCS2B01G350400;TraesCS4D01G112400;TraesCS1A01G234800;TraesCS2B01G006200;TraesCS6D01G267900;TraesCS2A01G571700;TraesCS4D01G359200;TraesCS2D01G065100;TraesCS3A01G316500;TraesCS2B01G079200;TraesCS4A01G020500;TraesCS3B01G549000;TraesCS6B01G355700;TraesCS3B01G362200;TraesCS4D01G282000;TraesCS6D01G125500;TraesCS1B01G177900;TraesCS5D01G550600;TraesCS7B01G176400;TraesCS4A01G076700;TraesCSU01G084800;TraesCS7B01G142500;TraesCS3A01G365300;TraesCS1B01G047400;TraesCS3D01G124500;TraesCS5D01G131500;TraesCS3A01G502300;TraesCS2A01G591600;TraesCS1B01G440000;TraesCS2B01G005900;TraesCS4D01G042200;TraesCS2B01G582500;TraesCS5A01G234300;TraesCS1A01G263600;TraesCS3A01G360400;TraesCS6A01G242500;TraesCS1D01G400800;TraesCS5D01G006800;TraesCS5A01G237000;TraesCS4A01G200400;TraesCS2B01G048500;TraesCS6A01G305600;TraesCS7B01G272200;TraesCS2D01G065200;TraesCS1B01G168400;TraesCS6D01G305100;TraesCS7D01G472000;TraesCS2A01G015400;TraesCS5B01G364300;TraesCSU01G073000;TraesCS6B01G355800;TraesCS2D01G265100;TraesCS6A01G280100;TraesCS7B01G012900;TraesCS2A01G582100;TraesCS4B01G114900;TraesCS6A01G136900;TraesCS2A01G014900;TraesCS1A01G304100;TraesCS4A01G358200;TraesCS7D01G234300;TraesCS7D01G511600;TraesCS6A01G277800;TraesCS1A01G410200;TraesCS2B01G551200;TraesCS4A01G315400;TraesCS2D01G002500;TraesCS1B01G235900;TraesCS3D01G509100;TraesCS2B01G396000;TraesCS4A01G269400;TraesCS2D01G552300;TraesCS4B01G044700;TraesCS2D01G065300;TraesCS5D01G354300;TraesCS7D01G103500;TraesCS5B01G364200;TraesCS4B01G342400;TraesCS1B01G095800;TraesCS6B01G355900;TraesCS3B01G549200;TraesCS4D01G234000;TraesCS2B01G118100;TraesCS3A01G180200;TraesCS7D01G271100;TraesCS5A01G495100;TraesCS4A01G183600;TraesCS7B01G042300;TraesCS3A01G457600;TraesCS2B01G124900;TraesCS3A01G340200;TraesCS1D01G096400;TraesCS3A01G122600;TraesCS6B01G316300;TraesCS1D01G426600;TraesCS2B01G049400;TraesCS1D01G147800;TraesCS3B01G141800;TraesCS7B01G118200;TraesCS7D01G024500;TraesCS4B01G213800;TraesCS4D01G314400;TraesCS7A01G220900;TraesCS3B01G176800;TraesCS3B01G438700;TraesCS6D01G289300;TraesCS6A01G206600;TraesCS1A01G301500;TraesCS5A01G236800;TraesCS4A01G235800;TraesCS5A01G123600;TraesCS4A01G036100;TraesCS1A01G078100;TraesCS3D01G341600;TraesCS7D01G375700;TraesCS2D01G562600;TraesCS4D01G214500;TraesCS1B01G330400;TraesCS4D01G329200;TraesCS6D01G397200;TraesCS2A01G015600;TraesCS2B01G079500;TraesCS2D01G065400;TraesCS3D01G358500;TraesCS6B01G284900;TraesCS1B01G311300;TraesCS4B01G363100;TraesCS7A01G126600;TraesCS3D01G310200;TraesCS5B01G123200;TraesCS7D01G367400;TraesCS5A01G361700;TraesCS5B01G238300;TraesCS4D01G319400;TraesCS5B01G349200;TraesCS6B01G353700;TraesCS1D01G289300;TraesCS7B01G132400;TraesCS2D01G016000;TraesCS4B01G009700;TraesCS2D01G043500;TraesCS3A01G457500;TraesCS3D01G325700;TraesCS2A01G100900;TraesCS4D01G268200;TraesCS6A01G287100;TraesCS1D01G317700;TraesCS3B01G379900;TraesCS7B01G168800;TraesCS2D01G381800;TraesCS3B01G344600;TraesCS7A01G484600;TraesCS1B01G314600;TraesCS4D01G338000;TraesCS5B01G418800;TraesCS5A01G102700;TraesCS6D01G038900;TraesCS5A01G503600;TraesCS7D01G278300;TraesCS5D01G310600;TraesCS4A01G388600;TraesCS3D01G450300;TraesCS1D01G123400;TraesCS2B01G006600;TraesCS4B01G318000;TraesCS5A01G220200;TraesCS2D01G065500;TraesCS2B01G186100;TraesCS3D01G400400;TraesCS4D01G206900;TraesCS7D01G124500;TraesCS2A01G013200;TraesCS6B01G164400;TraesCS3B01G397200;TraesCS3D01G314700;TraesCS5D01G241100</t>
  </si>
  <si>
    <t>TraesCS1B01G193000</t>
  </si>
  <si>
    <t>transport</t>
  </si>
  <si>
    <t>TraesCS2B01G424600;TraesCS2D01G408700;TraesCS5D01G130800;TraesCS7B01G295600;TraesCS5D01G447300;TraesCS1D01G161500;TraesCS1D01G293500;TraesCS4B01G112100;TraesCS5A01G227600;TraesCS4B01G015200;TraesCS2B01G346100;TraesCS5D01G185400;TraesCS5A01G374200;TraesCS6B01G165100;TraesCS5D01G265400;TraesCS2D01G287400;TraesCS3D01G288600;TraesCS3B01G382100;TraesCS4A01G216700;TraesCS5B01G003000;TraesCS1B01G225000;TraesCS3D01G450800;TraesCS4D01G277500;TraesCS5D01G081200;TraesCS5B01G288600;TraesCS2B01G375900;TraesCS5A01G069100;TraesCS5D01G304300;TraesCS5D01G321300;TraesCS1D01G309600;TraesCS7A01G556800;TraesCS2B01G090300;TraesCS4B01G078000;TraesCS4A01G043400;TraesCS3A01G126300;TraesCS7D01G460200;TraesCS2D01G355500;TraesCS3A01G340500;TraesCS4D01G045300;TraesCS2D01G523600;TraesCS4B01G338600;TraesCS6B01G340700;TraesCS4B01G045400;TraesCS3A01G508700;TraesCS4B01G217300;TraesCS4A01G046800;TraesCS7B01G374500;TraesCS4A01G208500;TraesCS7D01G119800;TraesCS4B01G333700;TraesCS1B01G153500;TraesCS2A01G411200;TraesCS4D01G109600;TraesCS6D01G260500;TraesCS2B01G306000;TraesCS3A01G160700;TraesCS3A01G458000;TraesCS4A01G294300;TraesCS5D01G188900;TraesCS7D01G048400;TraesCS5D01G268200;TraesCS6A01G402000;TraesCS2B01G465500;TraesCS4A01G200100;TraesCS6D01G009600;TraesCS1B01G334100;TraesCS5A01G256800;TraesCS6A01G310700;TraesCS7B01G243000;TraesCS2B01G210100;TraesCS3B01G498200;TraesCS4B01G279000;TraesCS2A01G312800;TraesCS6B01G444100;TraesCS5D01G158500;TraesCS2D01G058700;TraesCS2B01G131600;TraesCS2B01G154600;TraesCS4D01G335100;TraesCS2D01G442700;TraesCS3D01G443400;TraesCS1B01G312000;TraesCS2A01G572200;TraesCS2A01G335800;TraesCS4A01G021800;TraesCS4B01G205900;TraesCS3D01G343500;TraesCS2D01G422000;TraesCS6D01G096900;TraesCS6A01G371800;TraesCS6D01G290000;TraesCS6D01G355800;TraesCS7D01G354500;TraesCS2D01G226300;TraesCS6B01G321600;TraesCS2B01G329800;TraesCS3B01G372100;TraesCS7A01G393600;TraesCS5A01G413000;TraesCS7A01G533900;TraesCS1A01G211000;TraesCS2D01G327000;TraesCS5D01G002400;TraesCS7A01G298200;TraesCS3B01G144700;TraesCS6B01G292900;TraesCS7A01G246800;TraesCS3A01G149900;TraesCS6B01G137200;TraesCS3B01G323500;TraesCS1B01G324000;TraesCS4B01G343000;TraesCS4B01G397500;TraesCS6A01G134000;TraesCS5B01G122500;TraesCS4A01G098400;TraesCS6B01G058700;TraesCS5D01G319000;TraesCS7B01G481200;TraesCS2B01G612200;TraesCS7A01G310600;TraesCS3A01G538700;TraesCS3B01G607200;TraesCS5A01G091900;TraesCS3A01G364100;TraesCS6A01G418500;TraesCS4D01G013400;TraesCS1B01G307100;TraesCS1B01G340700;TraesCS1D01G135900;TraesCS6D01G049500;TraesCS3A01G304400;TraesCS1B01G314100;TraesCS1B01G211100;TraesCS7B01G260100;TraesCS7A01G199900;TraesCS6A01G280200;TraesCSU01G182900;TraesCS5D01G219100;TraesCS2A01G043200;TraesCS5B01G226400;TraesCS3D01G159600;TraesCS7B01G210400;TraesCS5A01G181000;TraesCS5A01G293500;TraesCS1A01G120600;TraesCS3B01G191300;TraesCS1B01G440000;TraesCS2B01G528300;TraesCS4D01G174100;TraesCS5B01G296500;TraesCS2B01G551300;TraesCS1D01G301600;TraesCS4B01G115200;TraesCS7B01G284300;TraesCS3B01G441800;TraesCS2D01G373100;TraesCS3A01G349500;TraesCS6A01G098500;TraesCS2D01G311300;TraesCS6B01G059100;TraesCS2D01G342500;TraesCS2A01G407000;TraesCS7D01G294000;TraesCS1A01G134100;TraesCS7D01G202900;TraesCS4A01G316600;TraesCS4B01G281700;TraesCS5D01G346300;TraesCS7D01G521400;TraesCS4A01G185600;TraesCS6B01G282100;TraesCS5B01G178700;TraesCS6A01G136900;TraesCS4D01G111100;TraesCS1D01G256700;TraesCS7A01G368400;TraesCS6B01G125700;TraesCS2A01G356600;TraesCS4A01G132600;TraesCS1D01G214300;TraesCS2A01G316900;TraesCS3A01G053000;TraesCS3A01G288800;TraesCS7D01G553900;TraesCS5A01G312200;TraesCS4A01G233400;TraesCS6D01G384400;TraesCS3B01G487700;TraesCS3B01G519000;TraesCS7D01G203200;TraesCS1B01G321200;TraesCS5D01G104100;TraesCS4A01G237200;TraesCS2B01G354800;TraesCS6B01G258700;TraesCS6A01G097200;TraesCS2B01G335500;TraesCS1A01G341100;TraesCS6A01G043100;TraesCS1B01G353800;TraesCS6B01G409400;TraesCS7D01G388900;TraesCS6D01G085200;TraesCS4D01G091700;TraesCS5A01G508500;TraesCS7D01G378300;TraesCS4D01G280300;TraesCS6D01G224100;TraesCS5D01G235100;TraesCS3D01G470100;TraesCS2D01G043600;TraesCS4B01G094900;TraesCS2A01G307600;TraesCS5A01G263100;TraesCS4D01G080800;TraesCS2A01G385500;TraesCS5B01G149200;TraesCS3D01G126600;TraesCS2A01G220700;TraesCS5B01G256300;TraesCS2B01G615300;TraesCS7D01G307100;TraesCS6A01G009000;TraesCS1A01G303800;TraesCS4A01G407500;TraesCS7B01G106900;TraesCS5A01G512200;TraesCS5B01G171000;TraesCS1D01G343200;TraesCS4D01G112900;TraesCS2D01G403900;TraesCS4B01G172100;TraesCS1A01G257400;TraesCS6B01G162200;TraesCS2A01G045000;TraesCS1A01G327300;TraesCS4A01G343500;TraesCS5A01G122400;TraesCS7A01G200200;TraesCS1A01G132800;TraesCS4D01G257900;TraesCS3D01G357500;TraesCS3B01G136800;TraesCS5A01G031700;TraesCS5D01G051400;TraesCS1A01G086300;TraesCS3B01G096500;TraesCS4A01G025100;TraesCS1A01G426300;TraesCS6B01G201300;TraesCS2B01G246200;TraesCS2A01G220600;TraesCS2A01G427400;TraesCS2A01G278100;TraesCS5B01G292600;TraesCS5B01G376100;TraesCS5B01G416500;TraesCS2A01G321100;TraesCS4D01G344800;TraesCS5D01G498500;TraesCSU01G014100;TraesCS7A01G381800;TraesCS5D01G297100;TraesCS2D01G042400;TraesCS5B01G131600;TraesCS4B01G339600;TraesCS5A01G440100;TraesCS7A01G561600;TraesCS3D01G542100;TraesCS4D01G305100;TraesCS7D01G264700;TraesCS2B01G186900;TraesCS4B01G258000;TraesCS3B01G521800;TraesCS2D01G191300;TraesCS7B01G167700;TraesCS1B01G181300;TraesCS4B01G082700;TraesCS4D01G206900;TraesCS1D01G303200;TraesCS1A01G165700;TraesCS6A01G108700;TraesCS5D01G300800</t>
  </si>
  <si>
    <t>TraesCS1B01G195600</t>
  </si>
  <si>
    <t>cation channel activity</t>
  </si>
  <si>
    <t>TraesCS1B01G196100</t>
  </si>
  <si>
    <t>calcium ion binding</t>
  </si>
  <si>
    <t>TraesCS3B01G362600;TraesCS5A01G426800;TraesCS2B01G120900;TraesCS6A01G421000;TraesCS5D01G124000;TraesCS7A01G267000;TraesCS3D01G527400;TraesCS5D01G231100;TraesCS3D01G248000;TraesCS7D01G241800;TraesCS3A01G248000;TraesCS4B01G131100;TraesCS5A01G139700;TraesCS6B01G467300;TraesCS7D01G045800;TraesCS2D01G544000;TraesCS5B01G109300;TraesCS1D01G308800;TraesCS7A01G050500;TraesCS1A01G290700;TraesCS3A01G334200;TraesCS7A01G306000;TraesCS3D01G217900;TraesCS6A01G206600;TraesCS4D01G126100;TraesCS2A01G103600;TraesCS4B01G352300;TraesCS1D01G116700;TraesCS5B01G137600;TraesCS4B01G130300;TraesCS5A01G520900;TraesCS7B01G191200;TraesCS2A01G353000;TraesCS7D01G302700;TraesCS5D01G153400;TraesCS5D01G153800;TraesCS1B01G370900;TraesCS5B01G297700;TraesCS4D01G125500;TraesCS5B01G222500;TraesCS1D01G289300;TraesCS4B01G030100;TraesCS3B01G276700;TraesCS5A01G202000;TraesCS2A01G542800;TraesCS1A01G115300;TraesCS5A01G298500;TraesCS6D01G404800;TraesCS2D01G351100;TraesCS5A01G223500;TraesCS4A01G187900;TraesCS7D01G267700;TraesCS1B01G320400;TraesCS5B01G428700;TraesCS3B01G350200;TraesCS5A01G009900;TraesCS5D01G305200;TraesCS4B01G217300;TraesCS4A01G436700;TraesCS7B01G206200;TraesCS5D01G208300;TraesCS5B01G137100;TraesCS2B01G370900;TraesCS3B01G365200;TraesCS5B01G112900;TraesCS2B01G572600;TraesCS6A01G376200;TraesCS1D01G091300;TraesCS4D01G346700;TraesCS6D01G187800;TraesCS1B01G300000;TraesCS1B01G135200;TraesCS1B01G109100;TraesCS1A01G309400;TraesCS3A01G316500;TraesCS7B01G165200;TraesCS5A01G138300;TraesCS5D01G434800;TraesCS2D01G103400;TraesCS3D01G314700</t>
  </si>
  <si>
    <t>TraesCS1B01G220900</t>
  </si>
  <si>
    <t>metal ion transport</t>
  </si>
  <si>
    <t>TraesCS1B01G314100;TraesCS1B01G211100;TraesCS4D01G091700;TraesCS7B01G295600;TraesCS7A01G199900;TraesCS3D01G470100;TraesCS3B01G498200;TraesCS4B01G094900;TraesCSU01G182900;TraesCS5D01G219100;TraesCS7B01G210400;TraesCS2A01G312800;TraesCS5A01G263100;TraesCS5A01G374200;TraesCS5B01G149200;TraesCS3D01G443400;TraesCS1B01G440000;TraesCS7D01G307100;TraesCS2D01G287400;TraesCS4A01G216700;TraesCS2D01G422000;TraesCS3D01G450800;TraesCS6D01G096900;TraesCS6D01G290000;TraesCS7B01G106900;TraesCS2B01G329800;TraesCS2B01G375900;TraesCS7A01G393600;TraesCS2D01G311300;TraesCS2D01G342500;TraesCS5D01G002400;TraesCS2B01G090300;TraesCS7D01G202900;TraesCS7A01G200200;TraesCS7A01G246800;TraesCS2D01G355500;TraesCS3A01G340500;TraesCS2D01G523600;TraesCS4D01G257900;TraesCS6B01G137200;TraesCS4D01G111100;TraesCS1B01G324000;TraesCS6B01G201300;TraesCS2A01G356600;TraesCS2A01G278100;TraesCS7A01G310600;TraesCS4A01G046800;TraesCS5B01G376100;TraesCS2A01G321100;TraesCS2B01G306000;TraesCS1B01G307100;TraesCS3B01G487700;TraesCS3B01G519000;TraesCS7D01G203200;TraesCS3A01G458000;TraesCS5B01G131600;TraesCS4A01G294300;TraesCS2B01G186900;TraesCS4B01G258000;TraesCS5D01G268200;TraesCS3B01G521800;TraesCS6A01G108700;TraesCS7D01G388900</t>
  </si>
  <si>
    <t>TraesCS1B01G222300</t>
  </si>
  <si>
    <t>actin binding</t>
  </si>
  <si>
    <t>TraesCS1A01G291000;TraesCS1D01G289600;TraesCS2A01G410700;TraesCS6A01G247000;TraesCS6D01G186700;TraesCS1B01G356700;TraesCS4D01G163700;TraesCS6A01G200800;TraesCS3A01G539200;TraesCS3D01G277200;TraesCS2B01G255200;TraesCS3B01G311200;TraesCS3B01G605100;TraesCS6D01G189200;TraesCS6D01G229200;TraesCS7A01G224600;TraesCS3D01G544700;TraesCS6A01G200700;TraesCS4B01G152700;TraesCS1B01G300400;TraesCS7B01G191200;TraesCS2A01G227300;TraesCS2B01G429500;TraesCS6B01G277600;TraesCS4A01G156700</t>
  </si>
  <si>
    <t>TraesCS1B01G225000</t>
  </si>
  <si>
    <t>xyloglucan:xyloglucosyl transferase activity</t>
  </si>
  <si>
    <t>TraesCS6A01G337600;TraesCS7D01G418600;TraesCS7D01G418700;TraesCS1A01G396200;TraesCS4A01G321800;TraesCS7D01G418900;TraesCS7B01G326900;TraesCS6B01G110400;TraesCS6D01G318500;TraesCS1D01G404300;TraesCS7B01G327000;TraesCS7A01G426100;TraesCS3B01G108700;TraesCS7A01G427000;TraesCS6A01G088000;TraesCS7A01G426900;TraesCS7D01G419000;TraesCS7D01G419100;TraesCSU01G018400;TraesCS6B01G368300;TraesCS7A01G426600;TraesCS7A01G426700</t>
  </si>
  <si>
    <t>TraesCS1B01G225900</t>
  </si>
  <si>
    <t>fatty acid metabolic process</t>
  </si>
  <si>
    <t>TraesCS4D01G093600;TraesCS2D01G135300;TraesCS7A01G206000;TraesCS5D01G244700;TraesCS1D01G147800;TraesCS2A01G507700;TraesCS5D01G131500;TraesCS1D01G420900;TraesCS2A01G385100;TraesCS4D01G314400;TraesCS6D01G321600;TraesCS3D01G279300;TraesCS5A01G236800;TraesCS2A01G075300;TraesCS4D01G277300;TraesCS5A01G123600;TraesCS6A01G359900;TraesCS4A01G218400;TraesCS4D01G329200;TraesCS6A01G026800;TraesCS5A01G237000;TraesCS1B01G168400;TraesCS6D01G139700;TraesCS7D01G101900;TraesCS5B01G123200;TraesCS5A01G195500;TraesCS1B01G093600;TraesCS5D01G017000;TraesCS3A01G279400;TraesCS7D01G208600;TraesCS7B01G006300;TraesCS4B01G332500;TraesCS7D01G351000;TraesCS7B01G255800;TraesCS6A01G226500;TraesCS5A01G076500;TraesCS5B01G235900;TraesCS2D01G381800;TraesCS2B01G156800;TraesCS4A01G025300;TraesCS4B01G278800;TraesCS5B01G418800;TraesCS5A01G503600;TraesCS6D01G208500;TraesCS2B01G402100;TraesCS7D01G488800;TraesCS3B01G313800;TraesCS4B01G318000;TraesCS5A01G220200;TraesCS6A01G150000;TraesCS7B01G113200;TraesCS6A01G341400</t>
  </si>
  <si>
    <t>TraesCS1B01G246400</t>
  </si>
  <si>
    <t>phosphoric diester hydrolase activity</t>
  </si>
  <si>
    <t>TraesCSU01G038600;TraesCS5B01G222500;TraesCS1B01G368600;TraesCS2A01G570900;TraesCS5A01G202000;TraesCS1A01G115300;TraesCS2D01G582400;TraesCS4B01G352300;TraesCS1A01G353200;TraesCS1D01G116700;TraesCS5A01G223500;TraesCS4D01G346700;TraesCS5D01G231100;TraesCS6D01G163200;TraesCS1B01G135200;TraesCS5A01G520900;TraesCS4D01G195800;TraesCS1D01G357000;TraesCS6A01G174100;TraesCS5D01G208300;TraesCS6B01G202700;TraesCS4B01G195200</t>
  </si>
  <si>
    <t>TraesCS1B01G258600</t>
  </si>
  <si>
    <t>cation transport</t>
  </si>
  <si>
    <t>TraesCS1B01G314100;TraesCS1B01G211100;TraesCS4D01G091700;TraesCS7B01G295600;TraesCS6A01G310700;TraesCS1D01G293500;TraesCS7A01G199900;TraesCS3D01G470100;TraesCS3B01G498200;TraesCS4B01G094900;TraesCSU01G182900;TraesCS5D01G219100;TraesCS7B01G210400;TraesCS2A01G312800;TraesCS5A01G263100;TraesCS5A01G374200;TraesCS5B01G149200;TraesCS6B01G165100;TraesCS1A01G120600;TraesCS3D01G443400;TraesCS1B01G312000;TraesCS1B01G440000;TraesCS7D01G307100;TraesCS1A01G303800;TraesCS2D01G287400;TraesCS2B01G551300;TraesCS1D01G301600;TraesCS4A01G216700;TraesCS5B01G003000;TraesCS2D01G422000;TraesCS3D01G450800;TraesCS6D01G096900;TraesCS5D01G081200;TraesCS6D01G290000;TraesCS7B01G106900;TraesCS2B01G329800;TraesCS3B01G372100;TraesCS2B01G375900;TraesCS5A01G512200;TraesCS7A01G393600;TraesCS5A01G069100;TraesCS2D01G311300;TraesCS2D01G342500;TraesCS5D01G002400;TraesCS2B01G090300;TraesCS7D01G202900;TraesCS7A01G200200;TraesCS7A01G246800;TraesCS2D01G355500;TraesCS3A01G340500;TraesCS5D01G346300;TraesCS2D01G523600;TraesCS4D01G257900;TraesCS6B01G137200;TraesCS6B01G340700;TraesCS6A01G136900;TraesCS4D01G111100;TraesCS5A01G031700;TraesCS5D01G051400;TraesCS1B01G324000;TraesCS4B01G343000;TraesCS6B01G201300;TraesCS2A01G356600;TraesCS2A01G278100;TraesCS7A01G310600;TraesCS4A01G046800;TraesCS5B01G376100;TraesCS2A01G321100;TraesCS6A01G418500;TraesCS2B01G306000;TraesCS1B01G307100;TraesCS3B01G487700;TraesCS3B01G519000;TraesCS7D01G203200;TraesCS3A01G458000;TraesCS5B01G131600;TraesCS4A01G294300;TraesCS2B01G186900;TraesCS4B01G258000;TraesCS5D01G268200;TraesCS3B01G521800;TraesCS1D01G303200;TraesCS6A01G108700;TraesCS7D01G388900</t>
  </si>
  <si>
    <t>TraesCS1B01G278300</t>
  </si>
  <si>
    <t>establishment of localization</t>
  </si>
  <si>
    <t>TraesCS2B01G424600;TraesCS2D01G408700;TraesCS5D01G130800;TraesCS7B01G295600;TraesCS5D01G447300;TraesCS1D01G161500;TraesCS1D01G293500;TraesCS4B01G112100;TraesCS5A01G227600;TraesCS4B01G015200;TraesCS2B01G346100;TraesCS5D01G185400;TraesCS5A01G374200;TraesCS6B01G165100;TraesCS5D01G265400;TraesCS2D01G287400;TraesCS3D01G288600;TraesCS3B01G382100;TraesCS5D01G362300;TraesCS4A01G216700;TraesCS5B01G003000;TraesCS1B01G225000;TraesCS3D01G450800;TraesCS4D01G277500;TraesCS5D01G081200;TraesCS5B01G288600;TraesCS2B01G375900;TraesCS5A01G069100;TraesCS5D01G304300;TraesCS5D01G321300;TraesCS1D01G309600;TraesCS7A01G556800;TraesCS2B01G090300;TraesCS4B01G078000;TraesCS4A01G043400;TraesCS3A01G126300;TraesCS7D01G460200;TraesCS2D01G355500;TraesCS3A01G340500;TraesCS4D01G045300;TraesCS2D01G523600;TraesCS4B01G338600;TraesCS6B01G340700;TraesCS4B01G045400;TraesCS3A01G508700;TraesCS4B01G217300;TraesCS4A01G046800;TraesCS7B01G374500;TraesCS4A01G208500;TraesCS7D01G119800;TraesCS4B01G333700;TraesCS1B01G153500;TraesCS2A01G411200;TraesCS4D01G109600;TraesCS6D01G260500;TraesCS2B01G306000;TraesCS3A01G160700;TraesCS3A01G458000;TraesCS4A01G294300;TraesCS5D01G188900;TraesCS7D01G048400;TraesCS5D01G268200;TraesCS6A01G402000;TraesCS2B01G465500;TraesCS4A01G200100;TraesCS6D01G009600;TraesCS1B01G334100;TraesCS5A01G256800;TraesCS6A01G310700;TraesCS7B01G243000;TraesCS2B01G210100;TraesCS3B01G498200;TraesCS4B01G279000;TraesCS2A01G312800;TraesCS6B01G444100;TraesCS5D01G158500;TraesCS2D01G058700;TraesCS2B01G131600;TraesCS2B01G154600;TraesCS4D01G335100;TraesCS2D01G442700;TraesCS3D01G443400;TraesCS1B01G312000;TraesCS2A01G572200;TraesCS2A01G335800;TraesCS4A01G021800;TraesCS4B01G205900;TraesCS3D01G343500;TraesCS2D01G422000;TraesCS6D01G096900;TraesCS6A01G371800;TraesCS6D01G290000;TraesCS6D01G355800;TraesCS7D01G354500;TraesCS2D01G226300;TraesCS6B01G321600;TraesCS2B01G329800;TraesCS3B01G372100;TraesCS7A01G393600;TraesCS5A01G413000;TraesCS7A01G533900;TraesCS1A01G211000;TraesCS2D01G327000;TraesCS5D01G002400;TraesCS7A01G298200;TraesCS3B01G144700;TraesCS6B01G292900;TraesCS7A01G246800;TraesCS3A01G149900;TraesCS6B01G137200;TraesCS3B01G323500;TraesCS1B01G324000;TraesCS4B01G343000;TraesCS4B01G397500;TraesCS6A01G134000;TraesCS5B01G122500;TraesCS4A01G098400;TraesCS6B01G058700;TraesCS5D01G319000;TraesCS7B01G481200;TraesCS2B01G612200;TraesCS7A01G310600;TraesCS3A01G538700;TraesCS3B01G607200;TraesCS5A01G091900;TraesCS3A01G364100;TraesCS6A01G418500;TraesCS4D01G013400;TraesCS1B01G307100;TraesCS1B01G340700;TraesCS1D01G135900;TraesCS6D01G049500;TraesCS3A01G304400;TraesCS1B01G314100;TraesCS1B01G211100;TraesCS7B01G260100;TraesCS7A01G199900;TraesCS6A01G280200;TraesCSU01G182900;TraesCS5D01G219100;TraesCS2A01G043200;TraesCS5B01G226400;TraesCS3D01G159600;TraesCS7B01G210400;TraesCS5A01G181000;TraesCS5A01G293500;TraesCS1A01G120600;TraesCS3B01G191300;TraesCS1B01G440000;TraesCS2B01G528300;TraesCS4D01G174100;TraesCS5B01G296500;TraesCS2B01G551300;TraesCS1D01G301600;TraesCS4B01G115200;TraesCS7B01G284300;TraesCS3B01G441800;TraesCS2D01G373100;TraesCS3A01G349500;TraesCS6A01G098500;TraesCS2D01G311300;TraesCS6B01G059100;TraesCS2D01G342500;TraesCS2A01G407000;TraesCS7D01G294000;TraesCS1A01G134100;TraesCS7D01G202900;TraesCS4A01G316600;TraesCS4B01G281700;TraesCS5D01G346300;TraesCS7D01G521400;TraesCS4A01G185600;TraesCS6B01G282100;TraesCS5B01G178700;TraesCS6A01G136900;TraesCS4D01G111100;TraesCS1D01G256700;TraesCS7A01G368400;TraesCS6B01G125700;TraesCS2A01G356600;TraesCS4A01G132600;TraesCS1D01G214300;TraesCS2A01G316900;TraesCS3A01G053000;TraesCS3A01G288800;TraesCS7D01G553900;TraesCS5A01G312200;TraesCS4A01G233400;TraesCS6D01G384400;TraesCS3B01G487700;TraesCS3B01G519000;TraesCS7D01G203200;TraesCS1B01G321200;TraesCS5D01G104100;TraesCS4A01G237200;TraesCS2B01G354800;TraesCS6B01G258700;TraesCS6A01G097200;TraesCS2B01G335500;TraesCS1A01G341100;TraesCS6A01G043100;TraesCS1B01G353800;TraesCS6B01G409400;TraesCS7D01G388900;TraesCS6D01G085200;TraesCS4D01G091700;TraesCS5A01G508500;TraesCS7D01G378300;TraesCS4D01G280300;TraesCS6D01G224100;TraesCS5D01G235100;TraesCS3D01G470100;TraesCS2D01G043600;TraesCS4B01G094900;TraesCS2A01G307600;TraesCS5A01G263100;TraesCS4D01G080800;TraesCS2A01G385500;TraesCS5B01G149200;TraesCS3D01G126600;TraesCS2A01G220700;TraesCS5B01G256300;TraesCS2B01G615300;TraesCS7D01G307100;TraesCS6A01G009000;TraesCS1A01G303800;TraesCS4A01G407500;TraesCS7B01G106900;TraesCS5A01G512200;TraesCS5B01G171000;TraesCS1D01G343200;TraesCS4D01G112900;TraesCS2D01G403900;TraesCS4B01G172100;TraesCS1A01G257400;TraesCS6B01G162200;TraesCS2A01G045000;TraesCS1A01G327300;TraesCS4A01G343500;TraesCS5A01G122400;TraesCS7A01G200200;TraesCS1A01G132800;TraesCS4D01G257900;TraesCS3D01G357500;TraesCS3B01G136800;TraesCS5A01G031700;TraesCS5D01G051400;TraesCS1A01G086300;TraesCS3B01G096500;TraesCS4A01G025100;TraesCS1A01G426300;TraesCS6B01G201300;TraesCS2B01G246200;TraesCS2A01G220600;TraesCS2A01G427400;TraesCS2A01G278100;TraesCS5B01G292600;TraesCS5B01G376100;TraesCS5B01G416500;TraesCS2A01G321100;TraesCS4D01G344800;TraesCS5D01G498500;TraesCSU01G014100;TraesCS7A01G381800;TraesCS5D01G297100;TraesCS2D01G042400;TraesCS5B01G131600;TraesCS4B01G339600;TraesCS5A01G440100;TraesCS7A01G561600;TraesCS3D01G542100;TraesCS4D01G305100;TraesCS7D01G264700;TraesCS2B01G186900;TraesCS4B01G258000;TraesCS3B01G521800;TraesCS2D01G191300;TraesCS7B01G167700;TraesCS1B01G181300;TraesCS4B01G082700;TraesCS4D01G206900;TraesCS1D01G303200;TraesCS1A01G165700;TraesCS6A01G108700;TraesCS5D01G300800</t>
  </si>
  <si>
    <t>TraesCS1B01G280400</t>
  </si>
  <si>
    <t>enzyme inhibitor activity</t>
  </si>
  <si>
    <t>TraesCS4A01G171100;TraesCS1D01G411500;TraesCS4B01G187700;TraesCS2D01G523700;TraesCS5B01G507900;TraesCS6D01G333500;TraesCS5A01G484800;TraesCS4B01G127200;TraesCS3A01G171800;TraesCS5D01G460200;TraesCS3B01G354300;TraesCS1D01G451400;TraesCS5D01G508100;TraesCS3A01G447200;TraesCS2A01G092800;TraesCS6D01G011100;TraesCS5D01G100400;TraesCS6B01G383700;TraesCS4A01G365800;TraesCS4B01G379600;TraesCS5B01G508000;TraesCS5D01G224600;TraesCS2A01G518500;TraesCS5B01G215400;TraesCS6B01G013500;TraesCS7B01G077100;TraesCS4D01G189100;TraesCS2A01G521900;TraesCS5A01G088000;TraesCS2D01G322500;TraesCS3A01G254100;TraesCS6A01G343800;TraesCS1B01G433200;TraesCS5B01G507400;TraesCS2B01G107500;TraesCS2B01G546900;TraesCS5D01G460500;TraesCS1A01G231600;TraesCS5D01G460100;TraesCS5A01G450500;TraesCS1A01G403700;TraesCS2D01G519900;TraesCS5A01G450300;TraesCS4A01G365300;TraesCS5A01G450600;TraesCS6A01G007000;TraesCS3D01G374600;TraesCS2A01G344200;TraesCS6A01G351000;TraesCS1B01G147900;TraesCS3B01G202700;TraesCS5B01G458900;TraesCS2B01G551400;TraesCS5D01G498300;TraesCS4A01G116700;TraesCS2D01G317900;TraesCS5A01G216500;TraesCS2D01G091800;TraesCS6B01G013600;TraesCS1D01G230700;TraesCS3D01G255000;TraesCS1B01G242900</t>
  </si>
  <si>
    <t>TraesCS1B01G300000</t>
  </si>
  <si>
    <t>inorganic ion transmembrane transport</t>
  </si>
  <si>
    <t>TraesCS7B01G295600;TraesCS3D01G470100;TraesCS3B01G498200;TraesCS4B01G094900;TraesCS2A01G312800;TraesCS5B01G149200;TraesCS6B01G165100;TraesCS1A01G120600;TraesCS3D01G443400;TraesCS1B01G312000;TraesCS2D01G287400;TraesCS3D01G288600;TraesCS1D01G301600;TraesCS4A01G216700;TraesCS2D01G422000;TraesCS3D01G450800;TraesCS6D01G096900;TraesCS6D01G290000;TraesCS7B01G106900;TraesCS2B01G329800;TraesCS7A01G393600;TraesCS2D01G311300;TraesCS2D01G342500;TraesCS5D01G002400;TraesCS4A01G043400;TraesCS7A01G246800;TraesCS3A01G340500;TraesCS2D01G523600;TraesCS4D01G257900;TraesCS6B01G137200;TraesCS6A01G136900;TraesCS3B01G323500;TraesCS1B01G324000;TraesCS6B01G201300;TraesCS3A01G288800;TraesCS4A01G046800;TraesCS5B01G376100;TraesCS2A01G321100;TraesCS2B01G306000;TraesCS3B01G487700;TraesCS3B01G519000;TraesCS7D01G203200;TraesCS3A01G458000;TraesCS4A01G294300;TraesCS4B01G258000;TraesCS5D01G268200;TraesCS3B01G521800;TraesCS6A01G108700;TraesCS7D01G388900</t>
  </si>
  <si>
    <t>TraesCS1B01G300400</t>
  </si>
  <si>
    <t>enzyme regulator activity</t>
  </si>
  <si>
    <t>TraesCS4A01G171100;TraesCS1D01G411500;TraesCS4B01G187700;TraesCS2D01G523700;TraesCS5B01G507900;TraesCS6D01G333500;TraesCS5A01G484800;TraesCS4B01G127200;TraesCS3A01G171800;TraesCS5D01G460200;TraesCS3B01G354300;TraesCS1D01G451400;TraesCS5D01G508100;TraesCS3A01G447200;TraesCS4B01G219700;TraesCS2A01G092800;TraesCS4B01G205900;TraesCS6D01G011100;TraesCS5D01G100400;TraesCS6B01G383700;TraesCS4A01G365800;TraesCS3A01G419200;TraesCS3D01G414900;TraesCS4B01G379600;TraesCS5B01G508000;TraesCS5D01G224600;TraesCS2A01G518500;TraesCS5B01G215400;TraesCS6B01G013500;TraesCS7B01G077100;TraesCS3B01G454500;TraesCS4D01G189100;TraesCS1A01G239200;TraesCS7B01G161800;TraesCS1D01G239400;TraesCS2A01G521900;TraesCS5A01G088000;TraesCS2D01G322500;TraesCS3A01G254100;TraesCS6A01G343800;TraesCS1B01G433200;TraesCS5B01G507400;TraesCS2B01G107500;TraesCS2B01G546900;TraesCS5D01G460500;TraesCS1A01G231600;TraesCS5D01G460100;TraesCS4A01G098400;TraesCS5A01G450500;TraesCS1A01G403700;TraesCS2D01G519900;TraesCS5A01G450300;TraesCS4A01G365300;TraesCS5A01G450600;TraesCS6A01G007000;TraesCS3D01G374600;TraesCS2A01G344200;TraesCS6A01G351000;TraesCS1B01G147900;TraesCS3B01G202700;TraesCS5B01G458900;TraesCS2B01G551400;TraesCS5D01G498300;TraesCS7D01G264700;TraesCS4A01G116700;TraesCS2D01G317900;TraesCS5A01G216500;TraesCS2D01G091800;TraesCS4D01G206900;TraesCS6B01G013600;TraesCS1D01G230700;TraesCS3D01G255000;TraesCS1B01G242900</t>
  </si>
  <si>
    <t>TraesCS1B01G307100</t>
  </si>
  <si>
    <t>ammonium ion metabolic process</t>
  </si>
  <si>
    <t>TraesCS1D01G375500;TraesCS5B01G220000;TraesCS1D01G375600;TraesCS5B01G222500;TraesCS5A01G202000;TraesCS1A01G115300;TraesCS4B01G352300;TraesCS1B01G388700;TraesCS1D01G116700;TraesCS5A01G223500;TraesCS4D01G346700;TraesCS1D01G375700;TraesCS5D01G231100;TraesCS1B01G135200;TraesCS5A01G520900;TraesCS5A01G221200;TraesCS1A01G369600;TraesCS5D01G228900;TraesCS5D01G208300</t>
  </si>
  <si>
    <t>TraesCS1B01G314100</t>
  </si>
  <si>
    <t>1-phosphatidylinositol-4-phosphate 5-kinase activity</t>
  </si>
  <si>
    <t>TraesCS2D01G546200;TraesCS7A01G569400;TraesCS7D01G543200;TraesCS5A01G132500;TraesCS4B01G133100;TraesCS4D01G128000;TraesCS4A01G185600;TraesCS7B01G489300;TraesCS4A01G143600;TraesCS5B01G132400</t>
  </si>
  <si>
    <t>TraesCS1B01G315700</t>
  </si>
  <si>
    <t>ion transmembrane transport</t>
  </si>
  <si>
    <t>TraesCS1B01G211100;TraesCS4D01G091700;TraesCS7B01G295600;TraesCS3D01G470100;TraesCS3B01G498200;TraesCS4B01G094900;TraesCS2A01G312800;TraesCS5B01G149200;TraesCS6B01G165100;TraesCS3D01G126600;TraesCS1A01G120600;TraesCS3D01G443400;TraesCS1B01G312000;TraesCS2A01G220700;TraesCS2D01G287400;TraesCS3D01G288600;TraesCS1D01G301600;TraesCS4A01G216700;TraesCS2D01G422000;TraesCS3D01G450800;TraesCS6D01G096900;TraesCS6D01G290000;TraesCS7B01G106900;TraesCS2B01G329800;TraesCS6A01G098500;TraesCS7A01G393600;TraesCS2D01G311300;TraesCS5D01G321300;TraesCS2D01G342500;TraesCS5D01G002400;TraesCS4A01G043400;TraesCS7A01G200200;TraesCS7A01G246800;TraesCS3A01G340500;TraesCS2D01G523600;TraesCS4D01G257900;TraesCS6B01G137200;TraesCS6A01G136900;TraesCS3B01G323500;TraesCS5D01G051400;TraesCS1A01G086300;TraesCS1B01G324000;TraesCS6B01G201300;TraesCS2B01G246200;TraesCS3A01G288800;TraesCS4A01G046800;TraesCS5B01G376100;TraesCS2A01G321100;TraesCS4D01G344800;TraesCS2B01G306000;TraesCS3B01G487700;TraesCS3B01G519000;TraesCS7D01G203200;TraesCS3A01G458000;TraesCS4A01G294300;TraesCS4B01G258000;TraesCS5D01G268200;TraesCS3B01G521800;TraesCS6A01G108700;TraesCS7D01G388900</t>
  </si>
  <si>
    <t>TraesCS1B01G321200</t>
  </si>
  <si>
    <t>glucan metabolic process</t>
  </si>
  <si>
    <t>TraesCS6A01G337600;TraesCS7D01G418600;TraesCS7D01G418700;TraesCS1A01G396200;TraesCS7D01G418900;TraesCS7B01G243200;TraesCS7D01G147700;TraesCS7B01G048700;TraesCS6B01G110400;TraesCS6D01G318500;TraesCS2B01G184900;TraesCS7B01G327000;TraesCS5A01G317400;TraesCS2A01G123800;TraesCS3D01G298600;TraesCS5A01G248700;TraesCS7A01G427000;TraesCS6A01G088000;TraesCS7A01G146200;TraesCS2D01G301000;TraesCS6B01G368300;TraesCS4D01G339400;TraesCS5D01G261000;TraesCS4A01G321800;TraesCS7A01G335600;TraesCS2A01G210100;TraesCS2D01G126100;TraesCS7A01G331500;TraesCS7B01G326900;TraesCS1D01G404300;TraesCS7A01G337000;TraesCS5D01G255800;TraesCS7D01G339800;TraesCS2A01G159300;TraesCS2A01G302300;TraesCS2B01G144900;TraesCS7A01G426100;TraesCS3B01G108700;TraesCS2A01G122600;TraesCS2B01G318100;TraesCS5D01G323700;TraesCS7A01G426900;TraesCS7D01G419000;TraesCS7D01G419100;TraesCSU01G018400;TraesCS2D01G166600;TraesCS7A01G426600;TraesCS7A01G426700</t>
  </si>
  <si>
    <t>TraesCS1B01G321500</t>
  </si>
  <si>
    <t>cellular glucan metabolic process</t>
  </si>
  <si>
    <t>TraesCS1B01G330400</t>
  </si>
  <si>
    <t>phosphatidylinositol phosphate kinase activity</t>
  </si>
  <si>
    <t>TraesCS7A01G569400;TraesCS7D01G543200;TraesCS4D01G161900;TraesCS4A01G165400;TraesCS4A01G185600;TraesCS4A01G143600;TraesCS5B01G132400;TraesCS5D01G140700;TraesCS2D01G546200;TraesCS4B01G152500;TraesCS5A01G132500;TraesCS4B01G133100;TraesCS4D01G128000;TraesCS7B01G489300</t>
  </si>
  <si>
    <t>TraesCS1B01G353800</t>
  </si>
  <si>
    <t>voltage-gated channel activity</t>
  </si>
  <si>
    <t>TraesCS5B01G376100;TraesCS2A01G321100;TraesCS3B01G144700;TraesCS4D01G091700;TraesCS7D01G202900;TraesCS4A01G216700;TraesCS7A01G200200;TraesCS7A01G199900;TraesCS4B01G094900;TraesCSU01G182900;TraesCS7D01G203200;TraesCS7B01G106900;TraesCS2B01G329800;TraesCS6A01G098500;TraesCS2A01G312800;TraesCS2D01G311300;TraesCS5A01G374200;TraesCS2D01G342500;TraesCS3D01G126600</t>
  </si>
  <si>
    <t>TraesCS1B01G356500</t>
  </si>
  <si>
    <t>voltage-gated ion channel activity</t>
  </si>
  <si>
    <t>TraesCS1B01G359800</t>
  </si>
  <si>
    <t>sucrose synthase activity</t>
  </si>
  <si>
    <t>TraesCS4B01G167500;TraesCS7D01G036600;TraesCS7A01G040900;TraesCS3A01G425500;TraesCS4A01G492600;TraesCS6D01G403800;TraesCS4D01G169800;TraesCS6B01G466600;TraesCS3B01G461800;TraesCS3D01G420300;TraesCSU01G082000</t>
  </si>
  <si>
    <t>TraesCS1B01G368600</t>
  </si>
  <si>
    <t>inorganic cation transmembrane transport</t>
  </si>
  <si>
    <t>TraesCS7B01G295600;TraesCS7A01G246800;TraesCS3D01G470100;TraesCS3A01G340500;TraesCS3B01G498200;TraesCS4B01G094900;TraesCS2D01G523600;TraesCS4D01G257900;TraesCS6B01G137200;TraesCS6A01G136900;TraesCS2A01G312800;TraesCS1B01G324000;TraesCS5B01G149200;TraesCS6B01G165100;TraesCS6B01G201300;TraesCS1A01G120600;TraesCS3D01G443400;TraesCS1B01G312000;TraesCS4A01G046800;TraesCS5B01G376100;TraesCS2D01G287400;TraesCS2A01G321100;TraesCS1D01G301600;TraesCS4A01G216700;TraesCS2D01G422000;TraesCS3D01G450800;TraesCS6D01G096900;TraesCS2B01G306000;TraesCS3B01G487700;TraesCS3B01G519000;TraesCS6D01G290000;TraesCS7D01G203200;TraesCS3A01G458000;TraesCS7B01G106900;TraesCS2B01G329800;TraesCS4A01G294300;TraesCS4B01G258000;TraesCS5D01G268200;TraesCS3B01G521800;TraesCS7A01G393600;TraesCS2D01G311300;TraesCS2D01G342500;TraesCS5D01G002400;TraesCS6A01G108700;TraesCS7D01G388900</t>
  </si>
  <si>
    <t>TraesCS1B01G368700</t>
  </si>
  <si>
    <t>photorespiration</t>
  </si>
  <si>
    <t>TraesCS1B01G211100;TraesCS2A01G067100;TraesCS2A01G067200;TraesCS2A01G067000;TraesCS2A01G067300;TraesCS2A01G066800;TraesCS2A01G066900;TraesCS2A01G066700;TraesCS3D01G266100;TraesCS2B01G079500;TraesCS2D01G065600;TraesCS2D01G065400;TraesCS2D01G065500;TraesCS5B01G171000;TraesCS2D01G065200;TraesCS2D01G065300;TraesCS2D01G065100;TraesCS2B01G079400;TraesCS2B01G079200;TraesCS2B01G079100</t>
  </si>
  <si>
    <t>TraesCS1B01G380600</t>
  </si>
  <si>
    <t>antiporter activity</t>
  </si>
  <si>
    <t>TraesCS1B01G314100;TraesCS4A01G316600;TraesCS6A01G310700;TraesCS1D01G293500;TraesCS7D01G460200;TraesCS3A01G340500;TraesCS5D01G346300;TraesCS2D01G523600;TraesCS6B01G137200;TraesCS6B01G340700;TraesCS5A01G031700;TraesCS4B01G343000;TraesCS5B01G149200;TraesCS1A01G120600;TraesCS5D01G319000;TraesCS1A01G303800;TraesCS5A01G312200;TraesCS7B01G374500;TraesCS2B01G551300;TraesCS5B01G003000;TraesCS6A01G418500;TraesCS6D01G384400;TraesCS6D01G096900;TraesCS5D01G081200;TraesCS1B01G307100;TraesCS6D01G290000;TraesCS3B01G372100;TraesCS5D01G268200;TraesCS5A01G512200;TraesCS5A01G069100;TraesCS7B01G167700;TraesCS1D01G303200;TraesCS5D01G002400;TraesCS6A01G108700</t>
  </si>
  <si>
    <t>TraesCS1B01G382700</t>
  </si>
  <si>
    <t>passive transmembrane transporter activity</t>
  </si>
  <si>
    <t>TraesCS3B01G144700;TraesCS4D01G091700;TraesCS7D01G202900;TraesCS7B01G243000;TraesCS7A01G200200;TraesCS5D01G235100;TraesCS7A01G199900;TraesCS5A01G227600;TraesCS4B01G094900;TraesCSU01G182900;TraesCS5B01G226400;TraesCS2A01G312800;TraesCS1A01G086300;TraesCS5A01G374200;TraesCS2B01G246200;TraesCS3D01G126600;TraesCS2A01G220700;TraesCS5B01G376100;TraesCS2A01G321100;TraesCS4A01G216700;TraesCS7D01G203200;TraesCS7B01G106900;TraesCS2B01G329800;TraesCS6A01G098500;TraesCS6B01G258700;TraesCSU01G108000;TraesCS2D01G311300;TraesCS5B01G171000;TraesCS2D01G342500;TraesCS1B01G334100</t>
  </si>
  <si>
    <t>TraesCS1B01G384600</t>
  </si>
  <si>
    <t>channel activity</t>
  </si>
  <si>
    <t>TraesCS1B01G388700</t>
  </si>
  <si>
    <t>pollen tube development</t>
  </si>
  <si>
    <t>TraesCS3A01G214800;TraesCS7D01G147700;TraesCS5B01G025000;TraesCS2A01G240300;TraesCS5D01G033500;TraesCS4A01G089000;TraesCS4B01G215300;TraesCS1D01G144300;TraesCS7D01G536300;TraesCS3B01G246500;TraesCS5A01G025700;TraesCS4B01G219700;TraesCS6B01G331500;TraesCS2D01G216300;TraesCS5D01G002400;TraesCS7D01G380300</t>
  </si>
  <si>
    <t>TraesCS1B01G414300</t>
  </si>
  <si>
    <t>substrate-specific channel activity</t>
  </si>
  <si>
    <t>TraesCS3B01G144700;TraesCS4D01G091700;TraesCS7D01G202900;TraesCS7B01G243000;TraesCS7A01G200200;TraesCS5D01G235100;TraesCS7A01G199900;TraesCS5A01G227600;TraesCS4B01G094900;TraesCSU01G182900;TraesCS5B01G226400;TraesCS2A01G312800;TraesCS1A01G086300;TraesCS5A01G374200;TraesCS2B01G246200;TraesCS3D01G126600;TraesCS2A01G220700;TraesCS5B01G376100;TraesCS2A01G321100;TraesCS4A01G216700;TraesCS7D01G203200;TraesCS7B01G106900;TraesCS2B01G329800;TraesCS6A01G098500;TraesCS6B01G258700;TraesCSU01G108000;TraesCS2D01G311300;TraesCS2D01G342500;TraesCS1B01G334100</t>
  </si>
  <si>
    <t>TraesCS1B01G433200</t>
  </si>
  <si>
    <t>glucosidase activity</t>
  </si>
  <si>
    <t>TraesCS6B01G031500;TraesCS7D01G010000;TraesCS3D01G477200;TraesCS4A01G484800;TraesCS6A01G023100;TraesCS2B01G599800;TraesCS6A01G023300;TraesCS2D01G382600;TraesCS5B01G556600;TraesCS3B01G528400;TraesCS7A01G010200;TraesCS6B01G031300;TraesCS6D01G026300</t>
  </si>
  <si>
    <t>TraesCS1B01G433300</t>
  </si>
  <si>
    <t>beta-fructofuranosidase activity</t>
  </si>
  <si>
    <t>TraesCS6A01G023100;TraesCS6B01G031500;TraesCS7D01G010000;TraesCS6A01G023300;TraesCS4A01G484800;TraesCS2D01G382600;TraesCS5B01G556600;TraesCS7A01G010200;TraesCS6B01G031300;TraesCS6D01G026300</t>
  </si>
  <si>
    <t>TraesCS1B01G477900</t>
  </si>
  <si>
    <t>alpha-glucosidase activity</t>
  </si>
  <si>
    <t>TraesCS1B01G478000</t>
  </si>
  <si>
    <t>sucrose alpha-glucosidase activity</t>
  </si>
  <si>
    <t>TraesCS1B01G478300</t>
  </si>
  <si>
    <t>carbon-carbon lyase activity</t>
  </si>
  <si>
    <t>TraesCS1D01G011400</t>
  </si>
  <si>
    <t>apoplast</t>
  </si>
  <si>
    <t>TraesCS6A01G337600;TraesCS7D01G418600;TraesCS7D01G418700;TraesCS1A01G396200;TraesCS7D01G418900;TraesCS6B01G110400;TraesCS6D01G318500;TraesCS7B01G327000;TraesCS3A01G365300;TraesCS3B01G379900;TraesCS7A01G427000;TraesCS6A01G088000;TraesCS6B01G368300;TraesCS4B01G205900;TraesCS2B01G528300;TraesCS4A01G321800;TraesCS7B01G326900;TraesCS3B01G392700;TraesCS3D01G341600;TraesCS1D01G404300;TraesCS3A01G360400;TraesCS7A01G426100;TraesCS3B01G108700;TraesCS3D01G354200;TraesCS3D01G358500;TraesCS7A01G426900;TraesCS7D01G419000;TraesCS7D01G419100;TraesCSU01G018400;TraesCS4D01G206900;TraesCS7A01G426600;TraesCS3B01G397200;TraesCS7A01G426700</t>
  </si>
  <si>
    <t>TraesCS1D01G020200</t>
  </si>
  <si>
    <t>xyloglucan metabolic process</t>
  </si>
  <si>
    <t>TraesCS6A01G337600;TraesCS7D01G418600;TraesCS1A01G396200;TraesCS4A01G321800;TraesCS7D01G418900;TraesCS7B01G326900;TraesCS6B01G110400;TraesCS6D01G318500;TraesCS1D01G404300;TraesCS7B01G327000;TraesCS7A01G426100;TraesCS3B01G108700;TraesCS7A01G427000;TraesCS6A01G088000;TraesCS7A01G426900;TraesCS7D01G419100;TraesCSU01G018400;TraesCS6B01G368300;TraesCS7A01G426600;TraesCS7A01G426700</t>
  </si>
  <si>
    <t>TraesCS1D01G038300</t>
  </si>
  <si>
    <t>cation transmembrane transport</t>
  </si>
  <si>
    <t>TraesCS1D01G059800</t>
  </si>
  <si>
    <t>phospholipase activity</t>
  </si>
  <si>
    <t>TraesCS5B01G222500;TraesCS5A01G202000;TraesCS1A01G115300;TraesCS4B01G352300;TraesCS1D01G116700;TraesCS5A01G223500;TraesCS5A01G511000;TraesCS4D01G346700;TraesCS5D01G231100;TraesCS1B01G135200;TraesCS5A01G520900;TraesCS4D01G195800;TraesCS1B01G442400;TraesCS2B01G154600;TraesCS4B01G217300;TraesCS5D01G208300;TraesCS4B01G195200</t>
  </si>
  <si>
    <t>TraesCS1D01G084400</t>
  </si>
  <si>
    <t>ion channel activity</t>
  </si>
  <si>
    <t>TraesCS3B01G144700;TraesCS4D01G091700;TraesCS7D01G202900;TraesCS7A01G200200;TraesCS5D01G235100;TraesCS7A01G199900;TraesCS5A01G227600;TraesCS4B01G094900;TraesCSU01G182900;TraesCS5B01G226400;TraesCS2A01G312800;TraesCS1A01G086300;TraesCS5A01G374200;TraesCS2B01G246200;TraesCS3D01G126600;TraesCS2A01G220700;TraesCS5B01G376100;TraesCS2A01G321100;TraesCS4A01G216700;TraesCS7D01G203200;TraesCS7B01G106900;TraesCS2B01G329800;TraesCS6A01G098500;TraesCS6B01G258700;TraesCSU01G108000;TraesCS2D01G311300;TraesCS2D01G342500;TraesCS1B01G334100</t>
  </si>
  <si>
    <t>TraesCS1D01G114800</t>
  </si>
  <si>
    <t>monovalent inorganic cation transport</t>
  </si>
  <si>
    <t>TraesCS1B01G314100;TraesCS4D01G091700;TraesCS7B01G295600;TraesCS7D01G202900;TraesCS7A01G200200;TraesCS7A01G246800;TraesCS7A01G199900;TraesCS3A01G340500;TraesCS3B01G498200;TraesCS4B01G094900;TraesCSU01G182900;TraesCS2D01G523600;TraesCS6A01G136900;TraesCS2A01G312800;TraesCS5A01G263100;TraesCS5A01G374200;TraesCS5B01G149200;TraesCS6B01G165100;TraesCS1A01G120600;TraesCS3D01G443400;TraesCS1B01G312000;TraesCS5B01G376100;TraesCS2D01G287400;TraesCS2A01G321100;TraesCS1D01G301600;TraesCS4A01G216700;TraesCS3D01G450800;TraesCS2B01G306000;TraesCS1B01G307100;TraesCS3B01G487700;TraesCS6D01G290000;TraesCS7D01G203200;TraesCS3A01G458000;TraesCS7B01G106900;TraesCS2B01G329800;TraesCS5D01G268200;TraesCS3B01G521800;TraesCS7A01G393600;TraesCS2D01G311300;TraesCS2D01G342500;TraesCS5D01G002400;TraesCS7D01G388900</t>
  </si>
  <si>
    <t>TraesCS1D01G116700</t>
  </si>
  <si>
    <t>phosphoric ester hydrolase activity</t>
  </si>
  <si>
    <t>TraesCS4D01G129800;TraesCS1B01G368600;TraesCS2D01G582400;TraesCS3D01G323100;TraesCS4D01G087200;TraesCS5D01G231100;TraesCS1B01G224300;TraesCS2A01G364400;TraesCS4D01G159700;TraesCS2B01G374900;TraesCS4B01G135100;TraesCS2D01G362300;TraesCS2A01G570900;TraesCS5A01G532400;TraesCS7D01G417600;TraesCS2D01G354600;TraesCS4B01G352300;TraesCS1D01G116700;TraesCS2D01G315100;TraesCS7B01G326200;TraesCS5A01G520900;TraesCS2B01G382900;TraesCS1D01G357000;TraesCS5A01G239500;TraesCS2B01G335200;TraesCS4B01G195200;TraesCSU01G038600;TraesCS5B01G222500;TraesCS1B01G024700;TraesCS5A01G202000;TraesCS7D01G521000;TraesCS1A01G115300;TraesCS3A01G329700;TraesCS4A01G183500;TraesCS5A01G223500;TraesCS2A01G412100;TraesCS6D01G163200;TraesCS4D01G195800;TraesCS7B01G450800;TraesCS6A01G174100;TraesCS7A01G423900;TraesCS5D01G208300;TraesCS4B01G194800;TraesCS3B01G359800;TraesCS2D01G409300;TraesCS6D01G388000;TraesCS1A01G353200;TraesCS1A01G020700;TraesCS4D01G346700;TraesCS1B01G135200;TraesCS7D01G095900;TraesCS1D01G020200;TraesCS2B01G430700;TraesCS6A01G404700;TraesCS4B01G363800;TraesCS6B01G202700</t>
  </si>
  <si>
    <t>TraesCS1D01G123400</t>
  </si>
  <si>
    <t>pollen tube growth</t>
  </si>
  <si>
    <t>TraesCS4B01G215300;TraesCS7D01G147700;TraesCS1D01G144300;TraesCS5B01G025000;TraesCS2A01G240300;TraesCS5A01G025700;TraesCS5D01G033500;TraesCS4B01G219700;TraesCS6B01G331500;TraesCS4A01G089000;TraesCS5D01G002400;TraesCS7D01G380300</t>
  </si>
  <si>
    <t>TraesCS1D01G127400</t>
  </si>
  <si>
    <t>UDP-glucosyltransferase activity</t>
  </si>
  <si>
    <t>TraesCS7D01G036600;TraesCS7A01G040900;TraesCS7B01G243200;TraesCS7D01G147700;TraesCS7B01G048700;TraesCS3B01G461800;TraesCSU01G082000;TraesCS4D01G169800;TraesCS7A01G146200;TraesCS2D01G301000;TraesCS5D01G261000;TraesCS3D01G420300;TraesCS4B01G167500;TraesCS2A01G210100;TraesCS2D01G126100;TraesCS3A01G425500;TraesCS7A01G331500;TraesCS6D01G403800;TraesCS7D01G339800;TraesCS2A01G302300;TraesCS2B01G144900;TraesCS2A01G122600;TraesCS4A01G492600;TraesCS2B01G318100;TraesCS6B01G466600</t>
  </si>
  <si>
    <t>TraesCS1D01G147800</t>
  </si>
  <si>
    <t>secondary active transmembrane transporter activity</t>
  </si>
  <si>
    <t>TraesCS1B01G314100;TraesCS4A01G043400;TraesCS4A01G316600;TraesCS6A01G310700;TraesCS3A01G126300;TraesCS1D01G293500;TraesCS7D01G460200;TraesCS3A01G340500;TraesCS5D01G346300;TraesCS2D01G523600;TraesCS6B01G137200;TraesCS6B01G340700;TraesCS5A01G031700;TraesCS3B01G323500;TraesCS4B01G343000;TraesCS2D01G058700;TraesCS5B01G149200;TraesCS1A01G120600;TraesCS5D01G319000;TraesCS3A01G288800;TraesCS1A01G303800;TraesCS5A01G312200;TraesCS7B01G374500;TraesCS3D01G288600;TraesCS4B01G333700;TraesCS2B01G551300;TraesCS5B01G003000;TraesCS6A01G418500;TraesCS6D01G384400;TraesCS6D01G096900;TraesCS5D01G081200;TraesCS1B01G307100;TraesCS6D01G290000;TraesCS3B01G372100;TraesCS5D01G268200;TraesCS5A01G512200;TraesCS5A01G069100;TraesCS7B01G167700;TraesCS1D01G303200;TraesCS5D01G002400;TraesCS6A01G108700</t>
  </si>
  <si>
    <t>TraesCS1D01G159700</t>
  </si>
  <si>
    <t>phospholipase D activity</t>
  </si>
  <si>
    <t>TraesCS1B01G135200;TraesCS5A01G520900;TraesCS5B01G222500;TraesCS5A01G202000;TraesCS1A01G115300;TraesCS4B01G352300;TraesCS1D01G116700;TraesCS5A01G223500;TraesCS4D01G346700;TraesCS5D01G208300;TraesCS5D01G231100</t>
  </si>
  <si>
    <t>TraesCS1D01G161500</t>
  </si>
  <si>
    <t>carbohydrate catabolic process</t>
  </si>
  <si>
    <t>TraesCS1B01G366400;TraesCS4A01G129900;TraesCS7A01G357800;TraesCS2A01G215300;TraesCS3A01G239200;TraesCS2B01G184900;TraesCS2B01G141700;TraesCS5A01G317400;TraesCS2A01G123800;TraesCS5D01G099300;TraesCS5A01G248700;TraesCS5A01G513200;TraesCS7A01G075600;TraesCS3B01G354300;TraesCS2B01G024500;TraesCS4D01G339400;TraesCS3B01G598100;TraesCS4D01G176600;TraesCS2B01G528300;TraesCS2A01G344200;TraesCS1A01G355200;TraesCS3D01G110300;TraesCS5B01G458900;TraesCS3A01G108500;TraesCS5D01G255800;TraesCS7D01G228500;TraesCS2A01G159300;TraesCS7A01G226000;TraesCS4B01G344300;TraesCS2A01G120800;TraesCS4A01G116700;TraesCS7B01G193600;TraesCS2D01G091800;TraesCS3D01G276000;TraesCS5D01G323700;TraesCS3A01G276100;TraesCS2D01G166600</t>
  </si>
  <si>
    <t>TraesCS1D01G188000</t>
  </si>
  <si>
    <t>cytoskeletal protein binding</t>
  </si>
  <si>
    <t>TraesCS1A01G291000;TraesCS1D01G289600;TraesCS2A01G410700;TraesCS6A01G247000;TraesCS5A01G317000;TraesCS6A01G188600;TraesCS4A01G078900;TraesCS4A01G169700;TraesCS6B01G215900;TraesCS6D01G186700;TraesCS1B01G356700;TraesCS4D01G144800;TraesCS4D01G163700;TraesCS5B01G317600;TraesCS6A01G200800;TraesCS3A01G539200;TraesCS6B01G111900;TraesCS3D01G277200;TraesCSU01G016800;TraesCS2B01G255200;TraesCS3B01G311200;TraesCS3B01G605100;TraesCS6D01G189200;TraesCS6D01G229200;TraesCS7A01G224600;TraesCS3D01G544700;TraesCS6A01G200700;TraesCS4B01G152700;TraesCS1B01G300400;TraesCS7B01G191200;TraesCS5D01G323300;TraesCS2A01G227300;TraesCS2B01G429500;TraesCS4B01G126400;TraesCS6B01G277600;TraesCS6D01G177300;TraesCS4A01G156700</t>
  </si>
  <si>
    <t>TraesCS1D01G188800</t>
  </si>
  <si>
    <t>TraesCS6D01G281800;TraesCS3D01G117300;TraesCS6A01G302300;TraesCS7D01G183100;TraesCS5B01G277500;TraesCS5D01G285100;TraesCS3D01G331600;TraesCS3B01G134300;TraesCS6B01G331500;TraesCS5A01G278100;TraesCS7A01G181500;TraesCS7B01G086400</t>
  </si>
  <si>
    <t>TraesCS1D01G207200</t>
  </si>
  <si>
    <t>TraesCS1D01G211500</t>
  </si>
  <si>
    <t>oxidation-reduction process</t>
  </si>
  <si>
    <t>TraesCS7B01G375600;TraesCS2A01G565700;TraesCS2A01G091000;TraesCS3B01G146900;TraesCS7A01G538700;TraesCS4B01G135900;TraesCS5D01G244700;TraesCS2D01G035500;TraesCS2A01G331800;TraesCS3A01G405000;TraesCS3B01G568600;TraesCS4B01G232800;TraesCS1A01G290700;TraesCS2B01G284900;TraesCS1D01G301200;TraesCS2D01G002800;TraesCS4B01G385600;TraesCS7D01G442300;TraesCS3D01G345600;TraesCS2A01G075300;TraesCS2A01G067000;TraesCS2B01G035600;TraesCS6D01G258300;TraesCS6B01G321400;TraesCS5A01G056600;TraesCS7B01G026000;TraesCS7B01G273800;TraesCS2D01G065600;TraesCS1D01G276600;TraesCS3D01G505600;TraesCS2B01G615800;TraesCS6B01G357700;TraesCS1A01G392600;TraesCS3A01G321100;TraesCS4B01G332500;TraesCS1B01G368900;TraesCS2A01G066700;TraesCS1D01G038300;TraesCS6A01G325700;TraesCS1A01G277400;TraesCS6A01G136500;TraesCS2B01G051300;TraesCSU01G032500;TraesCS2D01G026000;TraesCS3A01G351400;TraesCS3B01G044900;TraesCS2B01G091500;TraesCS4D01G130700;TraesCS5B01G202800;TraesCS2A01G067100;TraesCS5D01G370600;TraesCS2D01G015000;TraesCS1B01G300000;TraesCS1D01G357100;TraesCS3D01G354200;TraesCS6A01G150000;TraesCS2A01G571500;TraesCS2B01G079400;TraesCS4D01G093600;TraesCS2B01G615700;TraesCS5D01G309100;TraesCS7A01G357800;TraesCS2A01G066800;TraesCS6B01G018700;TraesCS7A01G234000;TraesCS2B01G001100;TraesCS2B01G592100;TraesCS7B01G388200;TraesCS4D01G170600;TraesCS2A01G385100;TraesCS7D01G511500;TraesCS7A01G278500;TraesCS4B01G205900;TraesCS2D01G583000;TraesCS5A01G362400;TraesCS2A01G067200;TraesCS2A01G044900;TraesCS2B01G574800;TraesCS3B01G371800;TraesCS4A01G218400;TraesCS2B01G106400;TraesCS2B01G604800;TraesCS5A01G348100;TraesCS1B01G355400;TraesCS6A01G372100;TraesCS4B01G268900;TraesCS3A01G243300;TraesCS5B01G232600;TraesCS6D01G139700;TraesCS2A01G254200;TraesCS2D01G254500;TraesCS2B01G006900;TraesCS2B01G079100;TraesCS2B01G615600;TraesCS1A01G222600;TraesCS3D01G411700;TraesCS7B01G459300;TraesCS2A01G066900;TraesCS6A01G226500;TraesCS2A01G379000;TraesCS1A01G317900;TraesCS3B01G350200;TraesCS5B01G235900;TraesCS2A01G572900;TraesCS4A01G098400;TraesCS4A01G136600;TraesCS2B01G005800;TraesCS1D01G303600;TraesCS4B01G358500;TraesCSU01G012200;TraesCS2D01G583100;TraesCS6D01G208500;TraesCS3B01G392700;TraesCS5A01G234200;TraesCS2B01G402100;TraesCS2A01G067300;TraesCS7D01G488800;TraesCS4A01G182700;TraesCS2D01G375300;TraesCS2B01G350400;TraesCS4D01G112400;TraesCS1A01G234800;TraesCS2B01G006200;TraesCS2A01G571700;TraesCS4D01G359200;TraesCS3A01G316500;TraesCS2B01G079200;TraesCS4A01G020500;TraesCS3B01G549000;TraesCS6B01G355700;TraesCS3B01G362200;TraesCS4D01G282000;TraesCS6D01G125500;TraesCS1B01G177900;TraesCS7B01G176400;TraesCS4A01G076700;TraesCSU01G084800;TraesCS7B01G142500;TraesCS3A01G365300;TraesCS1B01G047400;TraesCS5A01G248700;TraesCS3D01G124500;TraesCS5D01G131500;TraesCS3A01G502300;TraesCS2A01G591600;TraesCS2B01G005900;TraesCS3B01G008500;TraesCS5A01G234300;TraesCS1A01G263600;TraesCS3A01G360400;TraesCS1D01G400800;TraesCS5D01G006800;TraesCS5A01G237000;TraesCS4A01G200400;TraesCS2B01G048500;TraesCS6A01G305600;TraesCS2D01G065200;TraesCS1B01G168400;TraesCS6D01G305100;TraesCS7D01G472000;TraesCS2A01G015400;TraesCS5B01G364300;TraesCSU01G073000;TraesCS6B01G355800;TraesCS2D01G265100;TraesCS6A01G280100;TraesCS2B01G184900;TraesCS2A01G582100;TraesCS4B01G114900;TraesCS2A01G014900;TraesCS1A01G304100;TraesCS4A01G358200;TraesCS7D01G234300;TraesCS7D01G511600;TraesCS6A01G277800;TraesCS2A01G159300;TraesCS2D01G002500;TraesCS3D01G509100;TraesCS2B01G396000;TraesCS3D01G005000;TraesCS2D01G065300;TraesCS2D01G166600;TraesCS5D01G354300;TraesCS5B01G364200;TraesCS4B01G342400;TraesCS1B01G095800;TraesCS6B01G355900;TraesCS3B01G549200;TraesCS4D01G234000;TraesCS2B01G118100;TraesCS3A01G180200;TraesCS7D01G271100;TraesCS5A01G495100;TraesCS4A01G183600;TraesCS7B01G042300;TraesCS2B01G124900;TraesCS3A01G340200;TraesCS1D01G096400;TraesCS3A01G122600;TraesCS2A01G123800;TraesCS1D01G426600;TraesCS2B01G049400;TraesCS1D01G147800;TraesCS3B01G141800;TraesCS7B01G118200;TraesCS7D01G024500;TraesCS4B01G213800;TraesCS4D01G314400;TraesCS7A01G220900;TraesCS3B01G176800;TraesCS3B01G438700;TraesCS6D01G289300;TraesCS6A01G206600;TraesCS1A01G301500;TraesCS5A01G236800;TraesCS4A01G235800;TraesCS5A01G123600;TraesCS4A01G036100;TraesCS1A01G078100;TraesCS3D01G341600;TraesCS7D01G375700;TraesCS2D01G562600;TraesCS3B01G011200;TraesCS4D01G214500;TraesCS1B01G330400;TraesCS4D01G329200;TraesCS6D01G397200;TraesCS2A01G015600;TraesCS2B01G079500;TraesCS2D01G065400;TraesCS3D01G358500;TraesCS6B01G284900;TraesCS1B01G311300;TraesCS4B01G363100;TraesCS7A01G126600;TraesCS3D01G310200;TraesCS5B01G123200;TraesCS5A01G361700;TraesCS5B01G238300;TraesCS4D01G319400;TraesCS5B01G349200;TraesCS6B01G353700;TraesCS1D01G289300;TraesCS7B01G132400;TraesCS2D01G016000;TraesCS4B01G009700;TraesCS2D01G043500;TraesCS3D01G325700;TraesCS2A01G100900;TraesCS4D01G268200;TraesCS1D01G317700;TraesCS3B01G379900;TraesCS7B01G168800;TraesCS2D01G381800;TraesCS3B01G344600;TraesCS7A01G484600;TraesCS1B01G314600;TraesCS4D01G338000;TraesCS5B01G418800;TraesCS5A01G102700;TraesCS6D01G038900;TraesCS5A01G503600;TraesCS7D01G278300;TraesCS5D01G310600;TraesCS4A01G388600;TraesCS1D01G123400;TraesCS2B01G006600;TraesCS4B01G318000;TraesCS5A01G220200;TraesCS2D01G065500;TraesCS2B01G186100;TraesCS3D01G400400;TraesCS4D01G206900;TraesCS7D01G124500;TraesCS2A01G013200;TraesCS6B01G164400;TraesCS3B01G397200;TraesCS3D01G314700;TraesCS5D01G241100</t>
  </si>
  <si>
    <t>TraesCS1D01G214300</t>
  </si>
  <si>
    <t>lipase activity</t>
  </si>
  <si>
    <t>TraesCS5B01G222500;TraesCS5A01G202000;TraesCS1A01G115300;TraesCS2B01G297300;TraesCS4B01G352300;TraesCS6B01G133500;TraesCS1D01G116700;TraesCS5A01G223500;TraesCS5A01G511000;TraesCS4D01G346700;TraesCS5D01G231100;TraesCS1B01G135200;TraesCS2D01G278500;TraesCS5A01G520900;TraesCS2A01G279600;TraesCS4D01G195800;TraesCS6D01G093000;TraesCS1B01G442400;TraesCS2B01G154600;TraesCS4B01G217300;TraesCS6A01G104300;TraesCS5D01G208300;TraesCS4B01G195200</t>
  </si>
  <si>
    <t>TraesCS1D01G215100</t>
  </si>
  <si>
    <t>phosphatidylinositol metabolic process</t>
  </si>
  <si>
    <t>TraesCS7A01G569400;TraesCS7D01G183100;TraesCS4A01G165400;TraesCS4A01G185600;TraesCS5B01G132400;TraesCS5D01G140700;TraesCS2D01G546200;TraesCS4B01G152500;TraesCS6A01G302300;TraesCS4B01G133100;TraesCS5B01G277500;TraesCS7B01G489300;TraesCS3B01G134300;TraesCS6B01G331500;TraesCS6D01G281800;TraesCS7D01G543200;TraesCS4D01G161900;TraesCS4A01G143600;TraesCS5A01G278100;TraesCS7B01G086400;TraesCS3D01G117300;TraesCS5D01G519300;TraesCS5A01G132500;TraesCS5D01G285100;TraesCS4D01G128000;TraesCS3D01G331600;TraesCS2A01G447800;TraesCS7A01G181500</t>
  </si>
  <si>
    <t>TraesCS1D01G215300</t>
  </si>
  <si>
    <t>cell tip growth</t>
  </si>
  <si>
    <t>TraesCS7D01G147700;TraesCS5B01G025000;TraesCS2A01G240300;TraesCS5D01G033500;TraesCS4A01G089000;TraesCS7B01G086400;TraesCS4B01G215300;TraesCS1D01G144300;TraesCS5A01G025700;TraesCS4B01G219700;TraesCS6B01G331500;TraesCS5D01G002400;TraesCS7D01G380300</t>
  </si>
  <si>
    <t>TraesCS1D01G234700</t>
  </si>
  <si>
    <t>plant-type cell wall modification</t>
  </si>
  <si>
    <t>TraesCS4B01G215300;TraesCS1D01G144300;TraesCS5B01G025000;TraesCS5A01G025700;TraesCS5D01G033500;TraesCS6B01G331500;TraesCS4A01G089000;TraesCS5D01G002400;TraesCS7D01G380300</t>
  </si>
  <si>
    <t>TraesCS1D01G247500</t>
  </si>
  <si>
    <t>cellular polysaccharide metabolic process</t>
  </si>
  <si>
    <t>TraesCS7D01G418600;TraesCS7B01G243200;TraesCS7D01G147700;TraesCS6D01G318500;TraesCS7B01G327000;TraesCS5A01G317400;TraesCS1A01G266600;TraesCS2A01G123800;TraesCS5A01G248700;TraesCS7A01G427000;TraesCS6A01G088000;TraesCS6B01G368300;TraesCS5D01G261000;TraesCS2A01G210100;TraesCS7A01G331500;TraesCS7A01G337000;TraesCS5D01G255800;TraesCS7D01G339800;TraesCS2A01G302300;TraesCS7D01G419100;TraesCSU01G018400;TraesCS7A01G426600;TraesCS6A01G337600;TraesCS7D01G418700;TraesCS1A01G396200;TraesCS7D01G418900;TraesCS7B01G048700;TraesCS6B01G110400;TraesCS2B01G184900;TraesCS4A01G078900;TraesCS3D01G298600;TraesCS7A01G146200;TraesCS2D01G301000;TraesCS4D01G339400;TraesCS4A01G321800;TraesCS7A01G335600;TraesCS2D01G126100;TraesCS7B01G326900;TraesCS1D01G404300;TraesCS2A01G159300;TraesCS2B01G144900;TraesCS7A01G426100;TraesCS3B01G108700;TraesCS2A01G122600;TraesCS2B01G318100;TraesCS5D01G323700;TraesCS7A01G426900;TraesCS7D01G419000;TraesCS2D01G166600;TraesCS7A01G426700</t>
  </si>
  <si>
    <t>TraesCS1D01G249500</t>
  </si>
  <si>
    <t>organic substance metabolic process</t>
  </si>
  <si>
    <t>TraesCS7D01G147700;TraesCS6B01G439100;TraesCS2D01G116700;TraesCS6B01G133500;TraesCS6B01G213500;TraesCS4A01G238600;TraesCS1B01G433300;TraesCS1A01G229300;TraesCS3D01G485000;TraesCS6D01G264200;TraesCS3A01G013400;TraesCS1A01G369600;TraesCS3B01G354300;TraesCS6B01G182900;TraesCS6D01G323500;TraesCS1D01G301200;TraesCS6B01G006500;TraesCS1A01G355200;TraesCS1A01G227100;TraesCS4B01G235400;TraesCS1D01G357000;TraesCS1B01G409200;TraesCS1B01G445300;TraesCS3A01G071500;TraesCS5B01G331300;TraesCS4D01G125100;TraesCS6B01G110400;TraesCS7D01G521000;TraesCS6D01G404800;TraesCS3A01G321100;TraesCS4D01G045300;TraesCS1B01G320400;TraesCS1D01G375700;TraesCS2A01G066700;TraesCS7B01G450800;TraesCS2B01G051300;TraesCS4A01G077500;TraesCS2B01G156800;TraesCS4B01G267200;TraesCS6D01G172000;TraesCS5A01G173200;TraesCS4A01G321800;TraesCS4D01G130700;TraesCS3A01G425500;TraesCS7B01G326900;TraesCS7A01G385800;TraesCS3B01G365200;TraesCS1D01G404300;TraesCS4D01G021100;TraesCS7A01G520500;TraesCS4B01G077600;TraesCS3B01G483500;TraesCS2A01G500400;TraesCS5D01G228900;TraesCS2B01G430700;TraesCS5D01G434800;TraesCS5B01G138300;TraesCS4D01G093600;TraesCS5B01G379300;TraesCS1B01G368600;TraesCS3B01G169300;TraesCS4A01G018100;TraesCS5D01G088700;TraesCS6B01G363800;TraesCS6D01G184000;TraesCS2D01G507700;TraesCS1D01G207100;TraesCS3D01G359300;TraesCS7B01G034400;TraesCS4B01G259400;TraesCS2B01G154600;TraesCS2A01G385100;TraesCS1A01G403800;TraesCS6D01G061500;TraesCS7A01G383800;TraesCS7D01G543200;TraesCS5B01G242400;TraesCS7B01G080300;TraesCS5D01G481800;TraesCS1D01G187400;TraesCS2A01G302300;TraesCS4B01G130300;TraesCS7B01G153600;TraesCSU01G018400;TraesCS7D01G101900;TraesCS7D01G344700;TraesCS5A01G472400;TraesCS1B01G366400;TraesCS1D01G375500;TraesCS3B01G276700;TraesCS1A01G115300;TraesCS2A01G066900;TraesCS2B01G591900;TraesCS6A01G226500;TraesCS6B01G312000;TraesCS2A01G272400;TraesCS5B01G235900;TraesCS7B01G060700;TraesCS5B01G277500;TraesCS5D01G194800;TraesCS5D01G173900;TraesCS7A01G381400;TraesCS6D01G208500;TraesCS6A01G353500;TraesCS3A01G366400;TraesCS4D01G346700;TraesCS4A01G182700;TraesCS5A01G278100;TraesCS7D01G155500;TraesCS1D01G389900;TraesCS7D01G418600;TraesCS1A01G153400;TraesCS7B01G142500;TraesCS3A01G365300;TraesCS5B01G556000;TraesCS3A01G208900;TraesCS3D01G196000;TraesCS3B01G256700;TraesCS2D01G354600;TraesCS6A01G359900;TraesCS6B01G117400;TraesCS2A01G457500;TraesCS3D01G322900;TraesCS7B01G448900;TraesCS7D01G289800;TraesCS5A01G132500;TraesCSU01G021800;TraesCS3D01G331600;TraesCS7A01G426600;TraesCS6D01G026300;TraesCS7B01G436900;TraesCS2D01G460900;TraesCS1A01G317300;TraesCS2B01G184900;TraesCS2B01G141700;TraesCS7D01G351000;TraesCS5A01G054700;TraesCS5A01G076500;TraesCS2D01G546200;TraesCS5D01G305200;TraesCS3A01G447500;TraesCS6A01G367300;TraesCS3D01G420300;TraesCS2D01G126100;TraesCS3D01G041700;TraesCS4A01G484800;TraesCS3A01G108500;TraesCS3A01G490100;TraesCS3D01G395000;TraesCS3B01G433600;TraesCS3D01G276000;TraesCS4B01G233600;TraesCS4A01G064600;TraesCS2D01G166600;TraesCS1D01G234700;TraesCS7A01G359700;TraesCS6B01G332900;TraesCS6D01G329000;TraesCS7D01G227100;TraesCS1B01G249000;TraesCS7D01G241800;TraesCS2A01G123800;TraesCS1D01G422800;TraesCS2B01G374900;TraesCS3D01G279300;TraesCS7B01G059300;TraesCS7D01G307100;TraesCS5B01G307800;TraesCS2A01G210100;TraesCS5A01G123600;TraesCS4B01G218000;TraesCS3D01G341600;TraesCS5D01G553500;TraesCS2B01G079500;TraesCS4A01G492600;TraesCS5A01G239500;TraesCS6B01G284900;TraesCS1B01G311300;TraesCS4D01G128000;TraesCS1A01G385500;TraesCS4B01G195200;TraesCS5B01G220000;TraesCS5A01G202000;TraesCS5B01G081500;TraesCS7B01G291300;TraesCS1B01G171500;TraesCS2A01G414800;TraesCS4D01G085600;TraesCS6B01G337100;TraesCS2A01G100900;TraesCS4B01G152500;TraesCS1A01G382200;TraesCS1B01G297300;TraesCS3D01G477200;TraesCS6A01G376200;TraesCS1B01G382700;TraesCS1B01G135200;TraesCS7D01G346700;TraesCS1D01G276100;TraesCS6A01G182800;TraesCS2B01G302400;TraesCS1B01G244800;TraesCS1D01G234500;TraesCS4A01G399600;TraesCS7A01G204500;TraesCS4B01G149500;TraesCS6A01G152400;TraesCS5B01G132400;TraesCS2B01G516700;TraesCS6A01G245600;TraesCS7A01G538700;TraesCS4B01G267900;TraesCS5D01G244700;TraesCS3A01G420400;TraesCS2A01G507700;TraesCS7A01G389600;TraesCS2D01G016300;TraesCS4B01G135100;TraesCS6A01G084500;TraesCS7D01G010000;TraesCS7D01G276300;TraesCS2B01G297300;TraesCS6D01G258300;TraesCS1D01G116700;TraesCS6A01G269800;TraesCS1A01G339400;TraesCS7B01G169700;TraesCS1A01G203700;TraesCS4B01G162700;TraesCS5A01G321800;TraesCS7A01G489300;TraesCS7B01G304500;TraesCS7D01G208600;TraesCS2D01G003200;TraesCS4B01G332500;TraesCS2A01G324800;TraesCS5A01G558300;TraesCS6A01G023100;TraesCS4B01G045400;TraesCS4B01G071600;TraesCS4D01G052200;TraesCS6D01G350300;TraesCS3B01G427100;TraesCS5A01G110100;TraesCS4D01G169800;TraesCS6B01G278800;TraesCS4A01G025300;TraesCS4B01G102400;TraesCS7A01G272400;TraesCS4A01G445000;TraesCS2A01G067100;TraesCS3D01G380700;TraesCS4B01G344300;TraesCS7B01G193600;TraesCS3D01G354200;TraesCS6A01G150000;TraesCS5D01G323700;TraesCS6A01G104300;TraesCS5D01G566700;TraesCS1A01G383100;TraesCS3D01G323900;TraesCS7A01G357800;TraesCS7A01G569400;TraesCS1D01G317200;TraesCS3B01G236500;TraesCS6A01G192900;TraesCS5D01G401500;TraesCS1D01G151900;TraesCS2A01G230100;TraesCS3A01G135400;TraesCS5D01G177700;TraesCS5D01G152400;TraesCS5D01G261000;TraesCS7D01G232700;TraesCS2D01G027400;TraesCS4D01G161900;TraesCS3A01G400600;TraesCS5D01G255800;TraesCS4A01G218400;TraesCS1D01G444300;TraesCS2A01G120800;TraesCS2A01G279600;TraesCS7A01G405000;TraesCS4A01G001100;TraesCS1D01G232700;TraesCS2A01G275000;TraesCS2B01G079100;TraesCS5A01G363400;TraesCS1A01G396200;TraesCS4A01G173100;TraesCS4B01G030100;TraesCS7B01G392000;TraesCS5A01G298500;TraesCS3A01G065700;TraesCS3D01G151500;TraesCS3A01G254900;TraesCS2A01G412100;TraesCS1B01G442400;TraesCS7A01G010200;TraesCS4A01G172000;TraesCS4B01G278800;TraesCS5B01G110400;TraesCS2A01G067300;TraesCS7D01G488800;TraesCS5B01G227600;TraesCS6A01G283700;TraesCS5A01G138700;TraesCS3B01G270600;TraesCS7B01G283300;TraesCS4A01G322400;TraesCS4D01G114700;TraesCS7D01G380300;TraesCS2A01G408900;TraesCS2A01G215300;TraesCS2A01G507300;TraesCS7A01G267000;TraesCS5D01G219100;TraesCS7B01G210400;TraesCS5B01G428600;TraesCS1B01G224300;TraesCS3A01G248000;TraesCS5A01G248700;TraesCS7A01G427000;TraesCS1A01G034600;TraesCS7A01G163700;TraesCS7B01G286600;TraesCS1B01G440000;TraesCS2B01G528300;TraesCS3B01G330500;TraesCS4B01G352300;TraesCS1B01G388700;TraesCS2B01G251700;TraesCS4B01G375400;TraesCS1B01G329700;TraesCS7B01G473200;TraesCS5A01G330900;TraesCS6B01G386100;TraesCS6A01G026800;TraesCS2B01G434000;TraesCS6B01G150900;TraesCS1B01G416800;TraesCS5A01G195500;TraesCS5B01G297700;TraesCS5A01G384500;TraesCS6D01G144800;TraesCS5D01G437000;TraesCS4A01G187900;TraesCS1D01G390700;TraesCS2B01G540200;TraesCS5A01G513200;TraesCS5A01G221200;TraesCS6D01G002800;TraesCS5D01G288700;TraesCS4B01G133100;TraesCS7A01G423900;TraesCS3B01G157500;TraesCS2A01G344000;TraesCS7B01G139900;TraesCS4D01G361600;TraesCS5D01G033500;TraesCS2D01G285600;TraesCS3B01G313800;TraesCS3D01G509100;TraesCS3D01G005000;TraesCS4D01G202900;TraesCS4A01G116700;TraesCS3A01G249100;TraesCS2D01G091800;TraesCS7D01G419000;TraesCS2D01G065300;TraesCS2B01G285700;TraesCS6D01G139200;TraesCS7D01G036600;TraesCS7A01G040900;TraesCS2B01G118100;TraesCS5A01G495100;TraesCS3D01G248000;TraesCS1D01G147800;TraesCS6A01G088000;TraesCS6A01G159000;TraesCS6B01G368300;TraesCS4D01G314400;TraesCS5B01G556600;TraesCS3A01G334200;TraesCS1A01G133200;TraesCS2A01G591900;TraesCS1A01G301500;TraesCS5A01G511000;TraesCS1A01G189000;TraesCS3D01G249100;TraesCS7B01G066500;TraesCS3D01G211800;TraesCS2A01G256900;TraesCS2D01G273200;TraesCS3D01G310200;TraesCS4A01G169000;TraesCS2A01G469000;TraesCS7D01G183100;TraesCS4A01G183500;TraesCS6A01G023300;TraesCS7D01G536300;TraesCS2D01G381800;TraesCS3B01G004200;TraesCS6A01G325100;TraesCS5B01G418800;TraesCS4B01G083000;TraesCS1D01G441900;TraesCS5A01G503600;TraesCS2A01G344200;TraesCS7D01G409400;TraesCS7D01G398900;TraesCS1D01G123400;TraesCS4B01G318000;TraesCS2D01G065500;TraesCS5A01G025700;TraesCS5A01G138300;TraesCS3B01G397200;TraesCS4D01G129800;TraesCS7B01G186600;TraesCS7A01G206000;TraesCS1A01G266600;TraesCS3B01G461800;TraesCS4B01G135900;TraesCS4D01G215000;TraesCS7D01G431300;TraesCS4D01G000300;TraesCS2A01G331800;TraesCS7A01G557900;TraesCS6D01G172100;TraesCS2D01G562400;TraesCS1A01G435300;TraesCS2A01G075300;TraesCS7A01G488800;TraesCS3A01G228000;TraesCS7B01G263100;TraesCS5B01G024600;TraesCS7A01G152300;TraesCS3D01G440200;TraesCS5B01G322500;TraesCS7A01G510800;TraesCS2B01G427200;TraesCS6B01G466600;TraesCS2B01G335200;TraesCS2D01G217500;TraesCS3B01G169200;TraesCS4A01G213400;TraesCS2A01G584800;TraesCS3D01G359200;TraesCS6B01G213600;TraesCS6B01G118000;TraesCS6D01G312500;TraesCS5D01G353600;TraesCS5D01G099300;TraesCS7A01G175200;TraesCS7A01G293900;TraesCS6D01G228000;TraesCS3A01G208600;TraesCS3D01G407400;TraesCS4B01G167500;TraesCS4D01G147000;TraesCS6B01G270400;TraesCS2B01G479900;TraesCS3A01G158000;TraesCS4B01G350300;TraesCS3B01G183500;TraesCS7A01G426100;TraesCS1A01G309400;TraesCS2A01G122600;TraesCS4D01G003800;TraesCS6B01G202700;TraesCS5A01G281600;TraesCS1D01G375600;TraesCS7D01G500200;TraesCS4D01G150200;TraesCS2A01G066800;TraesCS2A01G521000;TraesCS7A01G075600;TraesCS5B01G481500;TraesCS2B01G131600;TraesCS3B01G562700;TraesCS1D01G420900;TraesCS4B01G047000;TraesCS4A01G136500;TraesCS4B01G205900;TraesCS4D01G176600;TraesCS3A01G366300;TraesCS7D01G146700;TraesCS4D01G277300;TraesCS1D01G191800;TraesCS3D01G110300;TraesCS7B01G047600;TraesCS3A01G306000;TraesCS3D01G307800;TraesCS4D01G166800;TraesCS5A01G520900;TraesCS6A01G372100;TraesCS5D01G519300;TraesCS7B01G253100;TraesCS1B01G145300;TraesCS3A01G241000;TraesCS6D01G139700;TraesCS2D01G382600;TraesCS5D01G434700;TraesCS1B01G093600;TraesCS5B01G054200;TraesCS7B01G048700;TraesCS5D01G017000;TraesCS4A01G078900;TraesCS7B01G459300;TraesCS6D01G163200;TraesCS3B01G239200;TraesCS1D01G237500;TraesCS6D01G002200;TraesCS5D01G118300;TraesCS7A01G404700;TraesCS7D01G272600;TraesCS4B01G117000;TraesCS3B01G392700;TraesCS6D01G403800;TraesCS2B01G402100;TraesCS2A01G306800;TraesCS1B01G193000;TraesCS2B01G144900;TraesCS2B01G350400;TraesCS6A01G161600;TraesCS7D01G510200;TraesCS1A01G234800;TraesCS2A01G577000;TraesCS3A01G276100;TraesCS2D01G065100;TraesCS6A01G341400;TraesCS4A01G020500;TraesCS7B01G291400;TraesCS5A01G426800;TraesCS2D01G406000;TraesCS7A01G416100;TraesCS2D01G582400;TraesCS6A01G421000;TraesCS3D01G506300;TraesCS7B01G327000;TraesCS4D01G085500;TraesCS7A01G156500;TraesCS3D01G166700;TraesCS6B01G467300;TraesCS4A01G188300;TraesCS5D01G131500;TraesCS1D01G308800;TraesCS3A01G502300;TraesCS6D01G287600;TraesCS6B01G331500;TraesCS6D01G321600;TraesCS6A01G063300;TraesCS2D01G315100;TraesCS7D01G228500;TraesCS5A01G237000;TraesCS5A01G411300;TraesCS4D01G001000;TraesCS3B01G603300;TraesCS1B01G168400;TraesCS3D01G519600;TraesCS6D01G135300;TraesCS3B01G116300;TraesCS3D01G165600;TraesCS7D01G418700;TraesCS1B01G152700;TraesCS5B01G222500;TraesCS3A01G279400;TraesCS7B01G304100;TraesCS6A01G280100;TraesCS6B01G084500;TraesCS4A01G165400;TraesCS5B01G524300;TraesCS5D01G216400;TraesCS2D01G489200;TraesCS5A01G435500;TraesCS2D01G278500;TraesCS5B01G319700;TraesCS3A01G038200;TraesCS7A01G251200;TraesCS3A01G351000;TraesCS6A01G277800;TraesCS7A01G155200;TraesCS3D01G117300;TraesCS1A01G234600;TraesCS3B01G108700;TraesCS1D01G127400;TraesCS4B01G002300;TraesCS7D01G363100;TraesCS7A01G145400;TraesCS1B01G471100;TraesCS4D01G074800;TraesCS2B01G291900;TraesCS1D01G396700;TraesCS4D01G081100;TraesCS6D01G335800;TraesCS4A01G398600;TraesCS1A01G126100;TraesCS7B01G489300;TraesCS4A01G321700;TraesCS6A01G206600;TraesCS7D01G417600;TraesCS7D01G050100;TraesCS2D01G562600;TraesCS2A01G025400;TraesCS7B01G305000;TraesCS3B01G011200;TraesCS5D01G398300;TraesCS4D01G329200;TraesCS6B01G177800;TraesCS4B01G000300;TraesCS5B01G171000;TraesCS6D01G093000;TraesCS4D01G319400;TraesCS1D01G411600;TraesCS6B01G353700;TraesCS7D01G418900;TraesCS7D01G357700;TraesCS3A01G330500;TraesCS4B01G150200;TraesCS1A01G237900;TraesCS4B01G089100;TraesCS7D01G161900;TraesCS7A01G335600;TraesCS5B01G061800;TraesCS6A01G149900;TraesCS2D01G409300;TraesCS7D01G452900;TraesCS5B01G458900;TraesCS4D01G086800;TraesCS7D01G111200;TraesCS7A01G226000;TraesCS7D01G207600;TraesCS4A01G145600;TraesCS7B01G316100;TraesCS3D01G295900;TraesCS4D01G206900;TraesCS4B01G143900;TraesCS5D01G065900;TraesCS2A01G447800;TraesCS7A01G181500;TraesCS7B01G111700;TraesCS3B01G085300;TraesCS2D01G565100;TraesCS4A01G198500;TraesCS4A01G035200;TraesCS5D01G124000;TraesCS7B01G304400;TraesCS5A01G317400;TraesCS1D01G090100;TraesCS3D01G527400;TraesCS1D01G124200;TraesCS4B01G127600;TraesCS7B01G019600;TraesCS7D01G165800;TraesCS5B01G166300;TraesCS7A01G331500;TraesCS2A01G067000;TraesCS7B01G250700;TraesCS7B01G326200;TraesCS5B01G246400;TraesCS2D01G065600;TraesCS6D01G236400;TraesCS5D01G153800;TraesCS3B01G119300;TraesCSU01G038600;TraesCS6B01G357700;TraesCS7D01G313600;TraesCS2A01G435100;TraesCS5B01G394000;TraesCS2A01G347800;TraesCSU01G082000;TraesCS6A01G351900;TraesCS7A01G146200;TraesCS2D01G301000;TraesCS7A01G389500;TraesCS4B01G217300;TraesCS4D01G339400;TraesCS5B01G294700;TraesCS5B01G523600;TraesCS3B01G437000;TraesCS3B01G185000;TraesCS7A01G113600;TraesCS5B01G112900;TraesCS5A01G169500;TraesCS5A01G295300;TraesCS7A01G549700;TraesCS7B01G421700;TraesCS2B01G318100;TraesCS7A01G426900;TraesCS7B01G165200;TraesCS2B01G079400;TraesCS5D01G302900;TraesCS7B01G350300;TraesCS7D01G382400;TraesCS3A01G499400;TraesCS3D01G403500;TraesCS2B01G193000;TraesCS7D01G399000;TraesCS1A01G027300;TraesCS2B01G535300;TraesCS6D01G318500;TraesCS3D01G225000;TraesCS3D01G151400;TraesCS2B01G592100;TraesCS2B01G007200;TraesCS4D01G159700;TraesCS2B01G024500;TraesCS5B01G109300;TraesCS3A01G229800;TraesCS3B01G598100;TraesCS7B01G131000;TraesCS1B01G107700;TraesCS3B01G260900;TraesCS7D01G251100;TraesCS2A01G067200;TraesCS4D01G120000;TraesCS4A01G143600;TraesCS2B01G366200;TraesCS7B01G086400;TraesCS5A01G329600;TraesCS7B01G316600;TraesCS3A01G295300;TraesCS3A01G314300;TraesCS2D01G346100;TraesCS6A01G337600;TraesCS2D01G433800;TraesCS4A01G150100;TraesCS5B01G025000;TraesCS7D01G552500;TraesCS5D01G336700;TraesCS7B01G006300;TraesCS3A01G149900;TraesCS7D01G267700;TraesCS4D01G236800;TraesCS4A01G143800;TraesCS6A01G302500;TraesCS3A01G135500;TraesCS4D01G170700;TraesCS6A01G174100;TraesCS3D01G164700;TraesCS3B01G419800;TraesCS4B01G192200;TraesCS7A01G310600;TraesCS3B01G470000;TraesCS3A01G083000;TraesCS4B01G052000;TraesCS6D01G112900;TraesCS5A01G075200;TraesCS6B01G393400;TraesCS4A01G301600;TraesCS7B01G262500;TraesCS7D01G162700;TraesCS2B01G079200;TraesCS4A01G227200;TraesCS7A01G426700;TraesCS7A01G055000;TraesCS7B01G243200;TraesCS5D01G552900;TraesCS1A01G415300;TraesCS3A01G157100;TraesCS5D01G231100;TraesCS2D01G544800;TraesCS3D01G008400;TraesCS3D01G275700;TraesCS6A01G002700;TraesCS5B01G365500;TraesCS2A01G591600;TraesCS3B01G008500;TraesCS6A01G122700;TraesCS7A01G161400;TraesCS2A01G570900;TraesCS3A01G360400;TraesCS3B01G235100;TraesCS7D01G339800;TraesCS4A01G059800;TraesCS2D01G065200;TraesCS4A01G129900;TraesCS4D01G125500;TraesCS7D01G414900;TraesCS3A01G231700;TraesCS5A01G223500;TraesCS2D01G265900;TraesCS2D01G378100;TraesCS4A01G185600;TraesCS1D01G228700;TraesCS6A01G302300;TraesCS4D01G195800;TraesCS7A01G404900;TraesCS3B01G134300;TraesCS7D01G385500;TraesCS3B01G528400;TraesCS4B01G194800;TraesCS1B01G285800;TraesCS2B01G341500;TraesCS4B01G375300;TraesCS7D01G421200;TraesCS1A01G353200;TraesCS4A01G441600;TraesCS2A01G159300;TraesCS6A01G398800;TraesCS1D01G390800;TraesCS6A01G255100;TraesCS4D01G359400;TraesCS1A01G276600;TraesCS7A01G489400;TraesCS6D01G360200;TraesCS1D01G440900;TraesCS3A01G239200;TraesCS3D01G229200;TraesCS6A01G154900;TraesCS1A01G287900;TraesCS2B01G550300;TraesCS2D01G135300;TraesCS6B01G170600;TraesCS3B01G259100;TraesCS4D01G087200;TraesCS6A01G346100;TraesCS1A01G088700;TraesCS5D01G328700;TraesCS2A01G488900;TraesCS4A01G000300;TraesCS7D01G475200;TraesCS6D01G281800;TraesCS6B01G031500;TraesCS5A01G236800;TraesCS5D01G033200;TraesCS7A01G337000;TraesCS5B01G137600;TraesCS7D01G397900;TraesCS1B01G246400;TraesCS5B01G446100;TraesCS4D01G099200;TraesCS2D01G065400;TraesCS2B01G599800;TraesCS3D01G358500;TraesCS7D01G419100;TraesCS4B01G363100;TraesCS5D01G285100;TraesCS5B01G123200;TraesCS2D01G322300;TraesCS2D01G542200;TraesCS2D01G500600;TraesCS7B01G255800;TraesCS5B01G428700;TraesCS3D01G298600;TraesCS5D01G140700;TraesCS3B01G379900;TraesCS3A01G227000;TraesCS3B01G344600;TraesCS3D01G221700;TraesCS1B01G050600;TraesCS5D01G372600;TraesCS5D01G208300;TraesCS6B01G031300;TraesCS7D01G385700;TraesCS7A01G465200;TraesCS7A01G561600;TraesCS5A01G220200;TraesCS6B01G273200;TraesCS7B01G113200;TraesCS6A01G303200;TraesCS1B01G409100</t>
  </si>
  <si>
    <t>TraesCS1D01G266700</t>
  </si>
  <si>
    <t>oxidoreductase activity, acting on paired donors, with oxidation of a pair of donors resulting in the reduction of molecular oxygen to two molecules of water</t>
  </si>
  <si>
    <t>TraesCS4D01G130700;TraesCS4B01G135900;TraesCS5D01G244700;TraesCS5A01G236800;TraesCS5A01G237000;TraesCS2A01G075300;TraesCS5B01G235900;TraesCS5A01G123600;TraesCS5D01G131500;TraesCS6A01G280100;TraesCS5B01G123200;TraesCS4A01G182700</t>
  </si>
  <si>
    <t>TraesCS1D01G274700</t>
  </si>
  <si>
    <t>cation:cation antiporter activity</t>
  </si>
  <si>
    <t>TraesCS1B01G314100;TraesCS5D01G268200;TraesCS5B01G149200;TraesCS6D01G096900;TraesCS1B01G307100;TraesCS3A01G340500;TraesCS6D01G290000;TraesCS2D01G523600;TraesCS6A01G108700;TraesCS6B01G137200</t>
  </si>
  <si>
    <t>TraesCS1D01G289300</t>
  </si>
  <si>
    <t>sucrose metabolic process</t>
  </si>
  <si>
    <t>TraesCS1D01G289600</t>
  </si>
  <si>
    <t>phospholipid metabolic process</t>
  </si>
  <si>
    <t>TraesCS1D01G375600;TraesCS7A01G569400;TraesCS5D01G219100;TraesCS5B01G132400;TraesCS5D01G231100;TraesCS1A01G369600;TraesCS2B01G154600;TraesCS7B01G489300;TraesCS6B01G331500;TraesCS6D01G281800;TraesCS7D01G543200;TraesCS4D01G161900;TraesCS4B01G352300;TraesCS1B01G388700;TraesCS1D01G116700;TraesCS4A01G143600;TraesCS7B01G086400;TraesCS5A01G520900;TraesCS5D01G519300;TraesCS5A01G132500;TraesCS5D01G285100;TraesCS4D01G128000;TraesCS3D01G331600;TraesCS1D01G375500;TraesCS5B01G222500;TraesCS5A01G202000;TraesCS1A01G115300;TraesCS7D01G183100;TraesCS5A01G223500;TraesCS4A01G165400;TraesCS4A01G185600;TraesCS1D01G375700;TraesCS5D01G140700;TraesCS2D01G546200;TraesCS4B01G152500;TraesCS6A01G302300;TraesCS4B01G133100;TraesCS4B01G267200;TraesCS5B01G277500;TraesCS4B01G217300;TraesCS3B01G134300;TraesCS5D01G208300;TraesCS4D01G346700;TraesCS5A01G278100;TraesCS1B01G135200;TraesCS3D01G117300;TraesCS4A01G301600;TraesCS2A01G447800;TraesCS7A01G181500</t>
  </si>
  <si>
    <t>TraesCS1D01G291100</t>
  </si>
  <si>
    <t>1-phosphatidylinositol binding</t>
  </si>
  <si>
    <t>TraesCS5D01G304500;TraesCS6A01G154100;TraesCS7A01G490500;TraesCS1A01G266200;TraesCS6D01G143700;TraesCS1D01G266400;TraesCS7D01G476900;TraesCS1B01G277200;TraesCS5B01G296700</t>
  </si>
  <si>
    <t>TraesCS1D01G309600</t>
  </si>
  <si>
    <t>clathrin coat assembly</t>
  </si>
  <si>
    <t>TraesCS1D01G317700</t>
  </si>
  <si>
    <t>phosphatidylinositol phosphorylation</t>
  </si>
  <si>
    <t>TraesCS7A01G569400;TraesCS7D01G543200;TraesCS4D01G161900;TraesCS4A01G165400;TraesCS4A01G185600;TraesCS4A01G143600;TraesCS5B01G132400;TraesCS2D01G546200;TraesCS4B01G152500;TraesCS5A01G132500;TraesCS4B01G133100;TraesCS4D01G128000;TraesCS7B01G489300</t>
  </si>
  <si>
    <t>TraesCS1D01G335300</t>
  </si>
  <si>
    <t>glycogen debranching enzyme activity</t>
  </si>
  <si>
    <t>TraesCS2A01G123800;TraesCS5A01G248700;TraesCS2B01G184900;TraesCS2D01G166600;TraesCS5D01G255800;TraesCS2A01G159300</t>
  </si>
  <si>
    <t>TraesCS1D01G343200</t>
  </si>
  <si>
    <t>lipid phosphorylation</t>
  </si>
  <si>
    <t>TraesCS1D01G357000</t>
  </si>
  <si>
    <t>phosphoethanolamine N-methyltransferase activity</t>
  </si>
  <si>
    <t>TraesCS1D01G375500;TraesCS1D01G375600;TraesCS1A01G369600;TraesCS1B01G388700;TraesCS1D01G375700</t>
  </si>
  <si>
    <t>TraesCS1D01G362100</t>
  </si>
  <si>
    <t>phosphatidylcholine biosynthetic process</t>
  </si>
  <si>
    <t>TraesCS1D01G362200</t>
  </si>
  <si>
    <t>Rho GTPase binding</t>
  </si>
  <si>
    <t>TraesCS3A01G305500;TraesCS1D01G400200;TraesCS3B01G331000;TraesCS6A01G196000;TraesCS1B01G420200;TraesCS4B01G219700;TraesCS1A01G392100;TraesCS3D01G296400;TraesCS6D01G183300</t>
  </si>
  <si>
    <t>TraesCS1D01G370400</t>
  </si>
  <si>
    <t>ion gated channel activity</t>
  </si>
  <si>
    <t>TraesCS5B01G376100;TraesCS2A01G321100;TraesCS3B01G144700;TraesCS4D01G091700;TraesCS7D01G202900;TraesCS4A01G216700;TraesCS7A01G200200;TraesCS7A01G199900;TraesCS4B01G094900;TraesCSU01G182900;TraesCS7D01G203200;TraesCS7B01G106900;TraesCS2B01G329800;TraesCS6A01G098500;TraesCS2A01G312800;TraesCSU01G108000;TraesCS2D01G311300;TraesCS5A01G374200;TraesCS2D01G342500;TraesCS2B01G246200;TraesCS3D01G126600;TraesCS2A01G220700</t>
  </si>
  <si>
    <t>TraesCS1D01G372300</t>
  </si>
  <si>
    <t>negative regulation of catalytic activity</t>
  </si>
  <si>
    <t>TraesCS6D01G011100;TraesCS5D01G100400;TraesCS6A01G007000;TraesCS2A01G344200;TraesCS1B01G147900;TraesCS5B01G458900;TraesCS2B01G551400;TraesCS5B01G507400;TraesCS5D01G498300;TraesCS2B01G107500;TraesCS2B01G546900;TraesCS5D01G460500;TraesCS3A01G171800;TraesCS4A01G116700;TraesCS5D01G519300;TraesCS2D01G091800;TraesCS2A01G518500;TraesCS5B01G215400;TraesCS1A01G403700;TraesCS2D01G519900;TraesCS2A01G092800</t>
  </si>
  <si>
    <t>TraesCS1D01G375500</t>
  </si>
  <si>
    <t>actin cytoskeleton</t>
  </si>
  <si>
    <t>TraesCS7D01G190300;TraesCS2B01G255200;TraesCS5D01G558600;TraesCS2A01G410700;TraesCS6A01G247000;TraesCS5B01G566200;TraesCS1A01G358500;TraesCS4A01G313500;TraesCS1B01G375000;TraesCS1D01G363400;TraesCS2A01G227300;TraesCS2B01G429500;TraesCS6B01G277600;TraesCS7B01G094100</t>
  </si>
  <si>
    <t>TraesCS1D01G375600</t>
  </si>
  <si>
    <t>unidimensional cell growth</t>
  </si>
  <si>
    <t>TraesCS7D01G147700;TraesCS5B01G025000;TraesCS2A01G240300;TraesCS5D01G033500;TraesCS4A01G089000;TraesCS7B01G086400;TraesCS4B01G215300;TraesCS1D01G144300;TraesCS5A01G025700;TraesCS4B01G219700;TraesCS6B01G331500;TraesCS5D01G002400;TraesCS7D01G380300;TraesCS3D01G407400</t>
  </si>
  <si>
    <t>TraesCS1D01G389900</t>
  </si>
  <si>
    <t>gated channel activity</t>
  </si>
  <si>
    <t>TraesCS1D01G400800</t>
  </si>
  <si>
    <t>TraesCS4D01G282000;TraesCS7B01G291100;TraesCS7D01G278300;TraesCS7B01G176400;TraesCS4B01G363100;TraesCS4A01G388600;TraesCS5B01G238300;TraesCS4A01G020500;TraesCS7A01G278500</t>
  </si>
  <si>
    <t>TraesCS1D01G404300</t>
  </si>
  <si>
    <t>lyase activity</t>
  </si>
  <si>
    <t>TraesCS7D01G443400;TraesCS7A01G365700;TraesCS2A01G066800;TraesCS4D01G215800;TraesCS3B01G259300;TraesCS4B01G215300;TraesCS7A01G075600;TraesCS7A01G454300;TraesCS3D01G223300;TraesCS2B01G024500;TraesCS2D01G423500;TraesCS7B01G261700;TraesCS3B01G008500;TraesCS1D01G114800;TraesCS6D01G170500;TraesCS5B01G166300;TraesCS2A01G067200;TraesCS5A01G236600;TraesCS2A01G067000;TraesCS3A01G230000;TraesCS3B01G011200;TraesCS2A01G088600;TraesCS2B01G079500;TraesCS2D01G065600;TraesCS2D01G065400;TraesCS2D01G065200;TraesCS5D01G465300;TraesCS3D01G519600;TraesCS2B01G079100;TraesCS5B01G220000;TraesCS7B01G354800;TraesCS1A01G113400;TraesCS2A01G066900;TraesCS4A01G089000;TraesCS2A01G066700;TraesCS1D01G207200;TraesCS5A01G221200;TraesCS2D01G007000;TraesCS5D01G173900;TraesCS7A01G219100;TraesCS2D01G537200;TraesCS3A01G093000;TraesCS2A01G067100;TraesCS2A01G067300;TraesCS2B01G104000;TraesCS5A01G169500;TraesCS3D01G005000;TraesCS2D01G086300;TraesCS2D01G065500;TraesCS6A01G184500;TraesCS1B01G133500;TraesCS5D01G228900;TraesCS2D01G065300;TraesCS2D01G065100;TraesCS4D01G359400;TraesCS2B01G079400;TraesCS5B01G014900;TraesCS2B01G079200</t>
  </si>
  <si>
    <t>TraesCS1D01G411500</t>
  </si>
  <si>
    <t>starch catabolic process</t>
  </si>
  <si>
    <t>TraesCS2A01G123800;TraesCS5A01G248700;TraesCS2B01G184900;TraesCS2D01G166600;TraesCS5D01G255800;TraesCS4D01G339400;TraesCS2A01G159300</t>
  </si>
  <si>
    <t>TraesCS1D01G411600</t>
  </si>
  <si>
    <t>dephosphorylation</t>
  </si>
  <si>
    <t>TraesCS4D01G129800;TraesCS7D01G521000;TraesCS7D01G183100;TraesCS3A01G329700;TraesCS4A01G183500;TraesCS4D01G087200;TraesCS2A01G412100;TraesCS1B01G224300;TraesCS6A01G302300;TraesCS2A01G364400;TraesCS7B01G450800;TraesCS4D01G159700;TraesCS2B01G374900;TraesCS5B01G277500;TraesCS4B01G135100;TraesCS7A01G423900;TraesCS3B01G134300;TraesCS6B01G331500;TraesCS4B01G194800;TraesCS6D01G281800;TraesCS3B01G359800;TraesCS5A01G532400;TraesCS2D01G409300;TraesCS7D01G417600;TraesCS2D01G354600;TraesCS2D01G315100;TraesCS7B01G326200;TraesCS5A01G278100;TraesCS7B01G086400;TraesCS3D01G117300;TraesCS2B01G382900;TraesCS7D01G095900;TraesCS5A01G239500;TraesCS2B01G430700;TraesCS5D01G285100;TraesCS3D01G331600;TraesCS2B01G335200;TraesCS4B01G363800;TraesCS7A01G181500</t>
  </si>
  <si>
    <t>TraesCS1D01G417400</t>
  </si>
  <si>
    <t>monocarboxylic acid metabolic process</t>
  </si>
  <si>
    <t>TraesCS4D01G093600;TraesCS2D01G135300;TraesCS5D01G219100;TraesCS7A01G206000;TraesCS7B01G210400;TraesCS5D01G244700;TraesCS7A01G075600;TraesCS1D01G147800;TraesCS7B01G019600;TraesCS2A01G507700;TraesCS2B01G131600;TraesCS5D01G131500;TraesCS1D01G420900;TraesCS2A01G385100;TraesCS4D01G314400;TraesCS6D01G321600;TraesCS1B01G440000;TraesCS3D01G279300;TraesCS7D01G307100;TraesCS4D01G176600;TraesCS2B01G528300;TraesCS5A01G236800;TraesCS2A01G075300;TraesCS4D01G277300;TraesCS5A01G123600;TraesCS4D01G120000;TraesCS1A01G355200;TraesCS3D01G110300;TraesCS6A01G359900;TraesCS4A01G218400;TraesCS7D01G228500;TraesCS4D01G329200;TraesCS6A01G026800;TraesCS5A01G237000;TraesCS1B01G168400;TraesCS6D01G139700;TraesCS7D01G101900;TraesCS5B01G123200;TraesCS5A01G195500;TraesCS1B01G093600;TraesCS1B01G366400;TraesCS4A01G129900;TraesCS5D01G017000;TraesCS3A01G279400;TraesCS7D01G208600;TraesCS7B01G006300;TraesCS4D01G045300;TraesCS4B01G332500;TraesCS7D01G351000;TraesCS7B01G255800;TraesCS6A01G226500;TraesCS5A01G076500;TraesCS4B01G045400;TraesCS5B01G235900;TraesCS2D01G381800;TraesCS2B01G156800;TraesCS4A01G025300;TraesCS7A01G310600;TraesCS4B01G278800;TraesCS5B01G418800;TraesCS5A01G503600;TraesCS6D01G208500;TraesCS2B01G402100;TraesCS7D01G488800;TraesCS3A01G108500;TraesCS3B01G313800;TraesCS7A01G226000;TraesCS7A01G561600;TraesCS4B01G318000;TraesCS7B01G193600;TraesCS5A01G220200;TraesCS6A01G150000;TraesCS3D01G276000;TraesCS3A01G276100;TraesCS4A01G301600;TraesCS7B01G113200;TraesCS6A01G341400</t>
  </si>
  <si>
    <t>TraesCS1D01G426600</t>
  </si>
  <si>
    <t>guanyl-nucleotide exchange factor activity</t>
  </si>
  <si>
    <t>TraesCS3D01G246200;TraesCS3A01G245300;TraesCS3A01G305500;TraesCS1D01G400200;TraesCS3B01G331000;TraesCS6A01G196000;TraesCS3B01G274600;TraesCS1B01G420200;TraesCS1A01G392100;TraesCS3D01G296400;TraesCS6D01G183300</t>
  </si>
  <si>
    <t>TraesCS1D01G440900</t>
  </si>
  <si>
    <t>plant-type cell wall organization</t>
  </si>
  <si>
    <t>TraesCS5B01G025000;TraesCS7A01G136600;TraesCS7D01G136500;TraesCS5D01G033500;TraesCS7A01G399100;TraesCS2A01G066600;TraesCS4A01G089000;TraesCS7B01G197100;TraesCS3B01G376900;TraesCS2A01G123800;TraesCS7D01G284000;TraesCS4B01G215300;TraesCS5A01G248700;TraesCS1D01G144300;TraesCS7B01G299700;TraesCS3D01G338400;TraesCS2D01G065000;TraesCS3D01G338600;TraesCS5A01G025700;TraesCS6B01G331500;TraesCS5D01G002400;TraesCS7D01G380300</t>
  </si>
  <si>
    <t>TraesCS1D01G441900</t>
  </si>
  <si>
    <t>lipid modification</t>
  </si>
  <si>
    <t>TraesCS7A01G569400;TraesCS7D01G183100;TraesCS4A01G165400;TraesCS4A01G185600;TraesCS5B01G132400;TraesCS2D01G546200;TraesCS4B01G152500;TraesCS6A01G302300;TraesCS4B01G133100;TraesCS5B01G277500;TraesCS7B01G489300;TraesCS3B01G134300;TraesCS6B01G331500;TraesCS6D01G281800;TraesCS7D01G543200;TraesCS4D01G161900;TraesCS4A01G143600;TraesCS5A01G278100;TraesCS7B01G086400;TraesCS3D01G117300;TraesCS5A01G132500;TraesCS5D01G285100;TraesCS4D01G128000;TraesCS3D01G331600;TraesCS7A01G181500</t>
  </si>
  <si>
    <t>TraesCS1D01G451500</t>
  </si>
  <si>
    <t>pectin catabolic process</t>
  </si>
  <si>
    <t>TraesCS3B01G598100;TraesCS5D01G099300;TraesCS4A01G116700;TraesCS2D01G091800;TraesCS2A01G344200;TraesCS3B01G354300;TraesCS2B01G024500;TraesCS5B01G458900</t>
  </si>
  <si>
    <t>TraesCS2A01G002000</t>
  </si>
  <si>
    <t>clathrin binding</t>
  </si>
  <si>
    <t>TraesCS2A01G007000</t>
  </si>
  <si>
    <t>acyl-[acyl-carrier-protein] desaturase activity</t>
  </si>
  <si>
    <t>TraesCS5D01G244700;TraesCS5A01G236800;TraesCS5A01G237000;TraesCS2A01G075300;TraesCS5B01G235900;TraesCS5A01G123600;TraesCS5D01G131500;TraesCS5B01G123200</t>
  </si>
  <si>
    <t>TraesCS2A01G010000</t>
  </si>
  <si>
    <t>negative regulation of molecular function</t>
  </si>
  <si>
    <t>TraesCS2A01G014800</t>
  </si>
  <si>
    <t>carbon-oxygen lyase activity, acting on polysaccharides</t>
  </si>
  <si>
    <t>TraesCS6D01G170500;TraesCS6A01G184500;TraesCS7A01G365700;TraesCS2B01G024500;TraesCS7B01G261700</t>
  </si>
  <si>
    <t>TraesCS2A01G014900</t>
  </si>
  <si>
    <t>pectate lyase activity</t>
  </si>
  <si>
    <t>TraesCS2A01G015400</t>
  </si>
  <si>
    <t>glucan catabolic process</t>
  </si>
  <si>
    <t>TraesCS2A01G123800;TraesCS5A01G248700;TraesCS5D01G323700;TraesCS2B01G184900;TraesCS2D01G166600;TraesCS5D01G255800;TraesCS5A01G317400;TraesCS4D01G339400;TraesCS2A01G159300</t>
  </si>
  <si>
    <t>TraesCS2A01G015600</t>
  </si>
  <si>
    <t>cellular polysaccharide catabolic process</t>
  </si>
  <si>
    <t>TraesCS2A01G044900</t>
  </si>
  <si>
    <t>lipid biosynthetic process</t>
  </si>
  <si>
    <t>TraesCS1D01G375600;TraesCS4D01G093600;TraesCS7B01G142500;TraesCS2D01G135300;TraesCS5D01G219100;TraesCS7A01G206000;TraesCS7A01G538700;TraesCS3D01G485000;TraesCS1D01G147800;TraesCS4D01G215000;TraesCS2A01G507700;TraesCS2B01G007200;TraesCS5D01G328700;TraesCS1A01G369600;TraesCS2A01G331800;TraesCS2D01G016300;TraesCS5D01G131500;TraesCS1D01G420900;TraesCS2A01G385100;TraesCS4D01G314400;TraesCS6D01G321600;TraesCS3D01G279300;TraesCS4D01G277300;TraesCS5A01G123600;TraesCS6D01G258300;TraesCS1B01G388700;TraesCS4A01G218400;TraesCS4D01G329200;TraesCS6A01G026800;TraesCS5D01G519300;TraesCS5B01G322500;TraesCS1B01G168400;TraesCS6D01G139700;TraesCS5A01G321800;TraesCS7D01G101900;TraesCS5B01G123200;TraesCS1A01G385500;TraesCS5A01G195500;TraesCS1D01G375500;TraesCS5D01G017000;TraesCS3A01G279400;TraesCS7D01G208600;TraesCS7B01G006300;TraesCS7B01G459300;TraesCS4B01G332500;TraesCS7D01G351000;TraesCS1D01G375700;TraesCS7B01G255800;TraesCS6A01G226500;TraesCS5A01G076500;TraesCS2D01G381800;TraesCS2B01G156800;TraesCS4B01G267200;TraesCS4A01G025300;TraesCS6A01G277800;TraesCS4B01G278800;TraesCS7A01G335600;TraesCS5B01G418800;TraesCS3A01G425500;TraesCS5A01G503600;TraesCS6D01G208500;TraesCS2B01G402100;TraesCS7D01G488800;TraesCS7D01G111200;TraesCS3B01G313800;TraesCS2B01G350400;TraesCS4B01G318000;TraesCS5A01G220200;TraesCS2B01G302400;TraesCS6A01G150000;TraesCS4A01G301600;TraesCS7B01G113200;TraesCS6A01G341400;TraesCS2A01G447800</t>
  </si>
  <si>
    <t>TraesCS2A01G050400</t>
  </si>
  <si>
    <t>polygalacturonase activity</t>
  </si>
  <si>
    <t>TraesCS6A01G084500;TraesCS7B01G304500;TraesCS7D01G399000;TraesCS2A01G469000;TraesCS7B01G304100;TraesCS5D01G481800;TraesCS7B01G304400;TraesCS6B01G118000;TraesCS1B01G382700;TraesCS7D01G397900;TraesCS7D01G398900;TraesCS5B01G481500;TraesCS6A01G159000;TraesCS7A01G405000;TraesCS7A01G404900;TraesCS7A01G404700</t>
  </si>
  <si>
    <t>TraesCS2A01G062600</t>
  </si>
  <si>
    <t>N-acylphosphatidylethanolamine-specific phospholipase D activity</t>
  </si>
  <si>
    <t>TraesCS5B01G222500;TraesCS5A01G202000;TraesCS1A01G115300;TraesCS4B01G352300;TraesCS1D01G116700;TraesCS5D01G208300</t>
  </si>
  <si>
    <t>TraesCS2A01G066700</t>
  </si>
  <si>
    <t>clathrin-coated vesicle</t>
  </si>
  <si>
    <t>TraesCS5D01G304500;TraesCS6A01G154100;TraesCS7A01G490500;TraesCS7D01G264700;TraesCS1A01G266200;TraesCS6D01G143700;TraesCS1D01G266400;TraesCS7D01G476900;TraesCS1B01G277200;TraesCS5B01G296700</t>
  </si>
  <si>
    <t>TraesCS2A01G066800</t>
  </si>
  <si>
    <t>myosin complex</t>
  </si>
  <si>
    <t>TraesCS1B01G375000;TraesCS1D01G363400;TraesCS7D01G190300;TraesCS5D01G558600;TraesCS5B01G566200;TraesCS1A01G358500;TraesCS4A01G313500;TraesCS7B01G094100</t>
  </si>
  <si>
    <t>TraesCS2A01G066900</t>
  </si>
  <si>
    <t>ion antiporter activity</t>
  </si>
  <si>
    <t>TraesCS2A01G067000</t>
  </si>
  <si>
    <t>cellular metabolic compound salvage</t>
  </si>
  <si>
    <t>TraesCS2A01G067100</t>
  </si>
  <si>
    <t>4-alpha-glucanotransferase activity</t>
  </si>
  <si>
    <t>TraesCS2A01G123800;TraesCS2B01G184900;TraesCS2D01G166600;TraesCS2A01G159300</t>
  </si>
  <si>
    <t>TraesCS2A01G067200</t>
  </si>
  <si>
    <t>maltose catabolic process</t>
  </si>
  <si>
    <t>TraesCS2A01G067300</t>
  </si>
  <si>
    <t>Ras guanyl-nucleotide exchange factor activity</t>
  </si>
  <si>
    <t>TraesCS3A01G305500;TraesCS1D01G400200;TraesCS3B01G331000;TraesCS6A01G196000;TraesCS1B01G420200;TraesCS1A01G392100;TraesCS3D01G296400;TraesCS6D01G183300</t>
  </si>
  <si>
    <t>TraesCS2A01G075000</t>
  </si>
  <si>
    <t>Rho guanyl-nucleotide exchange factor activity</t>
  </si>
  <si>
    <t>TraesCS2A01G091000</t>
  </si>
  <si>
    <t>calcium ion transmembrane transport</t>
  </si>
  <si>
    <t>TraesCS4A01G046800;TraesCS1B01G324000;TraesCS4B01G258000;TraesCS6D01G096900;TraesCS3B01G519000;TraesCS3D01G470100;TraesCS4D01G257900;TraesCS6A01G108700;TraesCS6B01G137200</t>
  </si>
  <si>
    <t>TraesCS2A01G091100</t>
  </si>
  <si>
    <t>plant-type cell wall organization or biogenesis</t>
  </si>
  <si>
    <t>TraesCS5B01G025000;TraesCS7A01G136600;TraesCS7D01G136500;TraesCS4A01G078900;TraesCS5D01G033500;TraesCS7A01G399100;TraesCS1A01G266600;TraesCS2A01G066600;TraesCS4A01G089000;TraesCS7B01G197100;TraesCS3B01G376900;TraesCS2A01G123800;TraesCS7D01G284000;TraesCS4B01G215300;TraesCS5A01G248700;TraesCS1D01G144300;TraesCS7B01G299700;TraesCS3D01G338400;TraesCS2D01G065000;TraesCS3D01G338600;TraesCS5A01G025700;TraesCS6B01G331500;TraesCS5D01G002400;TraesCS7D01G380300</t>
  </si>
  <si>
    <t>TraesCS2A01G098000</t>
  </si>
  <si>
    <t>MAP kinase activity</t>
  </si>
  <si>
    <t>TraesCS3B01G260900;TraesCS1D01G422800;TraesCS3A01G228000;TraesCS3B01G256700;TraesCS3D01G221700;TraesCS7D01G414900;TraesCS1A01G415300;TraesCS3A01G231700;TraesCS1B01G445300</t>
  </si>
  <si>
    <t>TraesCS2A01G145100</t>
  </si>
  <si>
    <t>developmental cell growth</t>
  </si>
  <si>
    <t>TraesCS2A01G153000</t>
  </si>
  <si>
    <t>developmental growth involved in morphogenesis</t>
  </si>
  <si>
    <t>TraesCS2A01G195000</t>
  </si>
  <si>
    <t>cellular carbohydrate catabolic process</t>
  </si>
  <si>
    <t>TraesCS2A01G123800;TraesCS5A01G248700;TraesCS7A01G357800;TraesCS5D01G323700;TraesCS2B01G184900;TraesCS2D01G166600;TraesCS5D01G255800;TraesCS5A01G317400;TraesCS4D01G339400;TraesCS2A01G159300</t>
  </si>
  <si>
    <t>TraesCS2A01G205300</t>
  </si>
  <si>
    <t>monovalent cation:proton antiporter activity</t>
  </si>
  <si>
    <t>TraesCS1B01G314100;TraesCS5D01G268200;TraesCS5B01G149200;TraesCS1B01G307100;TraesCS3A01G340500;TraesCS6D01G290000;TraesCS2D01G523600</t>
  </si>
  <si>
    <t>TraesCS2A01G210100</t>
  </si>
  <si>
    <t>primary metabolic process</t>
  </si>
  <si>
    <t>TraesCS7D01G147700;TraesCS6B01G439100;TraesCS2D01G116700;TraesCS6B01G133500;TraesCS6B01G213500;TraesCS4A01G238600;TraesCS1B01G433300;TraesCS1A01G229300;TraesCS3D01G485000;TraesCS6D01G264200;TraesCS3A01G013400;TraesCS1A01G369600;TraesCS3B01G354300;TraesCS6B01G182900;TraesCS6D01G323500;TraesCS6B01G006500;TraesCS1A01G355200;TraesCS1A01G227100;TraesCS4B01G235400;TraesCS1D01G357000;TraesCS1B01G409200;TraesCS1B01G445300;TraesCS3A01G071500;TraesCS5B01G331300;TraesCS4D01G125100;TraesCS6B01G110400;TraesCS7D01G521000;TraesCS6D01G404800;TraesCS1B01G320400;TraesCS1D01G375700;TraesCS7B01G450800;TraesCS2B01G051300;TraesCS4A01G077500;TraesCS2B01G156800;TraesCS4B01G267200;TraesCS6D01G172000;TraesCS5A01G173200;TraesCS4A01G321800;TraesCS4D01G130700;TraesCS3A01G425500;TraesCS7B01G326900;TraesCS7A01G385800;TraesCS3B01G365200;TraesCS1D01G404300;TraesCS4D01G021100;TraesCS7A01G520500;TraesCS4B01G077600;TraesCS3B01G483500;TraesCS2A01G500400;TraesCS2B01G430700;TraesCS5D01G434800;TraesCS5B01G138300;TraesCS4D01G093600;TraesCS5B01G379300;TraesCS1B01G368600;TraesCS3B01G169300;TraesCS4A01G018100;TraesCS5D01G088700;TraesCS6B01G363800;TraesCS6D01G184000;TraesCS2D01G507700;TraesCS1D01G207100;TraesCS3D01G359300;TraesCS7B01G034400;TraesCS4B01G259400;TraesCS2B01G154600;TraesCS2A01G385100;TraesCS1A01G403800;TraesCS6D01G061500;TraesCS7A01G383800;TraesCS7D01G543200;TraesCS5B01G242400;TraesCS7B01G080300;TraesCS5D01G481800;TraesCS1D01G187400;TraesCS2A01G302300;TraesCS4B01G130300;TraesCS7B01G153600;TraesCSU01G018400;TraesCS7D01G101900;TraesCS7D01G344700;TraesCS5A01G472400;TraesCS1B01G366400;TraesCS1D01G375500;TraesCS3B01G276700;TraesCS1A01G115300;TraesCS2B01G591900;TraesCS6A01G226500;TraesCS6B01G312000;TraesCS2A01G272400;TraesCS5B01G235900;TraesCS5B01G277500;TraesCS5D01G194800;TraesCS5D01G173900;TraesCS7A01G381400;TraesCS6D01G208500;TraesCS6A01G353500;TraesCS3A01G366400;TraesCS4D01G346700;TraesCS4A01G182700;TraesCS5A01G278100;TraesCS7D01G155500;TraesCS1D01G389900;TraesCS7D01G418600;TraesCS1A01G153400;TraesCS7B01G142500;TraesCS5B01G556000;TraesCS3A01G208900;TraesCS3D01G196000;TraesCS3B01G256700;TraesCS2D01G354600;TraesCS6A01G359900;TraesCS6B01G117400;TraesCS2A01G457500;TraesCS3D01G322900;TraesCS7B01G448900;TraesCS7D01G289800;TraesCS5A01G132500;TraesCSU01G021800;TraesCS3D01G331600;TraesCS7A01G426600;TraesCS6D01G026300;TraesCS7B01G436900;TraesCS2D01G460900;TraesCS1A01G317300;TraesCS2B01G184900;TraesCS2B01G141700;TraesCS7D01G351000;TraesCS5A01G054700;TraesCS5A01G076500;TraesCS2D01G546200;TraesCS5D01G305200;TraesCS3A01G447500;TraesCS6A01G367300;TraesCS3D01G420300;TraesCS2D01G126100;TraesCS3D01G041700;TraesCS4A01G484800;TraesCS3A01G108500;TraesCS3A01G490100;TraesCS3D01G395000;TraesCS3B01G433600;TraesCS3D01G276000;TraesCS4B01G233600;TraesCS4A01G064600;TraesCS2D01G166600;TraesCS1D01G234700;TraesCS7A01G359700;TraesCS6B01G332900;TraesCS6D01G329000;TraesCS7D01G227100;TraesCS1B01G249000;TraesCS7D01G241800;TraesCS2A01G123800;TraesCS1D01G422800;TraesCS2B01G374900;TraesCS3D01G279300;TraesCS7B01G059300;TraesCS5B01G307800;TraesCS2A01G210100;TraesCS5A01G123600;TraesCS4B01G218000;TraesCS5D01G553500;TraesCS4A01G492600;TraesCS5A01G239500;TraesCS4D01G128000;TraesCS1A01G385500;TraesCS4B01G195200;TraesCS5A01G202000;TraesCS5B01G081500;TraesCS7B01G291300;TraesCS1B01G171500;TraesCS2A01G414800;TraesCS4D01G085600;TraesCS6B01G337100;TraesCS4B01G152500;TraesCS1A01G382200;TraesCS1B01G297300;TraesCS3D01G477200;TraesCS6A01G376200;TraesCS1B01G382700;TraesCS1B01G135200;TraesCS7D01G346700;TraesCS1D01G276100;TraesCS6A01G182800;TraesCS2B01G302400;TraesCS1B01G244800;TraesCS1D01G234500;TraesCS4A01G399600;TraesCS7A01G204500;TraesCS4B01G149500;TraesCS6A01G152400;TraesCS5B01G132400;TraesCS2B01G516700;TraesCS6A01G245600;TraesCS7A01G538700;TraesCS4B01G267900;TraesCS5D01G244700;TraesCS3A01G420400;TraesCS2A01G507700;TraesCS7A01G389600;TraesCS2D01G016300;TraesCS4B01G135100;TraesCS6A01G084500;TraesCS7D01G010000;TraesCS7D01G276300;TraesCS2B01G297300;TraesCS6D01G258300;TraesCS1D01G116700;TraesCS6A01G269800;TraesCS1A01G339400;TraesCS7B01G169700;TraesCS1A01G203700;TraesCS4B01G162700;TraesCS5A01G321800;TraesCS7A01G489300;TraesCS7B01G304500;TraesCS7D01G208600;TraesCS2D01G003200;TraesCS4B01G332500;TraesCS2A01G324800;TraesCS5A01G558300;TraesCS6A01G023100;TraesCS4B01G071600;TraesCS4D01G052200;TraesCS6D01G350300;TraesCS3B01G427100;TraesCS5A01G110100;TraesCS4D01G169800;TraesCS6B01G278800;TraesCS4A01G025300;TraesCS4B01G102400;TraesCS7A01G272400;TraesCS4A01G445000;TraesCS3D01G380700;TraesCS4B01G344300;TraesCS7B01G193600;TraesCS6A01G150000;TraesCS5D01G323700;TraesCS6A01G104300;TraesCS5D01G566700;TraesCS1A01G383100;TraesCS3D01G323900;TraesCS7A01G357800;TraesCS7A01G569400;TraesCS1D01G317200;TraesCS3B01G236500;TraesCS6A01G192900;TraesCS5D01G401500;TraesCS1D01G151900;TraesCS2A01G230100;TraesCS3A01G135400;TraesCS5D01G177700;TraesCS5D01G152400;TraesCS5D01G261000;TraesCS7D01G232700;TraesCS2D01G027400;TraesCS4D01G161900;TraesCS3A01G400600;TraesCS5D01G255800;TraesCS4A01G218400;TraesCS1D01G444300;TraesCS2A01G120800;TraesCS2A01G279600;TraesCS7A01G405000;TraesCS4A01G001100;TraesCS1D01G232700;TraesCS2A01G275000;TraesCS5A01G363400;TraesCS1A01G396200;TraesCS4A01G173100;TraesCS4B01G030100;TraesCS7B01G392000;TraesCS5A01G298500;TraesCS3A01G065700;TraesCS3D01G151500;TraesCS3A01G254900;TraesCS2A01G412100;TraesCS1B01G442400;TraesCS7A01G010200;TraesCS4A01G172000;TraesCS4B01G278800;TraesCS5B01G110400;TraesCS2A01G067300;TraesCS7D01G488800;TraesCS5B01G227600;TraesCS6A01G283700;TraesCS5A01G138700;TraesCS3B01G270600;TraesCS7B01G283300;TraesCS4A01G322400;TraesCS4D01G114700;TraesCS7D01G380300;TraesCS2A01G408900;TraesCS2A01G215300;TraesCS2A01G507300;TraesCS7A01G267000;TraesCS5D01G219100;TraesCS5B01G428600;TraesCS1B01G224300;TraesCS3A01G248000;TraesCS5A01G248700;TraesCS7A01G427000;TraesCS1A01G034600;TraesCS7B01G286600;TraesCS2B01G528300;TraesCS3B01G330500;TraesCS4B01G352300;TraesCS1B01G388700;TraesCS2B01G251700;TraesCS4B01G375400;TraesCS1B01G329700;TraesCS7B01G473200;TraesCS5A01G330900;TraesCS6B01G386100;TraesCS6A01G026800;TraesCS2B01G434000;TraesCS6B01G150900;TraesCS1B01G416800;TraesCS5A01G195500;TraesCS5B01G297700;TraesCS5A01G384500;TraesCS6D01G144800;TraesCS5D01G437000;TraesCS4A01G187900;TraesCS1D01G390700;TraesCS2B01G540200;TraesCS5A01G513200;TraesCS6D01G002800;TraesCS5D01G288700;TraesCS4B01G133100;TraesCS7A01G423900;TraesCS3B01G157500;TraesCS2A01G344000;TraesCS7B01G139900;TraesCS4D01G361600;TraesCS5D01G033500;TraesCS2D01G285600;TraesCS3B01G313800;TraesCS3D01G509100;TraesCS3D01G005000;TraesCS4D01G202900;TraesCS4A01G116700;TraesCS3A01G249100;TraesCS2D01G091800;TraesCS7D01G419000;TraesCS2B01G285700;TraesCS6D01G139200;TraesCS7D01G036600;TraesCS7A01G040900;TraesCS5A01G495100;TraesCS3D01G248000;TraesCS1D01G147800;TraesCS6A01G088000;TraesCS6A01G159000;TraesCS6B01G368300;TraesCS4D01G314400;TraesCS5B01G556600;TraesCS3A01G334200;TraesCS1A01G133200;TraesCS2A01G591900;TraesCS5A01G511000;TraesCS1A01G189000;TraesCS3D01G249100;TraesCS7B01G066500;TraesCS3D01G211800;TraesCS2A01G256900;TraesCS2D01G273200;TraesCS4A01G169000;TraesCS2A01G469000;TraesCS7D01G183100;TraesCS4A01G183500;TraesCS6A01G023300;TraesCS7D01G536300;TraesCS2D01G381800;TraesCS3B01G004200;TraesCS6A01G325100;TraesCS5B01G418800;TraesCS4B01G083000;TraesCS1D01G441900;TraesCS5A01G503600;TraesCS2A01G344200;TraesCS7D01G409400;TraesCS7D01G398900;TraesCS4B01G318000;TraesCS2D01G065500;TraesCS5A01G025700;TraesCS5A01G138300;TraesCS4D01G129800;TraesCS7B01G186600;TraesCS7A01G206000;TraesCS1A01G266600;TraesCS3B01G461800;TraesCS4B01G135900;TraesCS4D01G215000;TraesCS7D01G431300;TraesCS4D01G000300;TraesCS2A01G331800;TraesCS7A01G557900;TraesCS6D01G172100;TraesCS2D01G562400;TraesCS1A01G435300;TraesCS2A01G075300;TraesCS7A01G488800;TraesCS3A01G228000;TraesCS7B01G263100;TraesCS5B01G024600;TraesCS7A01G152300;TraesCS3D01G440200;TraesCS5B01G322500;TraesCS7A01G510800;TraesCS2B01G427200;TraesCS6B01G466600;TraesCS2B01G335200;TraesCS2D01G217500;TraesCS3B01G169200;TraesCS4A01G213400;TraesCS2A01G584800;TraesCS3D01G359200;TraesCS6B01G213600;TraesCS6B01G118000;TraesCS6D01G312500;TraesCS5D01G099300;TraesCS7A01G175200;TraesCS7A01G293900;TraesCS6D01G228000;TraesCS3A01G208600;TraesCS3D01G407400;TraesCS4B01G167500;TraesCS4D01G147000;TraesCS6B01G270400;TraesCS2B01G479900;TraesCS3A01G158000;TraesCS4B01G350300;TraesCS3B01G183500;TraesCS7A01G426100;TraesCS1A01G309400;TraesCS2A01G122600;TraesCS4D01G003800;TraesCS6B01G202700;TraesCS5A01G281600;TraesCS1D01G375600;TraesCS7D01G500200;TraesCS4D01G150200;TraesCS2A01G521000;TraesCS7A01G075600;TraesCS5B01G481500;TraesCS2B01G131600;TraesCS3B01G562700;TraesCS1D01G420900;TraesCS4B01G047000;TraesCS4A01G136500;TraesCS4B01G205900;TraesCS4D01G176600;TraesCS3A01G366300;TraesCS7D01G146700;TraesCS4D01G277300;TraesCS1D01G191800;TraesCS3D01G110300;TraesCS7B01G047600;TraesCS3A01G306000;TraesCS3D01G307800;TraesCS4D01G166800;TraesCS5A01G520900;TraesCS5D01G519300;TraesCS7B01G253100;TraesCS1B01G145300;TraesCS3A01G241000;TraesCS6D01G139700;TraesCS2D01G382600;TraesCS5D01G434700;TraesCS1B01G093600;TraesCS5B01G054200;TraesCS7B01G048700;TraesCS5D01G017000;TraesCS4A01G078900;TraesCS7B01G459300;TraesCS6D01G163200;TraesCS3B01G239200;TraesCS1D01G237500;TraesCS6D01G002200;TraesCS5D01G118300;TraesCS7A01G404700;TraesCS7D01G272600;TraesCS4B01G117000;TraesCS6D01G403800;TraesCS2B01G402100;TraesCS2A01G306800;TraesCS1B01G193000;TraesCS2B01G144900;TraesCS2B01G350400;TraesCS6A01G161600;TraesCS7D01G510200;TraesCS2A01G577000;TraesCS3A01G276100;TraesCS6A01G341400;TraesCS4A01G020500;TraesCS7B01G291400;TraesCS5A01G426800;TraesCS2D01G406000;TraesCS7A01G416100;TraesCS2D01G582400;TraesCS6A01G421000;TraesCS3D01G506300;TraesCS7B01G327000;TraesCS4D01G085500;TraesCS3D01G166700;TraesCS6B01G467300;TraesCS4A01G188300;TraesCS5D01G131500;TraesCS1D01G308800;TraesCS3A01G502300;TraesCS6D01G287600;TraesCS6B01G331500;TraesCS6D01G321600;TraesCS6A01G063300;TraesCS2D01G315100;TraesCS7D01G228500;TraesCS5A01G237000;TraesCS5A01G411300;TraesCS4D01G001000;TraesCS3B01G603300;TraesCS1B01G168400;TraesCS3B01G116300;TraesCS3D01G165600;TraesCS7D01G418700;TraesCS1B01G152700;TraesCS5B01G222500;TraesCS3A01G279400;TraesCS7B01G304100;TraesCS6A01G280100;TraesCS6B01G084500;TraesCS4A01G165400;TraesCS5B01G524300;TraesCS5D01G216400;TraesCS2D01G489200;TraesCS5A01G435500;TraesCS2D01G278500;TraesCS5B01G319700;TraesCS3A01G038200;TraesCS7A01G251200;TraesCS3A01G351000;TraesCS6A01G277800;TraesCS7A01G155200;TraesCS3D01G117300;TraesCS1A01G234600;TraesCS3B01G108700;TraesCS1D01G127400;TraesCS4B01G002300;TraesCS7D01G363100;TraesCS7A01G145400;TraesCS1B01G471100;TraesCS4D01G074800;TraesCS2B01G291900;TraesCS1D01G396700;TraesCS4D01G081100;TraesCS6D01G335800;TraesCS4A01G398600;TraesCS1A01G126100;TraesCS7B01G489300;TraesCS4A01G321700;TraesCS6A01G206600;TraesCS7D01G417600;TraesCS7D01G050100;TraesCS2D01G562600;TraesCS2A01G025400;TraesCS7B01G305000;TraesCS3B01G011200;TraesCS5D01G398300;TraesCS4D01G329200;TraesCS6B01G177800;TraesCS4B01G000300;TraesCS5B01G171000;TraesCS6D01G093000;TraesCS4D01G319400;TraesCS1D01G411600;TraesCS7D01G418900;TraesCS7D01G357700;TraesCS3A01G330500;TraesCS4B01G150200;TraesCS1A01G237900;TraesCS4B01G089100;TraesCS7D01G161900;TraesCS7A01G335600;TraesCS5B01G061800;TraesCS6A01G149900;TraesCS2D01G409300;TraesCS7D01G452900;TraesCS5B01G458900;TraesCS4D01G086800;TraesCS7D01G111200;TraesCS7A01G226000;TraesCS7D01G207600;TraesCS4A01G145600;TraesCS7B01G316100;TraesCS3D01G295900;TraesCS4D01G206900;TraesCS4B01G143900;TraesCS5D01G065900;TraesCS2A01G447800;TraesCS7A01G181500;TraesCS7B01G111700;TraesCS3B01G085300;TraesCS2D01G565100;TraesCS4A01G198500;TraesCS4A01G035200;TraesCS5D01G124000;TraesCS7B01G304400;TraesCS5A01G317400;TraesCS1D01G090100;TraesCS3D01G527400;TraesCS1D01G124200;TraesCS4B01G127600;TraesCS7B01G019600;TraesCS5B01G166300;TraesCS7A01G331500;TraesCS7B01G250700;TraesCS7B01G326200;TraesCS5B01G246400;TraesCS6D01G236400;TraesCS5D01G153800;TraesCS3B01G119300;TraesCSU01G038600;TraesCS6B01G357700;TraesCS7D01G313600;TraesCS2A01G435100;TraesCS5B01G394000;TraesCS2A01G347800;TraesCSU01G082000;TraesCS6A01G351900;TraesCS7A01G146200;TraesCS2D01G301000;TraesCS7A01G389500;TraesCS4B01G217300;TraesCS4D01G339400;TraesCS5B01G294700;TraesCS5B01G523600;TraesCS3B01G437000;TraesCS3B01G185000;TraesCS7A01G113600;TraesCS5B01G112900;TraesCS5A01G169500;TraesCS5A01G295300;TraesCS7A01G549700;TraesCS7B01G421700;TraesCS2B01G318100;TraesCS7A01G426900;TraesCS7B01G165200;TraesCS2B01G079400;TraesCS5D01G302900;TraesCS7B01G350300;TraesCS7D01G382400;TraesCS3A01G499400;TraesCS3D01G403500;TraesCS2B01G193000;TraesCS7D01G399000;TraesCS1A01G027300;TraesCS2B01G535300;TraesCS6D01G318500;TraesCS3D01G225000;TraesCS3D01G151400;TraesCS2B01G592100;TraesCS2B01G007200;TraesCS4D01G159700;TraesCS2B01G024500;TraesCS5B01G109300;TraesCS3A01G229800;TraesCS3B01G598100;TraesCS7B01G131000;TraesCS1B01G107700;TraesCS3B01G260900;TraesCS7D01G251100;TraesCS4A01G143600;TraesCS2B01G366200;TraesCS7B01G086400;TraesCS5A01G329600;TraesCS7B01G316600;TraesCS3A01G295300;TraesCS3A01G314300;TraesCS2D01G346100;TraesCS6A01G337600;TraesCS2D01G433800;TraesCS4A01G150100;TraesCS5B01G025000;TraesCS7D01G552500;TraesCS5D01G336700;TraesCS7B01G006300;TraesCS3A01G149900;TraesCS7D01G267700;TraesCS4D01G236800;TraesCS4A01G143800;TraesCS6A01G302500;TraesCS3A01G135500;TraesCS4D01G170700;TraesCS6A01G174100;TraesCS3D01G164700;TraesCS3B01G419800;TraesCS4B01G192200;TraesCS3B01G470000;TraesCS4B01G052000;TraesCS6D01G112900;TraesCS5A01G075200;TraesCS6B01G393400;TraesCS4A01G301600;TraesCS7B01G262500;TraesCS7D01G162700;TraesCS4A01G227200;TraesCS7A01G426700;TraesCS7A01G055000;TraesCS7B01G243200;TraesCS5D01G552900;TraesCS1A01G415300;TraesCS3A01G157100;TraesCS5D01G231100;TraesCS2D01G544800;TraesCS3D01G008400;TraesCS3D01G275700;TraesCS6A01G002700;TraesCS5B01G365500;TraesCS2A01G591600;TraesCS3B01G008500;TraesCS6A01G122700;TraesCS7A01G161400;TraesCS2A01G570900;TraesCS3B01G235100;TraesCS7D01G339800;TraesCS4A01G059800;TraesCS4A01G129900;TraesCS4D01G125500;TraesCS7D01G414900;TraesCS3A01G231700;TraesCS5A01G223500;TraesCS2D01G265900;TraesCS2D01G378100;TraesCS4A01G185600;TraesCS1D01G228700;TraesCS6A01G302300;TraesCS4D01G195800;TraesCS7A01G404900;TraesCS3B01G134300;TraesCS7D01G385500;TraesCS3B01G528400;TraesCS4B01G194800;TraesCS1B01G285800;TraesCS2B01G341500;TraesCS4B01G375300;TraesCS7D01G421200;TraesCS1A01G353200;TraesCS4A01G441600;TraesCS2A01G159300;TraesCS6A01G398800;TraesCS1D01G390800;TraesCS6A01G255100;TraesCS4D01G359400;TraesCS1A01G276600;TraesCS7A01G489400;TraesCS6D01G360200;TraesCS1D01G440900;TraesCS3A01G239200;TraesCS3D01G229200;TraesCS6A01G154900;TraesCS1A01G287900;TraesCS2B01G550300;TraesCS2D01G135300;TraesCS6B01G170600;TraesCS3B01G259100;TraesCS4D01G087200;TraesCS6A01G346100;TraesCS1A01G088700;TraesCS5D01G328700;TraesCS2A01G488900;TraesCS4A01G000300;TraesCS7D01G475200;TraesCS6D01G281800;TraesCS6B01G031500;TraesCS5A01G236800;TraesCS5D01G033200;TraesCS7A01G337000;TraesCS5B01G137600;TraesCS7D01G397900;TraesCS1B01G246400;TraesCS5B01G446100;TraesCS4D01G099200;TraesCS2D01G065400;TraesCS2B01G599800;TraesCS7D01G419100;TraesCS4B01G363100;TraesCS5D01G285100;TraesCS5B01G123200;TraesCS2D01G322300;TraesCS2D01G542200;TraesCS2D01G500600;TraesCS7B01G255800;TraesCS5B01G428700;TraesCS3D01G298600;TraesCS5D01G140700;TraesCS3A01G227000;TraesCS3D01G221700;TraesCS1B01G050600;TraesCS5D01G372600;TraesCS5D01G208300;TraesCS6B01G031300;TraesCS7D01G385700;TraesCS7A01G465200;TraesCS5A01G220200;TraesCS6B01G273200;TraesCS7B01G113200;TraesCS6A01G303200;TraesCS1B01G409100</t>
  </si>
  <si>
    <t>TraesCS2A01G215300</t>
  </si>
  <si>
    <t>proton transmembrane transporter activity</t>
  </si>
  <si>
    <t>TraesCS1B01G314100;TraesCS6A01G310700;TraesCS1D01G293500;TraesCS3A01G340500;TraesCS5D01G346300;TraesCS2D01G523600;TraesCS6B01G137200;TraesCS6B01G340700;TraesCS6A01G136900;TraesCS5A01G031700;TraesCS4B01G343000;TraesCS5B01G149200;TraesCS6B01G165100;TraesCS1A01G120600;TraesCS1B01G312000;TraesCS1A01G303800;TraesCS2B01G551300;TraesCS1D01G301600;TraesCS5B01G003000;TraesCS6A01G418500;TraesCS6D01G096900;TraesCS5D01G081200;TraesCS1B01G307100;TraesCS6D01G290000;TraesCS3B01G372100;TraesCS5D01G268200;TraesCS5A01G512200;TraesCS5A01G069100;TraesCS1D01G303200;TraesCS5D01G002400;TraesCS6A01G108700</t>
  </si>
  <si>
    <t>TraesCS2A01G230100</t>
  </si>
  <si>
    <t>licheninase activity</t>
  </si>
  <si>
    <t>TraesCS1A01G234600;TraesCS1B01G249000;TraesCS1D01G237500</t>
  </si>
  <si>
    <t>TraesCS2A01G238200</t>
  </si>
  <si>
    <t>GTPase regulator activity</t>
  </si>
  <si>
    <t>TraesCS4B01G205900;TraesCS1A01G239200;TraesCS7D01G264700;TraesCS7B01G161800;TraesCS1D01G239400;TraesCS3A01G419200;TraesCS3D01G414900;TraesCS4A01G098400;TraesCS4D01G206900;TraesCS3B01G454500;TraesCS4B01G219700</t>
  </si>
  <si>
    <t>TraesCS2A01G254200</t>
  </si>
  <si>
    <t>hemicellulose metabolic process</t>
  </si>
  <si>
    <t>TraesCS6A01G337600;TraesCS7D01G418600;TraesCS1A01G396200;TraesCS4A01G321800;TraesCS7D01G418900;TraesCS7B01G326900;TraesCS6B01G110400;TraesCS6D01G318500;TraesCS1D01G404300;TraesCS4A01G078900;TraesCS7B01G327000;TraesCS1A01G266600;TraesCS7A01G426100;TraesCS3B01G108700;TraesCS7A01G427000;TraesCS6A01G088000;TraesCS7A01G426900;TraesCS7D01G419100;TraesCSU01G018400;TraesCS6B01G368300;TraesCS7A01G426600;TraesCS7A01G426700</t>
  </si>
  <si>
    <t>TraesCS2A01G255900</t>
  </si>
  <si>
    <t>exocytosis</t>
  </si>
  <si>
    <t>TraesCS3A01G538700;TraesCS3B01G607200;TraesCS4A01G208500;TraesCS4A01G233400;TraesCS5D01G130800;TraesCS4B01G112100;TraesCS4B01G115200;TraesCS5A01G122400;TraesCS4D01G109600;TraesCS4D01G277500;TraesCS4B01G279000;TraesCS3D01G542100;TraesCS4A01G025100;TraesCS4D01G080800;TraesCS4D01G112900;TraesCS5B01G122500;TraesCS4A01G200100;TraesCS4B01G082700</t>
  </si>
  <si>
    <t>TraesCS2A01G256900</t>
  </si>
  <si>
    <t>secretion</t>
  </si>
  <si>
    <t>TraesCS3A01G538700;TraesCS3B01G607200;TraesCS4A01G208500;TraesCS4A01G233400;TraesCS5D01G130800;TraesCS4B01G112100;TraesCS4B01G115200;TraesCS5A01G122400;TraesCS4D01G109600;TraesCS4D01G277500;TraesCS4B01G279000;TraesCS3D01G542100;TraesCS4A01G025100;TraesCS4D01G080800;TraesCS4D01G112900;TraesCS5B01G122500;TraesCS4A01G200100;TraesCS2B01G154600;TraesCS4B01G217300;TraesCS4B01G082700</t>
  </si>
  <si>
    <t>TraesCS2A01G269200</t>
  </si>
  <si>
    <t>phosphatidylinositol binding</t>
  </si>
  <si>
    <t>TraesCS2A01G279600</t>
  </si>
  <si>
    <t>cellular response to nitrogen levels</t>
  </si>
  <si>
    <t>TraesCS2D01G097400;TraesCS1D01G114800;TraesCS2B01G113700;TraesCS5B01G222500;TraesCS2A01G098000</t>
  </si>
  <si>
    <t>TraesCS2A01G284100</t>
  </si>
  <si>
    <t>cell wall polysaccharide metabolic process</t>
  </si>
  <si>
    <t>TraesCS2A01G307600</t>
  </si>
  <si>
    <t>peroxidase activity</t>
  </si>
  <si>
    <t>TraesCS1B01G095800;TraesCS2B01G615600;TraesCS7B01G375600;TraesCS3B01G549000;TraesCS2B01G615800;TraesCS1D01G289300;TraesCS2B01G615700;TraesCS3B01G549200;TraesCS2D01G265100;TraesCS4D01G234000;TraesCS3A01G180200;TraesCS6D01G125500;TraesCS7B01G132400;TraesCS4A01G076700;TraesCS2A01G582100;TraesCS2B01G124900;TraesCS1D01G096400;TraesCS7A01G234000;TraesCS4D01G268200;TraesCS1D01G317700;TraesCS1A01G317900;TraesCS6A01G136500;TraesCS7B01G118200;TraesCS4D01G170600;TraesCS4A01G136600;TraesCS4B01G232800;TraesCS7D01G234300;TraesCS1A01G290700;TraesCS6D01G289300;TraesCS2B01G284900;TraesCS2D01G583000;TraesCS7D01G442300;TraesCS2D01G583100;TraesCS4A01G235800;TraesCS4A01G036100;TraesCS1A01G078100;TraesCS1B01G300000;TraesCS1B01G330400;TraesCS2B01G604800;TraesCS1B01G355400;TraesCS6D01G397200;TraesCS4B01G268900;TraesCS6A01G305600;TraesCS2A01G571700;TraesCS2A01G571500;TraesCS6B01G164400</t>
  </si>
  <si>
    <t>TraesCS2A01G316900</t>
  </si>
  <si>
    <t>oxidoreductase activity, acting on peroxide as acceptor</t>
  </si>
  <si>
    <t>TraesCS2A01G320600</t>
  </si>
  <si>
    <t>calmodulin binding</t>
  </si>
  <si>
    <t>TraesCS4A01G046800;TraesCS6A01G121200;TraesCS7D01G011200;TraesCS7B01G328100;TraesCS3B01G519000;TraesCS3D01G470100;TraesCS4B01G096900;TraesCS4D01G257900;TraesCS5B01G411600;TraesCS6B01G149500;TraesCS1B01G324000;TraesCS4B01G258000;TraesCS6D01G111300;TraesCS2B01G288800;TraesCS5D01G416600;TraesCS7A01G427900</t>
  </si>
  <si>
    <t>TraesCS2A01G344000</t>
  </si>
  <si>
    <t>cell wall biogenesis</t>
  </si>
  <si>
    <t>TraesCS6A01G337600;TraesCS7D01G418600;TraesCS1A01G396200;TraesCS7D01G418900;TraesCS6B01G110400;TraesCS6D01G318500;TraesCS4A01G078900;TraesCS7B01G327000;TraesCS1A01G266600;TraesCS7A01G427000;TraesCS6A01G088000;TraesCS6B01G368300;TraesCS7B01G076200;TraesCS6B01G350600;TraesCS7D01G171900;TraesCS4A01G321800;TraesCS7B01G326900;TraesCS7A01G136600;TraesCS7D01G136500;TraesCS1D01G404300;TraesCS7A01G171100;TraesCS7A01G426100;TraesCS3B01G108700;TraesCS7A01G426900;TraesCS7D01G419100;TraesCSU01G018400;TraesCS7A01G426600;TraesCS7A01G426700</t>
  </si>
  <si>
    <t>TraesCS2A01G346700</t>
  </si>
  <si>
    <t>protein depolymerization</t>
  </si>
  <si>
    <t>TraesCS2B01G255200;TraesCS2A01G227300;TraesCS2A01G410700;TraesCS6A01G247000;TraesCS2B01G429500;TraesCS6B01G277600</t>
  </si>
  <si>
    <t>TraesCS2A01G347700</t>
  </si>
  <si>
    <t>actin filament depolymerization</t>
  </si>
  <si>
    <t>TraesCS2A01G348000</t>
  </si>
  <si>
    <t>calcium ion transmembrane transporter activity</t>
  </si>
  <si>
    <t>TraesCS2A01G353000</t>
  </si>
  <si>
    <t>GDP-dissociation inhibitor activity</t>
  </si>
  <si>
    <t>TraesCS4B01G205900;TraesCS3A01G419200;TraesCS3D01G414900;TraesCS4A01G098400;TraesCS4D01G206900;TraesCS3B01G454500</t>
  </si>
  <si>
    <t>TraesCS2A01G359300</t>
  </si>
  <si>
    <t>carbonate dehydratase activity</t>
  </si>
  <si>
    <t>TraesCS7B01G354800;TraesCS7D01G443400;TraesCS5A01G236600;TraesCS7A01G454300;TraesCS3D01G223300;TraesCS3A01G230000;TraesCS3B01G259300</t>
  </si>
  <si>
    <t>TraesCS2A01G363200</t>
  </si>
  <si>
    <t>glycogen phosphorylase activity</t>
  </si>
  <si>
    <t>TraesCS3A01G366300;TraesCS3D01G359300;TraesCS3D01G359200;TraesCS3A01G366400</t>
  </si>
  <si>
    <t>TraesCS2A01G363900</t>
  </si>
  <si>
    <t>apical plasma membrane</t>
  </si>
  <si>
    <t>TraesCS2A01G240300;TraesCS4A01G185600;TraesCS4B01G219700</t>
  </si>
  <si>
    <t>TraesCS2A01G364400</t>
  </si>
  <si>
    <t>phosphorus metabolic process</t>
  </si>
  <si>
    <t>TraesCS4D01G129800;TraesCS2D01G116700;TraesCS4B01G149500;TraesCS6B01G213500;TraesCS5D01G124000;TraesCS3D01G527400;TraesCS5B01G132400;TraesCS1D01G124200;TraesCS3A01G013400;TraesCS1A01G369600;TraesCS4D01G000300;TraesCS4B01G135100;TraesCS6B01G182900;TraesCS6D01G172100;TraesCS6D01G323500;TraesCS6B01G006500;TraesCS1A01G435300;TraesCS7A01G488800;TraesCS3A01G228000;TraesCS7B01G263100;TraesCS6D01G258300;TraesCS1A01G355200;TraesCS1D01G116700;TraesCS7B01G326200;TraesCS6A01G269800;TraesCS6D01G236400;TraesCS7A01G510800;TraesCS4B01G162700;TraesCS2B01G335200;TraesCS5D01G153800;TraesCS1B01G445300;TraesCS3B01G119300;TraesCS2D01G217500;TraesCS3B01G169200;TraesCS4A01G213400;TraesCS7D01G521000;TraesCS6D01G404800;TraesCS6B01G213600;TraesCS1B01G320400;TraesCS1D01G375700;TraesCS5A01G558300;TraesCS4D01G052200;TraesCS1A01G342700;TraesCS5A01G110100;TraesCS7B01G450800;TraesCS4A01G077500;TraesCS4B01G267200;TraesCS6D01G172000;TraesCS4B01G217300;TraesCS4B01G102400;TraesCS6B01G270400;TraesCS3B01G365200;TraesCS5B01G112900;TraesCS4B01G350300;TraesCS3B01G183500;TraesCS7B01G421700;TraesCS7B01G193600;TraesCS1A01G309400;TraesCS4D01G003800;TraesCS2B01G430700;TraesCS7B01G165200;TraesCS5D01G434800;TraesCS1D01G375600;TraesCS7D01G500200;TraesCS2B01G193000;TraesCS3B01G169300;TraesCS5D01G088700;TraesCS7A01G569400;TraesCS4D01G150200;TraesCS1D01G317200;TraesCS3B01G236500;TraesCS6A01G192900;TraesCS6D01G184000;TraesCS3D01G151400;TraesCS1D01G151900;TraesCS7A01G075600;TraesCS2A01G230100;TraesCS2A01G364400;TraesCS4D01G159700;TraesCS3A01G135400;TraesCS2B01G154600;TraesCS5B01G109300;TraesCS7D01G232700;TraesCS6D01G061500;TraesCS3A01G229800;TraesCS4A01G136500;TraesCS4D01G176600;TraesCS7B01G131000;TraesCS7D01G146700;TraesCS3B01G260900;TraesCS7D01G251100;TraesCS7D01G543200;TraesCS1D01G191800;TraesCS4D01G161900;TraesCS3D01G110300;TraesCS3A01G400600;TraesCS7B01G047600;TraesCS1D01G187400;TraesCS4A01G143600;TraesCS3A01G306000;TraesCS7B01G086400;TraesCS4B01G130300;TraesCS4D01G166800;TraesCS1D01G444300;TraesCS5A01G520900;TraesCS5D01G519300;TraesCS2B01G382900;TraesCS4A01G001100;TraesCS5D01G434700;TraesCS1B01G366400;TraesCS1D01G375500;TraesCS5A01G363400;TraesCS4A01G150100;TraesCS4B01G030100;TraesCS7B01G392000;TraesCS5B01G025000;TraesCS7B01G293200;TraesCS1A01G115300;TraesCS5A01G298500;TraesCS3A01G329700;TraesCS3D01G151500;TraesCS7D01G267700;TraesCS2A01G412100;TraesCS3B01G239200;TraesCS2A01G272400;TraesCS3A01G135500;TraesCS5B01G277500;TraesCS4D01G170700;TraesCS3D01G164700;TraesCS1D01G344800;TraesCS6D01G002200;TraesCS4B01G192200;TraesCS5D01G118300;TraesCS1B01G283300;TraesCS3B01G359800;TraesCS5B01G110400;TraesCS6A01G353500;TraesCS1B01G193000;TraesCS4D01G346700;TraesCS5A01G278100;TraesCS4B01G052000;TraesCS6D01G112900;TraesCS7D01G155500;TraesCS5A01G075200;TraesCS3B01G270600;TraesCS6B01G393400;TraesCS2A01G577000;TraesCS3A01G276100;TraesCS4A01G301600;TraesCS7B01G262500;TraesCS7D01G162700;TraesCS4A01G227200;TraesCS7A01G055000;TraesCS5A01G426800;TraesCS7A01G416100;TraesCS1A01G153400;TraesCS1A01G415300;TraesCS6A01G421000;TraesCS7B01G142500;TraesCS3A01G157100;TraesCS7A01G267000;TraesCS5D01G219100;TraesCS5D01G231100;TraesCS5B01G428600;TraesCS1B01G224300;TraesCS6B01G467300;TraesCS1D01G273500;TraesCS1D01G308800;TraesCS3A01G208900;TraesCS3A01G502300;TraesCS6D01G287600;TraesCS5B01G365500;TraesCS6B01G331500;TraesCS6A01G122700;TraesCS7A01G161400;TraesCS2B01G528300;TraesCS6A01G063300;TraesCS3D01G196000;TraesCS5A01G532400;TraesCS3B01G256700;TraesCS2D01G354600;TraesCS3B01G330500;TraesCS4B01G352300;TraesCS1B01G388700;TraesCS2B01G251700;TraesCS2D01G315100;TraesCS4B01G375400;TraesCS7D01G228500;TraesCS1B01G329700;TraesCS6B01G386100;TraesCS5A01G411300;TraesCS6B01G150900;TraesCS4D01G001000;TraesCS3B01G603300;TraesCS5A01G132500;TraesCS3D01G331600;TraesCS1B01G359800;TraesCS4A01G129900;TraesCS1B01G152700;TraesCS5B01G297700;TraesCS4D01G125500;TraesCS5B01G222500;TraesCS6D01G144800;TraesCS5D01G437000;TraesCS7D01G414900;TraesCS1A01G317300;TraesCS3A01G231700;TraesCS5A01G223500;TraesCS6B01G084500;TraesCS2D01G378100;TraesCS4A01G165400;TraesCS4A01G185600;TraesCS4A01G187900;TraesCS5D01G216400;TraesCS5A01G054700;TraesCS2B01G540200;TraesCS2D01G546200;TraesCS6A01G302300;TraesCS5D01G305200;TraesCS4B01G133100;TraesCS7A01G251200;TraesCS7A01G423900;TraesCS3B01G134300;TraesCS6A01G277800;TraesCS4B01G194800;TraesCS7B01G139900;TraesCS4B01G375300;TraesCS4D01G361600;TraesCS5D01G033500;TraesCS3A01G108500;TraesCS3A01G490100;TraesCS7A01G155200;TraesCS4A01G441600;TraesCS3D01G395000;TraesCS3D01G509100;TraesCS3B01G433600;TraesCS3D01G117300;TraesCS4B01G002300;TraesCS3D01G276000;TraesCS4B01G233600;TraesCS6A01G255100;TraesCS6D01G139200;TraesCS7A01G145400;TraesCS1B01G471100;TraesCS6D01G329000;TraesCS3D01G229200;TraesCS6A01G154900;TraesCS1A01G287900;TraesCS3B01G259100;TraesCS4D01G087200;TraesCS3D01G266100;TraesCS6D01G335800;TraesCS7D01G241800;TraesCS6A01G346100;TraesCS1D01G422800;TraesCS1A01G273500;TraesCS1D01G348900;TraesCS2B01G374900;TraesCS7B01G489300;TraesCS3A01G334200;TraesCS4A01G000300;TraesCS7B01G059300;TraesCS7D01G475200;TraesCS1A01G133200;TraesCS6D01G281800;TraesCS6A01G206600;TraesCS7D01G417600;TraesCS7D01G050100;TraesCS1A01G189000;TraesCS7B01G066500;TraesCS5B01G137600;TraesCS3D01G211800;TraesCS6B01G177800;TraesCS4D01G099200;TraesCS4B01G000300;TraesCS5A01G239500;TraesCS5D01G285100;TraesCS4D01G128000;TraesCS1B01G355800;TraesCS5A01G202000;TraesCS5B01G081500;TraesCS7D01G183100;TraesCS1B01G171500;TraesCS4A01G183500;TraesCS7D01G357700;TraesCS5B01G428700;TraesCS6B01G337100;TraesCS5D01G140700;TraesCS7D01G291600;TraesCS4B01G152500;TraesCS4B01G089100;TraesCS3D01G221700;TraesCS5D01G372600;TraesCS1B01G297300;TraesCS5D01G208300;TraesCS7A01G335600;TraesCS5B01G061800;TraesCS6A01G149900;TraesCS2D01G409300;TraesCS7D01G409400;TraesCS4D01G086800;TraesCS6A01G376200;TraesCS7A01G226000;TraesCS4A01G145600;TraesCS1B01G135200;TraesCS6A01G182800;TraesCS7D01G095900;TraesCS7B01G316100;TraesCS3D01G295900;TraesCS5A01G025700;TraesCS5D01G065900;TraesCS2A01G447800;TraesCS4B01G363800;TraesCS5A01G138300;TraesCS4A01G399600;TraesCS6B01G428500;TraesCS7A01G181500</t>
  </si>
  <si>
    <t>TraesCS2A01G378200</t>
  </si>
  <si>
    <t>disaccharide metabolic process</t>
  </si>
  <si>
    <t>TraesCS4B01G167500;TraesCS7D01G036600;TraesCS7A01G040900;TraesCS3A01G425500;TraesCS6D01G403800;TraesCS2D01G409300;TraesCS2B01G184900;TraesCS7A01G337000;TraesCS2A01G159300;TraesCS3B01G461800;TraesCSU01G082000;TraesCS2A01G412100;TraesCS2A01G123800;TraesCS1B01G224300;TraesCS4A01G492600;TraesCS4D01G169800;TraesCS2B01G430700;TraesCS6B01G466600;TraesCS2D01G166600;TraesCS3D01G420300</t>
  </si>
  <si>
    <t>TraesCS2A01G383200</t>
  </si>
  <si>
    <t>active transmembrane transporter activity</t>
  </si>
  <si>
    <t>TraesCS1B01G314100;TraesCS6A01G310700;TraesCS1D01G293500;TraesCS3D01G470100;TraesCS2D01G058700;TraesCS5B01G149200;TraesCS1A01G120600;TraesCS1B01G312000;TraesCS1A01G303800;TraesCS3D01G288600;TraesCS2B01G551300;TraesCS1D01G301600;TraesCS5B01G003000;TraesCS6D01G096900;TraesCS5D01G081200;TraesCS6D01G290000;TraesCS3B01G372100;TraesCS5A01G512200;TraesCS5A01G069100;TraesCS1D01G309600;TraesCS5D01G002400;TraesCS4A01G043400;TraesCS4A01G316600;TraesCS3A01G126300;TraesCS7D01G460200;TraesCS3A01G340500;TraesCS5D01G346300;TraesCS2D01G523600;TraesCS4D01G257900;TraesCS6B01G137200;TraesCS6B01G340700;TraesCS3B01G136800;TraesCS5A01G031700;TraesCS3B01G323500;TraesCS1B01G324000;TraesCS4B01G343000;TraesCS5D01G319000;TraesCS3A01G288800;TraesCS4A01G046800;TraesCS5A01G312200;TraesCS7B01G374500;TraesCS4B01G333700;TraesCSU01G014100;TraesCS6A01G418500;TraesCS6D01G384400;TraesCS1B01G307100;TraesCS3B01G519000;TraesCS1B01G321200;TraesCS4B01G258000;TraesCS5D01G268200;TraesCS7B01G167700;TraesCS1D01G303200;TraesCS6A01G108700</t>
  </si>
  <si>
    <t>TraesCS2A01G385100</t>
  </si>
  <si>
    <t>phosphate-containing compound metabolic process</t>
  </si>
  <si>
    <t>TraesCS4D01G129800;TraesCS2D01G116700;TraesCS4B01G149500;TraesCS6B01G213500;TraesCS5D01G124000;TraesCS3D01G527400;TraesCS5B01G132400;TraesCS1D01G124200;TraesCS3A01G013400;TraesCS1A01G369600;TraesCS4D01G000300;TraesCS4B01G135100;TraesCS6B01G182900;TraesCS6D01G172100;TraesCS6B01G006500;TraesCS1A01G435300;TraesCS7A01G488800;TraesCS3A01G228000;TraesCS7B01G263100;TraesCS6D01G258300;TraesCS1A01G355200;TraesCS1D01G116700;TraesCS7B01G326200;TraesCS6A01G269800;TraesCS6D01G236400;TraesCS7A01G510800;TraesCS4B01G162700;TraesCS2B01G335200;TraesCS5D01G153800;TraesCS1B01G445300;TraesCS3B01G119300;TraesCS2D01G217500;TraesCS3B01G169200;TraesCS4A01G213400;TraesCS7D01G521000;TraesCS6D01G404800;TraesCS6B01G213600;TraesCS1B01G320400;TraesCS1D01G375700;TraesCS5A01G558300;TraesCS4D01G052200;TraesCS1A01G342700;TraesCS5A01G110100;TraesCS7B01G450800;TraesCS4A01G077500;TraesCS4B01G267200;TraesCS6D01G172000;TraesCS4B01G217300;TraesCS4B01G102400;TraesCS6B01G270400;TraesCS3B01G365200;TraesCS5B01G112900;TraesCS4B01G350300;TraesCS3B01G183500;TraesCS7B01G421700;TraesCS7B01G193600;TraesCS1A01G309400;TraesCS4D01G003800;TraesCS2B01G430700;TraesCS7B01G165200;TraesCS5D01G434800;TraesCS1D01G375600;TraesCS7D01G500200;TraesCS2B01G193000;TraesCS3B01G169300;TraesCS5D01G088700;TraesCS7A01G569400;TraesCS4D01G150200;TraesCS1D01G317200;TraesCS3B01G236500;TraesCS6A01G192900;TraesCS6D01G184000;TraesCS3D01G151400;TraesCS1D01G151900;TraesCS7A01G075600;TraesCS2A01G230100;TraesCS2A01G364400;TraesCS4D01G159700;TraesCS3A01G135400;TraesCS2B01G154600;TraesCS5B01G109300;TraesCS7D01G232700;TraesCS6D01G061500;TraesCS3A01G229800;TraesCS4A01G136500;TraesCS4D01G176600;TraesCS7B01G131000;TraesCS7D01G146700;TraesCS3B01G260900;TraesCS7D01G251100;TraesCS7D01G543200;TraesCS1D01G191800;TraesCS4D01G161900;TraesCS3D01G110300;TraesCS3A01G400600;TraesCS7B01G047600;TraesCS1D01G187400;TraesCS4A01G143600;TraesCS3A01G306000;TraesCS7B01G086400;TraesCS4B01G130300;TraesCS4D01G166800;TraesCS1D01G444300;TraesCS5A01G520900;TraesCS5D01G519300;TraesCS2B01G382900;TraesCS4A01G001100;TraesCS5D01G434700;TraesCS1B01G366400;TraesCS1D01G375500;TraesCS5A01G363400;TraesCS4A01G150100;TraesCS4B01G030100;TraesCS7B01G392000;TraesCS5B01G025000;TraesCS7B01G293200;TraesCS1A01G115300;TraesCS5A01G298500;TraesCS3A01G329700;TraesCS3D01G151500;TraesCS7D01G267700;TraesCS2A01G412100;TraesCS3B01G239200;TraesCS2A01G272400;TraesCS3A01G135500;TraesCS5B01G277500;TraesCS4D01G170700;TraesCS3D01G164700;TraesCS1D01G344800;TraesCS6D01G002200;TraesCS4B01G192200;TraesCS5D01G118300;TraesCS1B01G283300;TraesCS3B01G359800;TraesCS5B01G110400;TraesCS6A01G353500;TraesCS1B01G193000;TraesCS4D01G346700;TraesCS5A01G278100;TraesCS4B01G052000;TraesCS6D01G112900;TraesCS7D01G155500;TraesCS5A01G075200;TraesCS3B01G270600;TraesCS6B01G393400;TraesCS2A01G577000;TraesCS3A01G276100;TraesCS4A01G301600;TraesCS7B01G262500;TraesCS7D01G162700;TraesCS4A01G227200;TraesCS7A01G055000;TraesCS5A01G426800;TraesCS7A01G416100;TraesCS1A01G153400;TraesCS1A01G415300;TraesCS6A01G421000;TraesCS7B01G142500;TraesCS3A01G157100;TraesCS7A01G267000;TraesCS5D01G219100;TraesCS5D01G231100;TraesCS5B01G428600;TraesCS1B01G224300;TraesCS6B01G467300;TraesCS1D01G273500;TraesCS1D01G308800;TraesCS3A01G208900;TraesCS3A01G502300;TraesCS6D01G287600;TraesCS5B01G365500;TraesCS6B01G331500;TraesCS6A01G122700;TraesCS7A01G161400;TraesCS2B01G528300;TraesCS6A01G063300;TraesCS3D01G196000;TraesCS5A01G532400;TraesCS3B01G256700;TraesCS2D01G354600;TraesCS3B01G330500;TraesCS4B01G352300;TraesCS1B01G388700;TraesCS2B01G251700;TraesCS2D01G315100;TraesCS4B01G375400;TraesCS7D01G228500;TraesCS1B01G329700;TraesCS6B01G386100;TraesCS5A01G411300;TraesCS6B01G150900;TraesCS4D01G001000;TraesCS3B01G603300;TraesCS5A01G132500;TraesCS3D01G331600;TraesCS1B01G359800;TraesCS4A01G129900;TraesCS1B01G152700;TraesCS5B01G297700;TraesCS4D01G125500;TraesCS5B01G222500;TraesCS6D01G144800;TraesCS5D01G437000;TraesCS7D01G414900;TraesCS1A01G317300;TraesCS3A01G231700;TraesCS5A01G223500;TraesCS6B01G084500;TraesCS2D01G378100;TraesCS4A01G165400;TraesCS4A01G185600;TraesCS4A01G187900;TraesCS5D01G216400;TraesCS5A01G054700;TraesCS2B01G540200;TraesCS2D01G546200;TraesCS6A01G302300;TraesCS5D01G305200;TraesCS4B01G133100;TraesCS7A01G251200;TraesCS7A01G423900;TraesCS3B01G134300;TraesCS6A01G277800;TraesCS4B01G194800;TraesCS7B01G139900;TraesCS4B01G375300;TraesCS4D01G361600;TraesCS5D01G033500;TraesCS3A01G108500;TraesCS3A01G490100;TraesCS7A01G155200;TraesCS4A01G441600;TraesCS3D01G395000;TraesCS3D01G509100;TraesCS3B01G433600;TraesCS3D01G117300;TraesCS4B01G002300;TraesCS3D01G276000;TraesCS4B01G233600;TraesCS6A01G255100;TraesCS6D01G139200;TraesCS7A01G145400;TraesCS1B01G471100;TraesCS6D01G329000;TraesCS3D01G229200;TraesCS6A01G154900;TraesCS1A01G287900;TraesCS3B01G259100;TraesCS4D01G087200;TraesCS3D01G266100;TraesCS6D01G335800;TraesCS7D01G241800;TraesCS6A01G346100;TraesCS1D01G422800;TraesCS1A01G273500;TraesCS1D01G348900;TraesCS2B01G374900;TraesCS7B01G489300;TraesCS3A01G334200;TraesCS4A01G000300;TraesCS7B01G059300;TraesCS7D01G475200;TraesCS1A01G133200;TraesCS6D01G281800;TraesCS6A01G206600;TraesCS7D01G417600;TraesCS7D01G050100;TraesCS1A01G189000;TraesCS7B01G066500;TraesCS5B01G137600;TraesCS3D01G211800;TraesCS6B01G177800;TraesCS4D01G099200;TraesCS4B01G000300;TraesCS5A01G239500;TraesCS5D01G285100;TraesCS4D01G128000;TraesCS1B01G355800;TraesCS5A01G202000;TraesCS5B01G081500;TraesCS7D01G183100;TraesCS1B01G171500;TraesCS4A01G183500;TraesCS7D01G357700;TraesCS5B01G428700;TraesCS6B01G337100;TraesCS5D01G140700;TraesCS7D01G291600;TraesCS4B01G152500;TraesCS4B01G089100;TraesCS3D01G221700;TraesCS5D01G372600;TraesCS1B01G297300;TraesCS5D01G208300;TraesCS7A01G335600;TraesCS5B01G061800;TraesCS6A01G149900;TraesCS2D01G409300;TraesCS7D01G409400;TraesCS4D01G086800;TraesCS6A01G376200;TraesCS7A01G226000;TraesCS4A01G145600;TraesCS1B01G135200;TraesCS6A01G182800;TraesCS7D01G095900;TraesCS7B01G316100;TraesCS3D01G295900;TraesCS5A01G025700;TraesCS5D01G065900;TraesCS2A01G447800;TraesCS4B01G363800;TraesCS5A01G138300;TraesCS4A01G399600;TraesCS6B01G428500;TraesCS7A01G181500</t>
  </si>
  <si>
    <t>TraesCS2A01G385500</t>
  </si>
  <si>
    <t>carboxylic acid biosynthetic process</t>
  </si>
  <si>
    <t>TraesCS4D01G093600;TraesCS2D01G135300;TraesCS7A01G206000;TraesCS7B01G210400;TraesCS3D01G485000;TraesCS7A01G075600;TraesCS1D01G147800;TraesCS7B01G019600;TraesCS2A01G507700;TraesCS2B01G131600;TraesCS5D01G131500;TraesCS1D01G420900;TraesCS2A01G385100;TraesCS4D01G314400;TraesCS6D01G321600;TraesCS1B01G440000;TraesCS3D01G279300;TraesCS7D01G307100;TraesCS4D01G176600;TraesCS2B01G528300;TraesCS4D01G277300;TraesCS5A01G123600;TraesCS1A01G355200;TraesCS3D01G110300;TraesCS4A01G218400;TraesCS7D01G228500;TraesCS4D01G329200;TraesCS6A01G026800;TraesCS4A01G059800;TraesCS1B01G168400;TraesCS6D01G139700;TraesCS7D01G101900;TraesCS5B01G123200;TraesCS5A01G195500;TraesCS1B01G366400;TraesCS4A01G129900;TraesCS5D01G017000;TraesCS3A01G279400;TraesCS7D01G208600;TraesCS7B01G006300;TraesCS2D01G500600;TraesCS3A01G149900;TraesCS4D01G045300;TraesCS4B01G332500;TraesCS7D01G351000;TraesCS7B01G255800;TraesCS6A01G226500;TraesCS5A01G076500;TraesCS4B01G045400;TraesCS2D01G381800;TraesCS2B01G156800;TraesCS4A01G025300;TraesCS7A01G310600;TraesCS4B01G278800;TraesCS5B01G418800;TraesCS5A01G503600;TraesCS6D01G208500;TraesCS7A01G465200;TraesCS2B01G402100;TraesCS7D01G452900;TraesCS7D01G488800;TraesCS3A01G108500;TraesCS3B01G313800;TraesCS7A01G226000;TraesCS7A01G561600;TraesCS4B01G318000;TraesCS7B01G193600;TraesCS5A01G220200;TraesCS2A01G500400;TraesCS6A01G150000;TraesCS3D01G276000;TraesCS3A01G276100;TraesCS7B01G113200;TraesCS6A01G341400</t>
  </si>
  <si>
    <t>TraesCS2A01G390600</t>
  </si>
  <si>
    <t>organic acid biosynthetic process</t>
  </si>
  <si>
    <t>TraesCS2A01G391500</t>
  </si>
  <si>
    <t>secretion by cell</t>
  </si>
  <si>
    <t>TraesCS2A01G398700</t>
  </si>
  <si>
    <t>motor activity</t>
  </si>
  <si>
    <t>TraesCS7D01G190300;TraesCS5D01G558600;TraesCS5B01G566200;TraesCS5A01G317000;TraesCS6A01G188600;TraesCS1A01G358500;TraesCS4A01G169700;TraesCS4A01G313500;TraesCS6B01G215900;TraesCS1B01G375000;TraesCS1D01G363400;TraesCS4D01G144800;TraesCS5D01G323300;TraesCS4B01G126400;TraesCS5B01G317600;TraesCS7B01G094100;TraesCS6D01G177300</t>
  </si>
  <si>
    <t>TraesCS2A01G408900</t>
  </si>
  <si>
    <t>amylase activity</t>
  </si>
  <si>
    <t>TraesCS4B01G344300;TraesCS2A01G120800;TraesCS3A01G248000;TraesCS3B01G276700;TraesCS5A01G513200;TraesCS2A01G215300;TraesCS2B01G141700;TraesCS4D01G339400;TraesCS3D01G248000</t>
  </si>
  <si>
    <t>TraesCS2A01G412900</t>
  </si>
  <si>
    <t>carbohydrate homeostasis</t>
  </si>
  <si>
    <t>TraesCS1B01G366400;TraesCS3D01G276000;TraesCS1A01G355200;TraesCS3A01G276100;TraesCS3D01G110300;TraesCS3A01G108500</t>
  </si>
  <si>
    <t>TraesCS2A01G414800</t>
  </si>
  <si>
    <t>glucose homeostasis</t>
  </si>
  <si>
    <t>TraesCS2A01G436100</t>
  </si>
  <si>
    <t>cellular glucose homeostasis</t>
  </si>
  <si>
    <t>TraesCS2A01G440900</t>
  </si>
  <si>
    <t>hexokinase activity</t>
  </si>
  <si>
    <t>TraesCS2A01G442700</t>
  </si>
  <si>
    <t>glucose binding</t>
  </si>
  <si>
    <t>TraesCS2A01G462300</t>
  </si>
  <si>
    <t>developmental growth</t>
  </si>
  <si>
    <t>TraesCS2A01G488100</t>
  </si>
  <si>
    <t>transferase activity, transferring acyl groups other than amino-acyl groups</t>
  </si>
  <si>
    <t>TraesCS1B01G280400;TraesCS5B01G291100;TraesCS6D01G358400;TraesCS2B01G007000;TraesCS4D01G121600;TraesCS5A01G401100;TraesCS1D01G396700;TraesCS2D01G135300;TraesCS7A01G206000;TraesCS2A01G014800;TraesCS4A01G191900;TraesCS3A01G251800;TraesCS2A01G507700;TraesCS2B01G007200;TraesCS5D01G328700;TraesCS1A01G034600;TraesCS2D01G016300;TraesCS1D01G420900;TraesCS6D01G321600;TraesCS3D01G279300;TraesCS3B01G139000;TraesCS5D01G299300;TraesCS4D01G277300;TraesCS2B01G006700;TraesCS2D01G015700;TraesCS6A01G026800;TraesCS5B01G322500;TraesCS7D01G076700;TraesCS2B01G006300;TraesCS3D01G121700;TraesCS1B01G416800;TraesCS2D01G426800;TraesCS5A01G321800;TraesCS7D01G101900;TraesCS1A01G385500;TraesCS5A01G195500;TraesCS6B01G030300;TraesCS6B01G128200;TraesCS6B01G030800;TraesCS5D01G017000;TraesCS3A01G279400;TraesCS7A01G082200;TraesCS7D01G208600;TraesCS7B01G006300;TraesCS4A01G259400;TraesCS7B01G255800;TraesCS5A01G076500;TraesCS2D01G035000;TraesCS2D01G016200;TraesCS1B01G050600;TraesCS2B01G156800;TraesCS4A01G025300;TraesCS4B01G123500;TraesCS7A01G148300;TraesCS6D01G082300;TraesCS4B01G278800;TraesCS5B01G202800;TraesCS6B01G411800;TraesCS2B01G006000;TraesCS5D01G329000;TraesCS7D01G111200;TraesCS3B01G313800;TraesCS7D01G352300;TraesCS2B01G006800;TraesCS7B01G113200;TraesCS6A01G341400</t>
  </si>
  <si>
    <t>TraesCS2A01G499000</t>
  </si>
  <si>
    <t>cell morphogenesis involved in differentiation</t>
  </si>
  <si>
    <t>TraesCS2A01G505100</t>
  </si>
  <si>
    <t>beta-amylase activity</t>
  </si>
  <si>
    <t>TraesCS4B01G344300;TraesCS2A01G120800;TraesCS5A01G513200;TraesCS2A01G215300;TraesCS2B01G141700;TraesCS4D01G339400</t>
  </si>
  <si>
    <t>TraesCS2A01G507300</t>
  </si>
  <si>
    <t>cytoplasmic region</t>
  </si>
  <si>
    <t>TraesCS4A01G208500;TraesCS4A01G233400;TraesCS5D01G130800;TraesCS4B01G112100;TraesCS4B01G115200;TraesCS5A01G122400;TraesCS4D01G109600;TraesCS4D01G277500;TraesCS4B01G279000;TraesCS4A01G025100;TraesCS4D01G080800;TraesCS4D01G112900;TraesCS5B01G122500;TraesCS4A01G200100;TraesCS4B01G082700;TraesCS7A01G185400</t>
  </si>
  <si>
    <t>TraesCS2A01G507700</t>
  </si>
  <si>
    <t>cell cortex</t>
  </si>
  <si>
    <t>TraesCS2A01G510400</t>
  </si>
  <si>
    <t>transferase activity, transferring hexosyl groups</t>
  </si>
  <si>
    <t>TraesCS7D01G036600;TraesCS7D01G418600;TraesCS7A01G040900;TraesCS7B01G243200;TraesCS7D01G147700;TraesCS6D01G318500;TraesCS2A01G378200;TraesCS7B01G327000;TraesCS1A01G266600;TraesCS3B01G461800;TraesCS2A01G123800;TraesCS3D01G359300;TraesCS7A01G427000;TraesCS6A01G088000;TraesCS6B01G368300;TraesCS7B01G076200;TraesCS5D01G261000;TraesCS6B01G350600;TraesCS7D01G171900;TraesCS2B01G393900;TraesCS3A01G366300;TraesCS2A01G210100;TraesCS2D01G025100;TraesCS7A01G331500;TraesCS5A01G102200;TraesCS6A01G317900;TraesCS7D01G339800;TraesCS2A01G302300;TraesCS2A01G568000;TraesCS4A01G492600;TraesCS7D01G419100;TraesCSU01G018400;TraesCS4D01G359500;TraesCS6B01G466600;TraesCS7A01G426600;TraesCS6A01G337600;TraesCS7D01G418700;TraesCS1A01G396200;TraesCS2D01G374500;TraesCS7D01G418900;TraesCS7B01G048700;TraesCS7D01G313600;TraesCS2A01G376400;TraesCS6B01G110400;TraesCS2B01G184900;TraesCS3D01G359200;TraesCS2A01G378100;TraesCSU01G082000;TraesCS5B01G398600;TraesCS2B01G395100;TraesCS4A01G143800;TraesCS2B01G028400;TraesCS4D01G169800;TraesCS7B01G424600;TraesCS4B01G031700;TraesCS7A01G146200;TraesCS2D01G301000;TraesCS5D01G114100;TraesCS3B01G419800;TraesCS3D01G420300;TraesCS4B01G167500;TraesCS4A01G321800;TraesCS2D01G126100;TraesCS3A01G425500;TraesCS7B01G326900;TraesCS6D01G403800;TraesCS1D01G404300;TraesCS3D01G380700;TraesCS7A01G171100;TraesCS3A01G366400;TraesCS2A01G159300;TraesCS2B01G144900;TraesCS7A01G426100;TraesCS5B01G106700;TraesCS3B01G108700;TraesCS2A01G122600;TraesCS2B01G318100;TraesCS7A01G426900;TraesCS7D01G419000;TraesCS2A01G462300;TraesCS2D01G166600;TraesCS7A01G426700</t>
  </si>
  <si>
    <t>TraesCS2A01G521000</t>
  </si>
  <si>
    <t>kinase activity</t>
  </si>
  <si>
    <t>TraesCS2D01G116700;TraesCS4B01G149500;TraesCS6B01G213500;TraesCS5D01G124000;TraesCS3D01G527400;TraesCS5B01G132400;TraesCS1D01G124200;TraesCS3A01G013400;TraesCS4D01G000300;TraesCS6B01G182900;TraesCS6D01G172100;TraesCS6B01G006500;TraesCS1A01G435300;TraesCS7A01G488800;TraesCS3A01G228000;TraesCS7B01G263100;TraesCS1A01G355200;TraesCS6A01G269800;TraesCS6D01G236400;TraesCS4B01G162700;TraesCS5D01G153800;TraesCS1B01G445300;TraesCS3B01G119300;TraesCS2D01G217500;TraesCS3B01G169200;TraesCS4A01G213400;TraesCS7D01G521000;TraesCS6D01G404800;TraesCS6B01G213600;TraesCS1B01G320400;TraesCS5A01G558300;TraesCS4D01G052200;TraesCS5A01G110100;TraesCS7B01G450800;TraesCS4A01G077500;TraesCS6D01G172000;TraesCS4B01G102400;TraesCS6B01G270400;TraesCS3B01G365200;TraesCS5B01G112900;TraesCS4B01G350300;TraesCS3B01G183500;TraesCS3D01G309600;TraesCS7B01G193600;TraesCS1A01G309400;TraesCS4D01G003800;TraesCS7B01G165200;TraesCS5D01G434800;TraesCS2B01G193000;TraesCS3B01G169300;TraesCS5D01G088700;TraesCS7A01G569400;TraesCS4D01G150200;TraesCS1D01G317200;TraesCS3B01G236500;TraesCS6A01G192900;TraesCS6D01G184000;TraesCS3D01G151400;TraesCS1D01G151900;TraesCS2A01G230100;TraesCS3A01G135400;TraesCS5B01G109300;TraesCS7D01G232700;TraesCS6D01G061500;TraesCS3A01G229800;TraesCS4A01G136500;TraesCS4D01G176600;TraesCS7B01G131000;TraesCS3B01G260900;TraesCS7D01G251100;TraesCS7D01G543200;TraesCS1D01G191800;TraesCS4D01G161900;TraesCS3D01G110300;TraesCS3A01G400600;TraesCS1D01G187400;TraesCS4A01G143600;TraesCS3A01G306000;TraesCS4B01G130300;TraesCS4D01G166800;TraesCS1D01G444300;TraesCS4A01G001100;TraesCS5D01G434700;TraesCS1B01G366400;TraesCS5A01G363400;TraesCS4A01G150100;TraesCS4B01G030100;TraesCS7B01G392000;TraesCS5B01G025000;TraesCS7B01G293200;TraesCS5A01G298500;TraesCS3D01G151500;TraesCS7D01G267700;TraesCS3B01G239200;TraesCS2A01G272400;TraesCS3A01G135500;TraesCS4D01G170700;TraesCS3D01G164700;TraesCS6D01G002200;TraesCS4B01G192200;TraesCS5D01G118300;TraesCS5B01G110400;TraesCS6A01G353500;TraesCS1B01G193000;TraesCS4B01G052000;TraesCS6D01G112900;TraesCS7D01G155500;TraesCS5A01G075200;TraesCS2A01G577000;TraesCS3A01G276100;TraesCS7B01G262500;TraesCS7D01G162700;TraesCS3B01G343900;TraesCS4A01G227200;TraesCS7A01G055000;TraesCS5A01G426800;TraesCS7A01G416100;TraesCS1A01G153400;TraesCS1A01G415300;TraesCS6A01G421000;TraesCS3A01G157100;TraesCS7A01G267000;TraesCS5B01G428600;TraesCS6B01G467300;TraesCS1D01G308800;TraesCS3A01G208900;TraesCS6D01G287600;TraesCS5B01G365500;TraesCS6A01G122700;TraesCS7A01G161400;TraesCS6A01G063300;TraesCS7A01G297200;TraesCS3D01G196000;TraesCS3B01G256700;TraesCS3B01G330500;TraesCS2B01G251700;TraesCS4B01G375400;TraesCS7D01G228500;TraesCS1B01G329700;TraesCS6B01G386100;TraesCS5A01G411300;TraesCS6B01G150900;TraesCS4D01G001000;TraesCS3B01G603300;TraesCS5A01G132500;TraesCS1B01G359800;TraesCS4A01G129900;TraesCS1B01G152700;TraesCS5B01G297700;TraesCS4D01G125500;TraesCS6D01G144800;TraesCS5D01G437000;TraesCS7D01G414900;TraesCS1A01G317300;TraesCS3A01G231700;TraesCS6B01G084500;TraesCS2D01G378100;TraesCS4A01G165400;TraesCS4A01G185600;TraesCS4A01G187900;TraesCS5D01G216400;TraesCS5A01G054700;TraesCS2B01G540200;TraesCS2D01G546200;TraesCS5D01G305200;TraesCS7D01G387000;TraesCS4B01G133100;TraesCS7A01G251200;TraesCS7B01G139900;TraesCS4B01G375300;TraesCS4D01G361600;TraesCS5D01G033500;TraesCS3A01G108500;TraesCS3A01G490100;TraesCS7A01G155200;TraesCS4A01G441600;TraesCS3D01G395000;TraesCS3B01G433600;TraesCS3B01G215600;TraesCS4B01G002300;TraesCS3D01G276000;TraesCS4B01G233600;TraesCS6A01G255100;TraesCS3A01G186000;TraesCS6D01G139200;TraesCS1B01G471100;TraesCS6D01G329000;TraesCS3D01G229200;TraesCS6A01G154900;TraesCS1A01G287900;TraesCS3B01G259100;TraesCS3D01G266100;TraesCS6D01G335800;TraesCS7D01G241800;TraesCS6A01G346100;TraesCS1D01G422800;TraesCS4A01G245900;TraesCS1D01G348900;TraesCS7B01G489300;TraesCS3A01G334200;TraesCS4A01G000300;TraesCS7B01G059300;TraesCS7D01G475200;TraesCS1A01G133200;TraesCS7D01G050100;TraesCS1A01G189000;TraesCS7B01G066500;TraesCS5B01G137600;TraesCS3D01G211800;TraesCS6B01G177800;TraesCS4D01G099200;TraesCS4B01G000300;TraesCS4D01G128000;TraesCS5B01G081500;TraesCS1B01G171500;TraesCS7D01G357700;TraesCS5B01G428700;TraesCS6B01G337100;TraesCS5D01G140700;TraesCS7D01G291600;TraesCS4B01G152500;TraesCS4B01G089100;TraesCS3D01G221700;TraesCS5D01G372600;TraesCS1B01G297300;TraesCS5B01G061800;TraesCS6A01G149900;TraesCS7D01G409400;TraesCS4D01G086800;TraesCS6A01G376200;TraesCS7A01G226000;TraesCS4A01G145600;TraesCS3D01G190000;TraesCS6A01G182800;TraesCS7B01G316100;TraesCS3D01G295900;TraesCS5A01G025700;TraesCS5D01G065900;TraesCS5A01G138300;TraesCS4A01G399600;TraesCS6B01G428500</t>
  </si>
  <si>
    <t>TraesCS2A01G551300</t>
  </si>
  <si>
    <t>cellulose synthase activity</t>
  </si>
  <si>
    <t>TraesCS2A01G210100;TraesCS2D01G126100;TraesCS7A01G331500;TraesCS7B01G243200;TraesCS2A01G122600;TraesCS2B01G318100;TraesCS2D01G301000;TraesCS7D01G339800;TraesCS5D01G261000;TraesCS2A01G302300;TraesCS2B01G144900</t>
  </si>
  <si>
    <t>TraesCS2A01G565700</t>
  </si>
  <si>
    <t>cellulose synthase (UDP-forming) activity</t>
  </si>
  <si>
    <t>TraesCS2A01G571500</t>
  </si>
  <si>
    <t>apical part of cell</t>
  </si>
  <si>
    <t>TraesCS2A01G572200</t>
  </si>
  <si>
    <t>plasma membrane part</t>
  </si>
  <si>
    <t>TraesCS1A01G134100;TraesCS7D01G147700;TraesCS7B01G048700;TraesCS2A01G240300;TraesCS1D01G161500;TraesCS1D01G135900;TraesCS4A01G185600;TraesCS5A01G221000;TraesCS1B01G181300;TraesCS5B01G219800;TraesCS7A01G146200;TraesCS5D01G228700;TraesCS4B01G219700;TraesCS1B01G440000</t>
  </si>
  <si>
    <t>TraesCS2A01G572900</t>
  </si>
  <si>
    <t>nucleoside-triphosphatase regulator activity</t>
  </si>
  <si>
    <t>TraesCS2A01G584200</t>
  </si>
  <si>
    <t>response to desiccation</t>
  </si>
  <si>
    <t>TraesCS7B01G034400;TraesCS3B01G106700;TraesCS3A01G091500;TraesCS3D01G091400;TraesCS3B01G255100;TraesCS3A01G225600</t>
  </si>
  <si>
    <t>TraesCS2A01G584800</t>
  </si>
  <si>
    <t>transferase activity, transferring acyl groups</t>
  </si>
  <si>
    <t>TraesCS1B01G280400;TraesCS5B01G291100;TraesCS6D01G358400;TraesCS2B01G007000;TraesCS4D01G121600;TraesCS5A01G401100;TraesCS1D01G396700;TraesCS2D01G135300;TraesCS5D01G512000;TraesCS7A01G206000;TraesCS2A01G014800;TraesCS4A01G191900;TraesCS3A01G251800;TraesCS2A01G507700;TraesCS2B01G007200;TraesCS5D01G328700;TraesCS1A01G034600;TraesCS2D01G016300;TraesCS1D01G420900;TraesCS6D01G321600;TraesCS3D01G279300;TraesCS3B01G139000;TraesCS5D01G299300;TraesCS4D01G277300;TraesCS4A01G361400;TraesCSU01G033700;TraesCS2B01G006700;TraesCS2D01G015700;TraesCS6A01G026800;TraesCS5B01G322500;TraesCS7D01G076700;TraesCS2B01G006300;TraesCS3D01G121700;TraesCS1B01G416800;TraesCS2D01G426800;TraesCS5A01G321800;TraesCS7D01G101900;TraesCS1A01G385500;TraesCS5A01G195500;TraesCS6B01G030300;TraesCS6B01G128200;TraesCS6B01G030800;TraesCS5D01G017000;TraesCS3A01G279400;TraesCS7A01G082200;TraesCS7D01G208600;TraesCS7B01G006300;TraesCS4A01G259400;TraesCS7B01G255800;TraesCS5A01G076500;TraesCS2D01G035000;TraesCS2D01G016200;TraesCS1B01G050600;TraesCS2B01G156800;TraesCS4A01G025300;TraesCS4B01G123500;TraesCS7A01G148300;TraesCS6D01G082300;TraesCS4A01G021500;TraesCS4B01G278800;TraesCS5B01G202800;TraesCS6B01G411800;TraesCS2B01G006000;TraesCS5D01G329000;TraesCS7D01G111200;TraesCS3B01G313800;TraesCS7D01G352300;TraesCS2B01G006800;TraesCS5B01G511500;TraesCS7B01G113200;TraesCS6A01G341400</t>
  </si>
  <si>
    <t>TraesCS2A01G591600</t>
  </si>
  <si>
    <t>lipid binding</t>
  </si>
  <si>
    <t>TraesCS1A01G266200;TraesCS1D01G266400;TraesCS7D01G168700;TraesCS4D01G045300;TraesCS2A01G307600;TraesCS4B01G045400;TraesCS4B01G397500;TraesCS6B01G010400;TraesCS4B01G219700;TraesCS5B01G296700;TraesCS3A01G053000;TraesCS7A01G490500;TraesCS6A01G005000;TraesCS6D01G143700;TraesCS2B01G012600;TraesCS4B01G222600;TraesCS5D01G304500;TraesCS6A01G154100;TraesCS7D01G264700;TraesCS4A01G081200;TraesCS4D01G223100;TraesCS7D01G476900;TraesCS4B01G088100;TraesCS1B01G277200;TraesCS6D01G007600;TraesCS7A01G185400</t>
  </si>
  <si>
    <t>TraesCS2A01G591900</t>
  </si>
  <si>
    <t>diacylglycerol O-acyltransferase activity</t>
  </si>
  <si>
    <t>TraesCS5B01G322500;TraesCS2B01G007200;TraesCS5D01G328700;TraesCS5D01G329000;TraesCS2D01G016300;TraesCS5A01G321800;TraesCS7D01G111200;TraesCS1A01G385500</t>
  </si>
  <si>
    <t>TraesCS2B01G001100</t>
  </si>
  <si>
    <t>exocyst</t>
  </si>
  <si>
    <t>TraesCS4A01G208500;TraesCS4A01G233400;TraesCS5D01G130800;TraesCS4B01G112100;TraesCS4B01G115200;TraesCS5A01G122400;TraesCS4D01G109600;TraesCS4D01G277500;TraesCS4B01G279000;TraesCS4A01G025100;TraesCS4D01G080800;TraesCS4D01G112900;TraesCS5B01G122500;TraesCS4A01G200100;TraesCS4B01G082700</t>
  </si>
  <si>
    <t>TraesCS2B01G005900</t>
  </si>
  <si>
    <t>specification of plant organ identity</t>
  </si>
  <si>
    <t>TraesCS7A01G383800;TraesCS3A01G406500;TraesCS7B01G286600;TraesCS7D01G380300</t>
  </si>
  <si>
    <t>TraesCS2B01G006000</t>
  </si>
  <si>
    <t>specification of floral organ identity</t>
  </si>
  <si>
    <t>TraesCS2B01G006300</t>
  </si>
  <si>
    <t>cytoskeleton</t>
  </si>
  <si>
    <t>TraesCS2A01G045000;TraesCS7A01G061500;TraesCS5D01G558600;TraesCS2A01G410700;TraesCS6A01G247000;TraesCS5B01G566200;TraesCS5A01G317000;TraesCS6A01G188600;TraesCS1A01G358500;TraesCS4A01G078900;TraesCS4A01G169700;TraesCS2D01G043600;TraesCS6B01G215900;TraesCS1B01G356700;TraesCS1B01G375000;TraesCS1D01G363400;TraesCS4D01G144800;TraesCS5B01G317600;TraesCS7D01G190300;TraesCS2B01G255200;TraesCS3B01G311200;TraesCS7D01G056400;TraesCS4A01G313500;TraesCS5D01G323300;TraesCS2A01G227300;TraesCS2B01G429500;TraesCS4B01G126400;TraesCS6B01G277600;TraesCS7B01G094100;TraesCS6D01G177300;TraesCS5D01G000400</t>
  </si>
  <si>
    <t>TraesCS2B01G006600</t>
  </si>
  <si>
    <t>oligosaccharide metabolic process</t>
  </si>
  <si>
    <t>TraesCS2B01G006700</t>
  </si>
  <si>
    <t>antibiotic metabolic process</t>
  </si>
  <si>
    <t>TraesCS1B01G095800;TraesCS3A01G239200;TraesCS2B01G124900;TraesCS4D01G045300;TraesCS1D01G096400;TraesCS7B01G210400;TraesCS4D01G268200;TraesCS1D01G317700;TraesCS4B01G045400;TraesCS2B01G592100;TraesCS7B01G118200;TraesCS2B01G131600;TraesCS4D01G170600;TraesCS4A01G136600;TraesCS2A01G591600;TraesCS3B01G008500;TraesCS7D01G307100;TraesCS2B01G284900;TraesCS7A01G310600;TraesCS7D01G442300;TraesCS4A01G036100;TraesCS1A01G078100;TraesCS2D01G562600;TraesCS3B01G011200;TraesCS1B01G330400;TraesCS3D01G005000;TraesCS4B01G268900</t>
  </si>
  <si>
    <t>TraesCS2B01G006800</t>
  </si>
  <si>
    <t>copper ion binding</t>
  </si>
  <si>
    <t>TraesCS5B01G564000;TraesCS5D01G550600;TraesCS3A01G340200;TraesCS3A01G365300;TraesCS6A01G287100;TraesCS2A01G551300;TraesCS3B01G379900;TraesCS1A01G304100;TraesCS1B01G314600;TraesCS1B01G440000;TraesCS1D01G303600;TraesCS1A01G410200;TraesCS4D01G042200;TraesCS2B01G582500;TraesCS3B01G392700;TraesCS4A01G315400;TraesCS3D01G341600;TraesCS3B01G371800;TraesCS3A01G360400;TraesCS6A01G242500;TraesCS4A01G269400;TraesCS2D01G552300;TraesCS3D01G354200;TraesCS4B01G044700;TraesCS6D01G267900;TraesCS3D01G358500;TraesCS3B01G397200;TraesCS4A01G028800</t>
  </si>
  <si>
    <t>TraesCS2B01G006900</t>
  </si>
  <si>
    <t>cell cortex part</t>
  </si>
  <si>
    <t>TraesCS2B01G007000</t>
  </si>
  <si>
    <t>cell growth</t>
  </si>
  <si>
    <t>TraesCS5B01G222500;TraesCS7D01G147700;TraesCS5B01G025000;TraesCS2A01G240300;TraesCS7A01G136600;TraesCS7D01G136500;TraesCS5D01G033500;TraesCS4A01G089000;TraesCS7B01G086400;TraesCS4B01G215300;TraesCS1D01G144300;TraesCS5A01G025700;TraesCS4B01G219700;TraesCS6B01G331500;TraesCS5D01G002400;TraesCS7D01G380300;TraesCS3D01G407400</t>
  </si>
  <si>
    <t>TraesCS2B01G007100</t>
  </si>
  <si>
    <t>TraesCS6A01G009000;TraesCS1A01G134100;TraesCS1B01G211100;TraesCS5D01G297100;TraesCS3B01G441800;TraesCS2D01G042400;TraesCS7A01G533900;TraesCS6D01G009600;TraesCS7D01G521400;TraesCS1D01G135900;TraesCS5B01G288600;TraesCS2A01G043200</t>
  </si>
  <si>
    <t>TraesCS2B01G007200</t>
  </si>
  <si>
    <t>disaccharide catabolic process</t>
  </si>
  <si>
    <t>TraesCS2B01G012400</t>
  </si>
  <si>
    <t>actin polymerization or depolymerization</t>
  </si>
  <si>
    <t>TraesCS2B01G012600</t>
  </si>
  <si>
    <t>plasma membrane region</t>
  </si>
  <si>
    <t>TraesCS2B01G024500</t>
  </si>
  <si>
    <t>monooxygenase activity</t>
  </si>
  <si>
    <t>TraesCS2A01G565700;TraesCS7D01G271100;TraesCS4B01G009700;TraesCS2A01G066800;TraesCS2A01G066900;TraesCS2A01G066700;TraesCS2B01G049400;TraesCS2D01G035500;TraesCS2A01G331800;TraesCS3B01G044900;TraesCS7D01G511600;TraesCS3B01G176800;TraesCS7D01G511500;TraesCSU01G012200;TraesCS2D01G002800;TraesCS5A01G102700;TraesCS5A01G362400;TraesCS2A01G067100;TraesCS2A01G067200;TraesCS5D01G370600;TraesCS2A01G067000;TraesCS2B01G035600;TraesCS2A01G067300;TraesCS5A01G056600;TraesCS2D01G002500;TraesCS5A01G348100;TraesCS5D01G006800;TraesCS2B01G006600;TraesCS2B01G350400;TraesCS2A01G015600;TraesCS2B01G079500;TraesCS2D01G065600;TraesCS2D01G065400;TraesCS2D01G065500;TraesCS2D01G065200;TraesCS2D01G065300;TraesCS2D01G065100;TraesCS5D01G354300;TraesCS2A01G013200;TraesCS2B01G079400;TraesCS2A01G015400;TraesCS5B01G364300;TraesCS2B01G079200;TraesCS5B01G364200;TraesCS2B01G079100;TraesCS5B01G349200</t>
  </si>
  <si>
    <t>TraesCS2B01G028400</t>
  </si>
  <si>
    <t>galacturonan metabolic process</t>
  </si>
  <si>
    <t>TraesCS3B01G598100;TraesCS5D01G099300;TraesCS4A01G116700;TraesCS4A01G143800;TraesCS2D01G091800;TraesCS2A01G344200;TraesCS3B01G354300;TraesCS2B01G024500;TraesCS5B01G458900</t>
  </si>
  <si>
    <t>TraesCS2B01G035600</t>
  </si>
  <si>
    <t>pectin metabolic process</t>
  </si>
  <si>
    <t>TraesCS2B01G049400</t>
  </si>
  <si>
    <t>phosphotransferase activity, alcohol group as acceptor</t>
  </si>
  <si>
    <t>TraesCS2D01G116700;TraesCS4B01G149500;TraesCS6B01G213500;TraesCS5D01G124000;TraesCS3D01G527400;TraesCS5B01G132400;TraesCS1D01G124200;TraesCS3A01G013400;TraesCS4D01G000300;TraesCS6B01G182900;TraesCS6D01G172100;TraesCS6B01G006500;TraesCS1A01G435300;TraesCS7A01G488800;TraesCS3A01G228000;TraesCS7B01G263100;TraesCS1A01G355200;TraesCS6A01G269800;TraesCS6D01G236400;TraesCS4B01G162700;TraesCS5D01G153800;TraesCS1B01G445300;TraesCS3B01G119300;TraesCS2D01G217500;TraesCS3B01G169200;TraesCS7D01G521000;TraesCS6D01G404800;TraesCS6B01G213600;TraesCS1B01G320400;TraesCS5A01G558300;TraesCS4D01G052200;TraesCS5A01G110100;TraesCS4A01G077500;TraesCS6D01G172000;TraesCS6B01G270400;TraesCS3B01G365200;TraesCS5B01G112900;TraesCS4B01G350300;TraesCS3B01G183500;TraesCS7B01G193600;TraesCS1A01G309400;TraesCS4D01G003800;TraesCS7B01G165200;TraesCS5D01G434800;TraesCS2B01G193000;TraesCS3B01G169300;TraesCS5D01G088700;TraesCS7A01G569400;TraesCS4D01G150200;TraesCS1D01G317200;TraesCS3B01G236500;TraesCS6A01G192900;TraesCS6D01G184000;TraesCS3D01G151400;TraesCS1D01G151900;TraesCS2A01G230100;TraesCS3A01G135400;TraesCS5B01G109300;TraesCS7D01G232700;TraesCS6D01G061500;TraesCS3A01G229800;TraesCS4A01G136500;TraesCS4D01G176600;TraesCS7B01G131000;TraesCS3B01G260900;TraesCS7D01G251100;TraesCS7D01G543200;TraesCS1D01G191800;TraesCS4D01G161900;TraesCS3D01G110300;TraesCS3A01G400600;TraesCS1D01G187400;TraesCS4A01G143600;TraesCS3A01G306000;TraesCS4B01G130300;TraesCS4D01G166800;TraesCS1D01G444300;TraesCS4A01G001100;TraesCS5D01G434700;TraesCS1B01G366400;TraesCS5A01G363400;TraesCS4A01G150100;TraesCS4B01G030100;TraesCS7B01G392000;TraesCS5B01G025000;TraesCS7B01G293200;TraesCS5A01G298500;TraesCS3D01G151500;TraesCS7D01G267700;TraesCS3B01G239200;TraesCS2A01G272400;TraesCS3A01G135500;TraesCS4D01G170700;TraesCS3D01G164700;TraesCS6D01G002200;TraesCS4B01G192200;TraesCS5D01G118300;TraesCS5B01G110400;TraesCS6A01G353500;TraesCS1B01G193000;TraesCS4B01G052000;TraesCS6D01G112900;TraesCS7D01G155500;TraesCS5A01G075200;TraesCS2A01G577000;TraesCS3A01G276100;TraesCS7B01G262500;TraesCS7D01G162700;TraesCS4A01G227200;TraesCS7A01G055000;TraesCS5A01G426800;TraesCS7A01G416100;TraesCS1A01G153400;TraesCS1A01G415300;TraesCS6A01G421000;TraesCS3A01G157100;TraesCS7A01G267000;TraesCS3D01G008400;TraesCS5B01G428600;TraesCS6B01G467300;TraesCS1D01G308800;TraesCS3A01G208900;TraesCS6D01G287600;TraesCS5B01G365500;TraesCS6A01G122700;TraesCS7A01G161400;TraesCS6A01G063300;TraesCS7A01G297200;TraesCS3D01G196000;TraesCS3B01G256700;TraesCS3B01G330500;TraesCS2B01G251700;TraesCS4B01G375400;TraesCS7D01G228500;TraesCS1B01G329700;TraesCS6B01G386100;TraesCS5A01G411300;TraesCS6B01G150900;TraesCS4D01G001000;TraesCS3B01G603300;TraesCS5A01G132500;TraesCS4A01G129900;TraesCS1B01G152700;TraesCS5B01G297700;TraesCS4D01G125500;TraesCS6D01G144800;TraesCS5D01G437000;TraesCS7D01G414900;TraesCS1A01G317300;TraesCS3A01G231700;TraesCS6B01G084500;TraesCS2D01G378100;TraesCS4A01G165400;TraesCS4A01G185600;TraesCS4A01G187900;TraesCS5D01G216400;TraesCS5A01G054700;TraesCS2B01G540200;TraesCS2D01G546200;TraesCS5D01G305200;TraesCS7D01G387000;TraesCS4B01G133100;TraesCS7A01G251200;TraesCS7B01G139900;TraesCS4B01G375300;TraesCS4D01G361600;TraesCS5D01G033500;TraesCS3A01G108500;TraesCS3A01G490100;TraesCS7A01G155200;TraesCS4A01G441600;TraesCS3D01G395000;TraesCS3B01G433600;TraesCS4B01G002300;TraesCS3D01G276000;TraesCS4B01G233600;TraesCS6A01G255100;TraesCS6D01G139200;TraesCS1B01G471100;TraesCS6D01G329000;TraesCS3D01G229200;TraesCS6A01G154900;TraesCS1A01G287900;TraesCS3B01G259100;TraesCS3D01G266100;TraesCS6D01G335800;TraesCS7D01G241800;TraesCS6A01G346100;TraesCS1D01G422800;TraesCS7B01G489300;TraesCS3A01G334200;TraesCS4A01G000300;TraesCS7B01G059300;TraesCS7D01G475200;TraesCS1A01G133200;TraesCS7D01G050100;TraesCS1A01G189000;TraesCS7B01G066500;TraesCS5B01G137600;TraesCS3D01G211800;TraesCS6B01G177800;TraesCS4B01G000300;TraesCS4D01G128000;TraesCS5B01G081500;TraesCS1B01G171500;TraesCS7D01G357700;TraesCS5B01G428700;TraesCS6B01G337100;TraesCS5D01G140700;TraesCS7D01G291600;TraesCS4B01G152500;TraesCS4B01G089100;TraesCS3D01G221700;TraesCS5D01G372600;TraesCS1B01G297300;TraesCS5B01G061800;TraesCS6A01G149900;TraesCS7D01G409400;TraesCS4D01G086800;TraesCS6A01G376200;TraesCS7A01G226000;TraesCS4A01G145600;TraesCS6A01G182800;TraesCS7B01G316100;TraesCS3D01G295900;TraesCS5A01G025700;TraesCS5D01G065900;TraesCS5A01G138300;TraesCS4A01G399600;TraesCS6B01G428500</t>
  </si>
  <si>
    <t>TraesCS2B01G063700</t>
  </si>
  <si>
    <t>acylglycerol O-acyltransferase activity</t>
  </si>
  <si>
    <t>TraesCS2B01G078900</t>
  </si>
  <si>
    <t>oligosaccharide catabolic process</t>
  </si>
  <si>
    <t>TraesCS2B01G079100</t>
  </si>
  <si>
    <t>exocytic process</t>
  </si>
  <si>
    <t>TraesCS3A01G538700;TraesCS3B01G607200;TraesCS4A01G025100;TraesCS4D01G277500;TraesCS4B01G279000;TraesCS3D01G542100</t>
  </si>
  <si>
    <t>TraesCS2B01G079300</t>
  </si>
  <si>
    <t>vesicle docking involved in exocytosis</t>
  </si>
  <si>
    <t>TraesCS2B01G079400</t>
  </si>
  <si>
    <t>oxidoreductase activity, acting on the aldehyde or oxo group of donors, NAD or NADP as acceptor</t>
  </si>
  <si>
    <t>TraesCS4D01G282000;TraesCS7B01G291100;TraesCS7D01G278300;TraesCS5A01G495100;TraesCS7B01G176400;TraesCS6B01G321400;TraesCS4A01G388600;TraesCS6B01G284900;TraesCS4B01G363100;TraesCS5B01G238300;TraesCS4A01G020500;TraesCS4D01G319400;TraesCS7A01G278500</t>
  </si>
  <si>
    <t>TraesCS2B01G079500</t>
  </si>
  <si>
    <t>TraesCS4B01G194800;TraesCS1B01G024700;TraesCS1D01G020200;TraesCS1A01G020700</t>
  </si>
  <si>
    <t>TraesCS2B01G090300</t>
  </si>
  <si>
    <t>phospholipid binding</t>
  </si>
  <si>
    <t>TraesCS5D01G304500;TraesCS6A01G154100;TraesCS7A01G490500;TraesCS7D01G264700;TraesCS1A01G266200;TraesCS6D01G143700;TraesCS1D01G266400;TraesCS7D01G476900;TraesCS1B01G277200;TraesCS7A01G185400;TraesCS4B01G219700;TraesCS5B01G296700</t>
  </si>
  <si>
    <t>TraesCS2B01G091000</t>
  </si>
  <si>
    <t>sodium ion transport</t>
  </si>
  <si>
    <t>TraesCS1B01G314100;TraesCS5A01G263100;TraesCS5D01G268200;TraesCS5B01G149200;TraesCS1B01G307100;TraesCS3A01G340500;TraesCS6D01G290000;TraesCS2D01G523600</t>
  </si>
  <si>
    <t>TraesCS2B01G106400</t>
  </si>
  <si>
    <t>somatic embryogenesis</t>
  </si>
  <si>
    <t>TraesCS3A01G249100;TraesCS3D01G249100</t>
  </si>
  <si>
    <t>TraesCS2B01G124900</t>
  </si>
  <si>
    <t>negative regulation of gibberellin biosynthetic process</t>
  </si>
  <si>
    <t>TraesCS2B01G144900</t>
  </si>
  <si>
    <t>GTPase binding</t>
  </si>
  <si>
    <t>TraesCS3D01G246200;TraesCS3A01G245300;TraesCS3A01G305500;TraesCS1D01G400200;TraesCS3B01G331000;TraesCS6A01G196000;TraesCS3B01G274600;TraesCS1B01G420200;TraesCS4B01G219700;TraesCS1A01G392100;TraesCS3D01G296400;TraesCS6D01G183300</t>
  </si>
  <si>
    <t>TraesCS2B01G156800</t>
  </si>
  <si>
    <t>glycerophosphodiester phosphodiesterase activity</t>
  </si>
  <si>
    <t>TraesCS1B01G368600;TraesCS1D01G357000;TraesCS1A01G353200;TraesCS6A01G174100;TraesCS6B01G202700;TraesCS6D01G163200</t>
  </si>
  <si>
    <t>TraesCS2B01G179200</t>
  </si>
  <si>
    <t>UDP-glycosyltransferase activity</t>
  </si>
  <si>
    <t>TraesCS7D01G036600;TraesCS7A01G040900;TraesCS7B01G243200;TraesCS7D01G147700;TraesCS7B01G048700;TraesCS1A01G266600;TraesCS3B01G461800;TraesCSU01G082000;TraesCS4A01G143800;TraesCS4D01G169800;TraesCS4B01G031700;TraesCS7A01G146200;TraesCS2D01G301000;TraesCS5D01G261000;TraesCS3D01G420300;TraesCS4B01G167500;TraesCS2A01G210100;TraesCS2D01G126100;TraesCS3A01G425500;TraesCS7A01G331500;TraesCS6D01G403800;TraesCS7D01G339800;TraesCS2A01G302300;TraesCS2B01G144900;TraesCS2A01G122600;TraesCS4A01G492600;TraesCS2B01G318100;TraesCS6B01G466600</t>
  </si>
  <si>
    <t>TraesCS2B01G186100</t>
  </si>
  <si>
    <t>cell wall macromolecule metabolic process</t>
  </si>
  <si>
    <t>TraesCS6A01G337600;TraesCS7D01G418600;TraesCS1A01G396200;TraesCS4A01G321800;TraesCS7D01G418900;TraesCS7B01G326900;TraesCS6B01G110400;TraesCS6D01G318500;TraesCS1D01G404300;TraesCS4A01G078900;TraesCS7B01G327000;TraesCS1A01G266600;TraesCS7A01G426100;TraesCS1D01G207100;TraesCS3B01G108700;TraesCS1A01G203700;TraesCS7A01G427000;TraesCS6A01G088000;TraesCS7A01G426900;TraesCS7D01G419100;TraesCSU01G018400;TraesCS6B01G368300;TraesCS7A01G426600;TraesCS7A01G426700</t>
  </si>
  <si>
    <t>TraesCS2B01G212600</t>
  </si>
  <si>
    <t>sexual reproduction</t>
  </si>
  <si>
    <t>TraesCS1D01G215100;TraesCS1D01G215300;TraesCS7D01G147700;TraesCS2D01G411200;TraesCS3D01G474800;TraesCS2A01G413400;TraesCS5D01G553500;TraesCS1A01G208200;TraesCS1B01G225900;TraesCS2B01G432100;TraesCS4D01G355700;TraesCS5B01G556000;TraesCS5A01G001300;TraesCS1B01G222300;TraesCS5D01G320100;TraesCS4A01G322400;TraesCS5D01G001700;TraesCS1A01G212300;TraesCS2D01G216300;TraesCS1D01G211500</t>
  </si>
  <si>
    <t>TraesCS2B01G247300</t>
  </si>
  <si>
    <t>multi-organism reproductive process</t>
  </si>
  <si>
    <t>TraesCS2B01G251700</t>
  </si>
  <si>
    <t>pollen germination</t>
  </si>
  <si>
    <t>TraesCS3A01G245300;TraesCS7D01G147700;TraesCS2A01G122600;TraesCS7D01G339800;TraesCS2B01G144900</t>
  </si>
  <si>
    <t>TraesCS2B01G284900</t>
  </si>
  <si>
    <t>beta-galactosidase activity</t>
  </si>
  <si>
    <t>TraesCS5A01G330900;TraesCS5B01G331300;TraesCS5D01G336700;TraesCS7A01G272400;TraesCS7D01G272600</t>
  </si>
  <si>
    <t>TraesCS2B01G285700</t>
  </si>
  <si>
    <t>inorganic diphosphatase activity</t>
  </si>
  <si>
    <t>TraesCS1B01G283300;TraesCS1A01G342700;TraesCS1A01G273500;TraesCS1D01G273500;TraesCS1D01G344800;TraesCS1B01G355800</t>
  </si>
  <si>
    <t>TraesCS2B01G297300</t>
  </si>
  <si>
    <t>vesicle docking</t>
  </si>
  <si>
    <t>TraesCS2B01G299100</t>
  </si>
  <si>
    <t>galactosidase activity</t>
  </si>
  <si>
    <t>TraesCS5A01G330900;TraesCS5B01G331300;TraesCS5D01G336700;TraesCS6A01G303200;TraesCS7A01G272400;TraesCS7D01G272600</t>
  </si>
  <si>
    <t>TraesCS2B01G313400</t>
  </si>
  <si>
    <t>photosynthesis, dark reaction</t>
  </si>
  <si>
    <t>TraesCS2D01G065400;TraesCS2D01G065500;TraesCS2A01G067300;TraesCS2B01G079400</t>
  </si>
  <si>
    <t>TraesCS2B01G335500</t>
  </si>
  <si>
    <t>reductive pentose-phosphate cycle</t>
  </si>
  <si>
    <t>TraesCS2B01G341500</t>
  </si>
  <si>
    <t>transferase activity</t>
  </si>
  <si>
    <t>TraesCS5B01G331200;TraesCS7D01G147700;TraesCS7B01G186600;TraesCS2D01G116700;TraesCS5A01G401100;TraesCS6B01G213500;TraesCS7A01G206000;TraesCS1A01G266600;TraesCS3B01G461800;TraesCS4D01G215000;TraesCS7D01G431300;TraesCS3A01G013400;TraesCS1A01G369600;TraesCS4D01G000300;TraesCS6B01G182900;TraesCS6D01G172100;TraesCS6B01G006500;TraesCS1A01G435300;TraesCS7A01G488800;TraesCS3A01G228000;TraesCS7B01G263100;TraesCS1A01G355200;TraesCS2B01G006700;TraesCS4B01G235400;TraesCS5B01G322500;TraesCS2D01G426800;TraesCS6B01G466600;TraesCS1B01G445300;TraesCS2D01G217500;TraesCS3B01G169200;TraesCS4A01G213400;TraesCS6B01G110400;TraesCS7D01G521000;TraesCS6D01G404800;TraesCS3D01G359200;TraesCS6B01G213600;TraesCS1B01G320400;TraesCS1D01G375700;TraesCS7A01G293900;TraesCS7B01G450800;TraesCS2B01G028400;TraesCS4A01G077500;TraesCS2B01G156800;TraesCS6D01G172000;TraesCS4A01G021500;TraesCS4B01G167500;TraesCS4A01G321800;TraesCS4D01G094600;TraesCS6B01G270400;TraesCS3A01G425500;TraesCS7B01G326900;TraesCS3B01G365200;TraesCS1D01G404300;TraesCS7A01G520500;TraesCS3A01G158000;TraesCS4B01G350300;TraesCS3B01G183500;TraesCS2B01G006800;TraesCS7A01G426100;TraesCS1A01G309400;TraesCS2A01G122600;TraesCS4D01G003800;TraesCS5D01G434800;TraesCS1D01G375600;TraesCS3B01G169300;TraesCS5D01G088700;TraesCS4D01G150200;TraesCS6D01G358400;TraesCS6D01G184000;TraesCS3D01G359300;TraesCS2B01G131600;TraesCS1D01G420900;TraesCS4B01G047000;TraesCS6B01G350600;TraesCS6D01G061500;TraesCS4A01G136500;TraesCS4D01G176600;TraesCS3A01G366300;TraesCS4D01G277300;TraesCS5A01G102200;TraesCS7D01G543200;TraesCS1D01G191800;TraesCS3D01G110300;TraesCSU01G033700;TraesCS1D01G187400;TraesCS2A01G302300;TraesCS3A01G306000;TraesCS4B01G130300;TraesCS4D01G166800;TraesCSU01G018400;TraesCS7D01G101900;TraesCS5D01G434700;TraesCS1B01G366400;TraesCS1D01G375500;TraesCS7B01G048700;TraesCS2A01G376400;TraesCS5D01G017000;TraesCS7A01G082200;TraesCS3B01G239200;TraesCS2A01G272400;TraesCS6D01G082300;TraesCS6D01G002200;TraesCS5D01G118300;TraesCS6B01G411800;TraesCS6D01G403800;TraesCS6A01G353500;TraesCS1B01G193000;TraesCS3A01G366400;TraesCS2B01G144900;TraesCS7D01G352300;TraesCS4D01G162300;TraesCS7D01G155500;TraesCS5B01G106700;TraesCS7D01G510200;TraesCS2A01G577000;TraesCS3A01G276100;TraesCS6A01G341400;TraesCS7D01G418600;TraesCS5A01G426800;TraesCS7A01G416100;TraesCS1A01G153400;TraesCS6A01G421000;TraesCS7B01G327000;TraesCS6B01G467300;TraesCS1D01G308800;TraesCS3A01G208900;TraesCS6D01G287600;TraesCS6D01G321600;TraesCS6A01G063300;TraesCS7A01G297200;TraesCS3D01G196000;TraesCS3B01G256700;TraesCS7D01G228500;TraesCS7B01G448900;TraesCS7D01G289800;TraesCS1A01G335200;TraesCS5A01G411300;TraesCS2A01G568000;TraesCS7D01G076700;TraesCS4D01G001000;TraesCS3B01G603300;TraesCS5A01G132500;TraesCS1B01G359800;TraesCS3D01G165600;TraesCS7A01G426600;TraesCS6B01G128200;TraesCS7B01G436900;TraesCS7D01G418700;TraesCS1B01G152700;TraesCS6B01G030800;TraesCS3A01G279400;TraesCS1A01G317300;TraesCS2B01G184900;TraesCS6B01G084500;TraesCS4A01G165400;TraesCS5D01G216400;TraesCS3D01G023100;TraesCS5A01G054700;TraesCS5A01G076500;TraesCS5A01G435500;TraesCS2D01G035000;TraesCS2D01G546200;TraesCS5D01G305200;TraesCS7D01G387000;TraesCS7A01G251200;TraesCS3D01G420300;TraesCS2D01G126100;TraesCS3A01G108500;TraesCS3A01G490100;TraesCS7A01G155200;TraesCS3D01G395000;TraesCS3B01G433600;TraesCS3B01G108700;TraesCS4B01G002300;TraesCS3D01G276000;TraesCS4B01G233600;TraesCS2D01G166600;TraesCS3A01G186000;TraesCS1B01G471100;TraesCS6D01G329000;TraesCS4D01G121600;TraesCS4B01G153800;TraesCS1D01G396700;TraesCS2D01G437900;TraesCS3D01G266100;TraesCS6D01G335800;TraesCS4A01G191900;TraesCS7D01G241800;TraesCS2A01G123800;TraesCS1D01G422800;TraesCS7B01G489300;TraesCS3D01G279300;TraesCS7B01G059300;TraesCS7D01G171900;TraesCS2A01G210100;TraesCS7D01G050100;TraesCS2D01G015700;TraesCS6B01G177800;TraesCS3D01G121700;TraesCS4A01G492600;TraesCS4B01G000300;TraesCS7D01G040300;TraesCS4D01G128000;TraesCS1A01G385500;TraesCS2D01G374500;TraesCS7D01G418900;TraesCS5B01G081500;TraesCS1B01G171500;TraesCS7D01G357700;TraesCS4A01G259400;TraesCS6B01G337100;TraesCS4B01G152500;TraesCS4B01G089100;TraesCS7B01G424600;TraesCS1B01G297300;TraesCS5B01G061800;TraesCS6A01G149900;TraesCS7D01G452900;TraesCS4D01G086800;TraesCS6A01G376200;TraesCS7D01G111200;TraesCS7A01G226000;TraesCS4A01G145600;TraesCS6A01G182800;TraesCS7B01G316100;TraesCS3D01G295900;TraesCS5D01G065900;TraesCS4A01G399600;TraesCS1B01G280400;TraesCS5B01G291100;TraesCS2B01G007000;TraesCS4B01G149500;TraesCS2A01G378200;TraesCS5D01G124000;TraesCS3D01G527400;TraesCS5B01G132400;TraesCS3A01G251800;TraesCS1D01G124200;TraesCS7B01G019600;TraesCS2A01G507700;TraesCS2D01G016300;TraesCS5B01G120300;TraesCS2B01G393900;TraesCS3B01G139000;TraesCS7A01G331500;TraesCS5D01G299300;TraesCS6A01G269800;TraesCS6D01G236400;TraesCS4B01G162700;TraesCS5A01G321800;TraesCS5D01G153800;TraesCS3B01G119300;TraesCS7D01G313600;TraesCS7D01G208600;TraesCS2A01G378100;TraesCS2A01G347800;TraesCSU01G082000;TraesCS5A01G558300;TraesCS5B01G398600;TraesCS4B01G071600;TraesCS4D01G052200;TraesCS5A01G110100;TraesCS4D01G169800;TraesCS2D01G016200;TraesCS7A01G146200;TraesCS2D01G301000;TraesCS7A01G444200;TraesCS4A01G025300;TraesCS4B01G102400;TraesCS5B01G202800;TraesCS2B01G006000;TraesCS3B01G185000;TraesCS5D01G329000;TraesCS5B01G112900;TraesCS3D01G380700;TraesCS7A01G549700;TraesCS3D01G309600;TraesCS5B01G511500;TraesCS7B01G193600;TraesCS2B01G318100;TraesCS7A01G426900;TraesCS7B01G165200;TraesCS7D01G380100;TraesCS2B01G193000;TraesCS7A01G569400;TraesCS6D01G318500;TraesCS1D01G317200;TraesCS3B01G236500;TraesCS6A01G192900;TraesCS3D01G151400;TraesCS5D01G512000;TraesCS1D01G151900;TraesCS2A01G014800;TraesCS2A01G230100;TraesCS2B01G007200;TraesCS3A01G135400;TraesCS4B01G125500;TraesCS5B01G109300;TraesCS5D01G261000;TraesCS7D01G232700;TraesCS3A01G229800;TraesCS7B01G131000;TraesCS2D01G025100;TraesCS3B01G260900;TraesCS7D01G251100;TraesCS6A01G317900;TraesCS4D01G161900;TraesCS3A01G400600;TraesCS4A01G143600;TraesCS2B01G366200;TraesCS1D01G444300;TraesCS4A01G001100;TraesCS2D01G346100;TraesCS5A01G363400;TraesCS6A01G337600;TraesCS1A01G396200;TraesCS4A01G150100;TraesCS4B01G030100;TraesCS1D01G266700;TraesCS7B01G392000;TraesCS5B01G025000;TraesCS7B01G293200;TraesCS5A01G298500;TraesCS3A01G065700;TraesCS7B01G006300;TraesCS3D01G151500;TraesCS7D01G267700;TraesCS4D01G236800;TraesCS4A01G143800;TraesCS3A01G135500;TraesCS2A01G440900;TraesCS4D01G170700;TraesCS7A01G148300;TraesCS3D01G164700;TraesCS3B01G419800;TraesCS4B01G192200;TraesCS4B01G278800;TraesCS3D01G540200;TraesCS5B01G110400;TraesCS4B01G052000;TraesCS6D01G112900;TraesCS5A01G075200;TraesCS4A01G301600;TraesCS7B01G262500;TraesCS7D01G162700;TraesCS3B01G343900;TraesCS4A01G227200;TraesCS7A01G426700;TraesCS7A01G055000;TraesCS7B01G243200;TraesCS1A01G415300;TraesCS3A01G157100;TraesCS7A01G267000;TraesCS3D01G008400;TraesCS5B01G428600;TraesCS7A01G427000;TraesCS1A01G034600;TraesCS5B01G365500;TraesCS6A01G122700;TraesCS7A01G161400;TraesCS5D01G127100;TraesCS3B01G330500;TraesCS4A01G361400;TraesCS1B01G388700;TraesCS2B01G251700;TraesCS4B01G375400;TraesCS7D01G339800;TraesCS1B01G329700;TraesCS7B01G473200;TraesCS6B01G386100;TraesCS6A01G026800;TraesCS4A01G059800;TraesCS6B01G150900;TraesCS2B01G006300;TraesCS1B01G416800;TraesCS4D01G359500;TraesCS5A01G195500;TraesCS4A01G129900;TraesCS5B01G297700;TraesCS4D01G125500;TraesCS6D01G144800;TraesCS5D01G437000;TraesCS7D01G414900;TraesCS3A01G231700;TraesCS2D01G378100;TraesCS4A01G185600;TraesCS4A01G187900;TraesCS2B01G540200;TraesCS4B01G133100;TraesCS3D01G466900;TraesCS7B01G139900;TraesCS4B01G375300;TraesCS4D01G361600;TraesCS5D01G033500;TraesCS7A01G171100;TraesCS4A01G441600;TraesCS2A01G159300;TraesCS3B01G313800;TraesCS3B01G215600;TraesCS7D01G419000;TraesCS6A01G255100;TraesCS2A01G462300;TraesCS6D01G139200;TraesCS7D01G036600;TraesCS7A01G040900;TraesCS1D01G440900;TraesCS3D01G229200;TraesCS6A01G154900;TraesCS1A01G287900;TraesCS2D01G135300;TraesCS3B01G259100;TraesCS6A01G346100;TraesCS4A01G245900;TraesCS5D01G328700;TraesCS6A01G088000;TraesCS1D01G348900;TraesCS6B01G368300;TraesCS7B01G076200;TraesCS3D01G464900;TraesCS3A01G334200;TraesCS4A01G000300;TraesCS7D01G475200;TraesCS1A01G133200;TraesCS3B01G021900;TraesCS1A01G189000;TraesCS7B01G066500;TraesCS5B01G137600;TraesCS3D01G211800;TraesCS4D01G099200;TraesCS7D01G419100;TraesCS4B01G363100;TraesCS6B01G030300;TraesCS4D01G150500;TraesCS7B01G255800;TraesCS5B01G428700;TraesCS5D01G140700;TraesCS2B01G395100;TraesCS7D01G291600;TraesCS7D01G536300;TraesCS3D01G221700;TraesCS4B01G031700;TraesCS1B01G050600;TraesCS5D01G114100;TraesCS5D01G372600;TraesCS4B01G123500;TraesCS7A01G465200;TraesCS7D01G409400;TraesCS3D01G190000;TraesCS7B01G113200;TraesCS5A01G025700;TraesCS5A01G138300;TraesCS6B01G428500</t>
  </si>
  <si>
    <t>TraesCS2B01G346100</t>
  </si>
  <si>
    <t>serine-type endopeptidase activity</t>
  </si>
  <si>
    <t>TraesCS3A01G071500;TraesCS3B01G085300;TraesCS2A01G408900;TraesCS2D01G406000;TraesCS6B01G170600;TraesCS3A01G254900;TraesCS3D01G008400;TraesCS6A01G245600;TraesCS1A01G237900;TraesCS6B01G278800;TraesCS3D01G070700;TraesCS6D01G228000;TraesCS3B01G004200;TraesCS7A01G381400;TraesCS2D01G027400;TraesCS5D01G033200;TraesCS5B01G024600;TraesCS2A01G025400;TraesCS4B01G077600;TraesCS1B01G246400;TraesCS5D01G519300;TraesCS6A01G161600;TraesCS7B01G283300;TraesCS2B01G427200;TraesCS1D01G234500;TraesCS1D01G234700</t>
  </si>
  <si>
    <t>TraesCS2B01G366400</t>
  </si>
  <si>
    <t>integral component of plasma membrane</t>
  </si>
  <si>
    <t>TraesCS1A01G134100;TraesCS5A01G221000;TraesCS5B01G219800;TraesCS5D01G228700;TraesCS1D01G135900</t>
  </si>
  <si>
    <t>TraesCS2B01G381100</t>
  </si>
  <si>
    <t>oxidoreductase activity, acting on diphenols and related substances as donors, oxygen as acceptor</t>
  </si>
  <si>
    <t>TraesCS4B01G385600;TraesCS3B01G379900;TraesCS3B01G392700;TraesCS3D01G354200;TraesCS3D01G358500;TraesCS3D01G341600;TraesCS4D01G359200;TraesCS3A01G360400;TraesCS3B01G568600;TraesCS3A01G365300;TraesCS3B01G397200</t>
  </si>
  <si>
    <t>TraesCS2B01G382900</t>
  </si>
  <si>
    <t>beta-glucan metabolic process</t>
  </si>
  <si>
    <t>TraesCS2A01G210100;TraesCS2D01G126100;TraesCS7A01G331500;TraesCS7B01G243200;TraesCS7D01G147700;TraesCS7B01G048700;TraesCS5A01G317400;TraesCS7D01G339800;TraesCS2A01G302300;TraesCS2B01G144900;TraesCS3D01G298600;TraesCS2A01G122600;TraesCS2B01G318100;TraesCS5D01G323700;TraesCS7A01G146200;TraesCS2D01G301000;TraesCS5D01G261000</t>
  </si>
  <si>
    <t>TraesCS2B01G383400</t>
  </si>
  <si>
    <t>calcium-transporting ATPase activity</t>
  </si>
  <si>
    <t>TraesCS4A01G046800;TraesCS1B01G324000;TraesCS4B01G258000;TraesCS3B01G519000;TraesCS3D01G470100;TraesCS4D01G257900</t>
  </si>
  <si>
    <t>TraesCS2B01G395100</t>
  </si>
  <si>
    <t>membrane docking</t>
  </si>
  <si>
    <t>TraesCS2B01G396000</t>
  </si>
  <si>
    <t>organelle localization by membrane tethering</t>
  </si>
  <si>
    <t>TraesCS2B01G408800</t>
  </si>
  <si>
    <t>tethering complex</t>
  </si>
  <si>
    <t>TraesCS2B01G416600</t>
  </si>
  <si>
    <t>regulation of molecular function</t>
  </si>
  <si>
    <t>TraesCS1D01G239400;TraesCS7A01G267000;TraesCS4A01G165500;TraesCS5B01G507400;TraesCS2B01G107500;TraesCS2B01G546900;TraesCS5D01G460500;TraesCS2A01G123800;TraesCS3A01G171800;TraesCS2D01G389800;TraesCS4B01G219700;TraesCS1A01G403700;TraesCS2D01G519900;TraesCS2A01G092800;TraesCS4B01G205900;TraesCS6D01G011100;TraesCS5D01G100400;TraesCS6A01G007000;TraesCS2A01G344200;TraesCS3A01G419200;TraesCS1B01G147900;TraesCS5B01G112900;TraesCS5B01G458900;TraesCS2B01G551400;TraesCS5D01G498300;TraesCS6D01G223800;TraesCS6B01G282600;TraesCS4A01G116700;TraesCS5D01G519300;TraesCS2D01G091800;TraesCS2A01G391500;TraesCS2A01G518500;TraesCS5B01G215400;TraesCS4D01G206900</t>
  </si>
  <si>
    <t>TraesCS2B01G417300</t>
  </si>
  <si>
    <t>hydroxymethylglutaryl-CoA reductase (NADPH) activity</t>
  </si>
  <si>
    <t>TraesCS6D01G258300;TraesCS7B01G142500;TraesCS6A01G277800</t>
  </si>
  <si>
    <t>TraesCS2B01G427200</t>
  </si>
  <si>
    <t>fatty acid transport</t>
  </si>
  <si>
    <t>TraesCS1D01G161500;TraesCS1B01G181300;TraesCS2B01G154600;TraesCS4B01G217300</t>
  </si>
  <si>
    <t>TraesCS2B01G434000</t>
  </si>
  <si>
    <t>small molecule biosynthetic process</t>
  </si>
  <si>
    <t>TraesCS4D01G093600;TraesCS2D01G135300;TraesCS7A01G206000;TraesCS7B01G210400;TraesCS3D01G485000;TraesCS7A01G075600;TraesCS1D01G147800;TraesCS7B01G019600;TraesCS2A01G507700;TraesCS2B01G131600;TraesCS5D01G131500;TraesCS1D01G420900;TraesCS2A01G385100;TraesCS4D01G314400;TraesCS6D01G321600;TraesCS1B01G440000;TraesCS3D01G279300;TraesCS7D01G307100;TraesCS4D01G176600;TraesCS2B01G528300;TraesCS4D01G277300;TraesCS5A01G123600;TraesCS1A01G355200;TraesCS3D01G110300;TraesCS4A01G218400;TraesCS7D01G228500;TraesCS4D01G329200;TraesCS6A01G026800;TraesCS4A01G059800;TraesCS4D01G099200;TraesCS1B01G168400;TraesCS6D01G139700;TraesCS7D01G101900;TraesCS5B01G123200;TraesCS5A01G195500;TraesCS1B01G366400;TraesCS4A01G129900;TraesCS4A01G213400;TraesCS5D01G017000;TraesCS3A01G279400;TraesCS7D01G208600;TraesCS7B01G006300;TraesCS2D01G500600;TraesCS3A01G149900;TraesCS4D01G045300;TraesCS4B01G332500;TraesCS7D01G351000;TraesCS7B01G255800;TraesCS6A01G226500;TraesCS5A01G076500;TraesCS4B01G045400;TraesCS2D01G381800;TraesCS2B01G156800;TraesCS4B01G267200;TraesCS4A01G025300;TraesCS4B01G102400;TraesCS7A01G310600;TraesCS4B01G278800;TraesCS5B01G418800;TraesCS5A01G503600;TraesCS6D01G208500;TraesCS7A01G465200;TraesCS2B01G402100;TraesCS7D01G452900;TraesCS7D01G488800;TraesCS3A01G108500;TraesCS3B01G313800;TraesCS7A01G226000;TraesCS7A01G561600;TraesCS4B01G318000;TraesCS7B01G193600;TraesCS5A01G220200;TraesCS2A01G500400;TraesCS2B01G302400;TraesCS6A01G150000;TraesCS3D01G276000;TraesCS3A01G276100;TraesCS4A01G301600;TraesCS7B01G113200;TraesCS6A01G341400</t>
  </si>
  <si>
    <t>TraesCS2B01G437000</t>
  </si>
  <si>
    <t>carbohydrate phosphorylation</t>
  </si>
  <si>
    <t>TraesCS1B01G366400;TraesCS7B01G193600;TraesCS3D01G276000;TraesCS1A01G355200;TraesCS3A01G276100;TraesCS3D01G110300;TraesCS3A01G108500;TraesCS7A01G226000</t>
  </si>
  <si>
    <t>TraesCS2B01G457100</t>
  </si>
  <si>
    <t>fatty acid transmembrane transporter activity</t>
  </si>
  <si>
    <t>TraesCS1D01G161500;TraesCS1B01G181300</t>
  </si>
  <si>
    <t>TraesCS2B01G550300</t>
  </si>
  <si>
    <t>cutin transport</t>
  </si>
  <si>
    <t>TraesCS2B01G551300</t>
  </si>
  <si>
    <t>production of lsiRNA involved in RNA interference</t>
  </si>
  <si>
    <t>TraesCS2B01G434000;TraesCS2A01G414800</t>
  </si>
  <si>
    <t>TraesCS2B01G574800</t>
  </si>
  <si>
    <t>positive regulation of small molecule metabolic process</t>
  </si>
  <si>
    <t>TraesCS2B01G582500</t>
  </si>
  <si>
    <t>positive regulation of alcohol biosynthetic process</t>
  </si>
  <si>
    <t>TraesCS2B01G591900</t>
  </si>
  <si>
    <t>positive regulation of abscisic acid biosynthetic process</t>
  </si>
  <si>
    <t>TraesCS2B01G592100</t>
  </si>
  <si>
    <t>regulation of gibberellin biosynthetic process</t>
  </si>
  <si>
    <t>TraesCS2B01G599800</t>
  </si>
  <si>
    <t>red or far-red light photoreceptor activity</t>
  </si>
  <si>
    <t>TraesCS4D01G052200;TraesCS4B01G052000</t>
  </si>
  <si>
    <t>TraesCS2B01G602500</t>
  </si>
  <si>
    <t>cellular response to far red light</t>
  </si>
  <si>
    <t>TraesCS2B01G604800</t>
  </si>
  <si>
    <t>far-red light signaling pathway</t>
  </si>
  <si>
    <t>TraesCS2B01G607800</t>
  </si>
  <si>
    <t>cellular response to red light</t>
  </si>
  <si>
    <t>TraesCS2B01G612200</t>
  </si>
  <si>
    <t>red light signaling pathway</t>
  </si>
  <si>
    <t>TraesCS2B01G615300</t>
  </si>
  <si>
    <t>response to continuous far red light stimulus by the high-irradiance response system</t>
  </si>
  <si>
    <t>TraesCS2B01G615600</t>
  </si>
  <si>
    <t>response to very low fluence red light stimulus</t>
  </si>
  <si>
    <t>TraesCS2B01G615700</t>
  </si>
  <si>
    <t>far-red light photoreceptor activity</t>
  </si>
  <si>
    <t>TraesCS2B01G615800</t>
  </si>
  <si>
    <t>regulation of potassium ion transmembrane transport</t>
  </si>
  <si>
    <t>TraesCS5B01G112900;TraesCS7A01G267000</t>
  </si>
  <si>
    <t>TraesCS2D01G002000</t>
  </si>
  <si>
    <t>regulation of potassium ion transmembrane transporter activity</t>
  </si>
  <si>
    <t>TraesCS2D01G002100</t>
  </si>
  <si>
    <t>regulation of cation channel activity</t>
  </si>
  <si>
    <t>TraesCS2D01G002500</t>
  </si>
  <si>
    <t>regulation of inward rectifier potassium channel activity</t>
  </si>
  <si>
    <t>TraesCS2D01G002800</t>
  </si>
  <si>
    <t>glycolipid transporter activity</t>
  </si>
  <si>
    <t>TraesCS4B01G045400;TraesCS4B01G397500;TraesCS4D01G045300;TraesCS2A01G307600</t>
  </si>
  <si>
    <t>TraesCS2D01G011500</t>
  </si>
  <si>
    <t>glycolipid transport</t>
  </si>
  <si>
    <t>TraesCS2D01G015000</t>
  </si>
  <si>
    <t>glycolipid binding</t>
  </si>
  <si>
    <t>TraesCS2D01G015700</t>
  </si>
  <si>
    <t>Rho GDP-dissociation inhibitor activity</t>
  </si>
  <si>
    <t>TraesCS3A01G419200;TraesCS3D01G414900;TraesCS3B01G454500</t>
  </si>
  <si>
    <t>TraesCS2D01G015900</t>
  </si>
  <si>
    <t>indole-3-glycerol-phosphate synthase activity</t>
  </si>
  <si>
    <t>TraesCS5B01G166300;TraesCS5A01G169500;TraesCS5D01G173900</t>
  </si>
  <si>
    <t>TraesCS2D01G016000</t>
  </si>
  <si>
    <t>regulation of pollen tube growth</t>
  </si>
  <si>
    <t>TraesCS7D01G147700;TraesCS5B01G112900;TraesCS7A01G267000</t>
  </si>
  <si>
    <t>TraesCS2D01G016200</t>
  </si>
  <si>
    <t>beta-glucan biosynthetic process</t>
  </si>
  <si>
    <t>TraesCS2A01G210100;TraesCS2D01G126100;TraesCS7A01G331500;TraesCS7B01G243200;TraesCS7D01G147700;TraesCS7B01G048700;TraesCS7D01G339800;TraesCS2A01G302300;TraesCS2B01G144900;TraesCS3D01G298600;TraesCS2A01G122600;TraesCS2B01G318100;TraesCS7A01G146200;TraesCS2D01G301000;TraesCS5D01G261000</t>
  </si>
  <si>
    <t>TraesCS2D01G016300</t>
  </si>
  <si>
    <t>cell development</t>
  </si>
  <si>
    <t>TraesCS7D01G147700;TraesCS5B01G025000;TraesCS2A01G240300;TraesCS5D01G033500;TraesCS4A01G089000;TraesCS7B01G086400;TraesCS4B01G215300;TraesCS1D01G144300;TraesCS5A01G025700;TraesCS4B01G219700;TraesCS6B01G331500;TraesCS2D01G216300;TraesCS5D01G002400;TraesCS7D01G380300</t>
  </si>
  <si>
    <t>TraesCS2D01G035000</t>
  </si>
  <si>
    <t>alditol metabolic process</t>
  </si>
  <si>
    <t>TraesCS2D01G035500</t>
  </si>
  <si>
    <t>glycerol metabolic process</t>
  </si>
  <si>
    <t>TraesCS2D01G043500</t>
  </si>
  <si>
    <t>phosphatase activity</t>
  </si>
  <si>
    <t>TraesCS4D01G129800;TraesCS1B01G024700;TraesCS7D01G521000;TraesCS3D01G323100;TraesCS3A01G329700;TraesCS4A01G183500;TraesCS4D01G087200;TraesCS2A01G412100;TraesCS1B01G224300;TraesCS2A01G364400;TraesCS7B01G450800;TraesCS4D01G159700;TraesCS2B01G374900;TraesCS4B01G135100;TraesCS2D01G362300;TraesCS7A01G423900;TraesCS4B01G194800;TraesCS3B01G359800;TraesCS5A01G532400;TraesCS2D01G409300;TraesCS7D01G417600;TraesCS2D01G354600;TraesCS6D01G388000;TraesCS2D01G315100;TraesCS1A01G020700;TraesCS7B01G326200;TraesCS2B01G382900;TraesCS7D01G095900;TraesCS5A01G239500;TraesCS1D01G020200;TraesCS2B01G430700;TraesCS6A01G404700;TraesCS2B01G335200;TraesCS4B01G363800</t>
  </si>
  <si>
    <t>TraesCS2D01G049900</t>
  </si>
  <si>
    <t>cell morphogenesis</t>
  </si>
  <si>
    <t>TraesCS2D01G058700</t>
  </si>
  <si>
    <t>trehalose-phosphatase activity</t>
  </si>
  <si>
    <t>TraesCS1B01G224300;TraesCS2D01G409300;TraesCS2B01G430700;TraesCS2A01G412100</t>
  </si>
  <si>
    <t>TraesCS2D01G065100</t>
  </si>
  <si>
    <t>plasma membrane bounded cell projection</t>
  </si>
  <si>
    <t>TraesCS3A01G245300;TraesCS4A01G143800;TraesCS2A01G220600;TraesCS4A01G185600</t>
  </si>
  <si>
    <t>TraesCS2D01G065200</t>
  </si>
  <si>
    <t>pollen tube</t>
  </si>
  <si>
    <t>TraesCS2D01G065300</t>
  </si>
  <si>
    <t>phosphorylase activity</t>
  </si>
  <si>
    <t>TraesCS2D01G065400</t>
  </si>
  <si>
    <t>transferase activity, transferring glycosyl groups</t>
  </si>
  <si>
    <t>TraesCS7D01G036600;TraesCS7D01G418600;TraesCS5B01G331200;TraesCS7A01G040900;TraesCS7B01G243200;TraesCS7D01G147700;TraesCS6D01G318500;TraesCS4B01G153800;TraesCS2A01G378200;TraesCS7B01G327000;TraesCS1A01G266600;TraesCS3B01G461800;TraesCS2A01G123800;TraesCS3D01G359300;TraesCS4D01G215000;TraesCS7A01G427000;TraesCS6A01G088000;TraesCS6B01G368300;TraesCS7B01G076200;TraesCS5D01G261000;TraesCS6B01G350600;TraesCS7D01G171900;TraesCS2B01G393900;TraesCS3A01G366300;TraesCS2A01G210100;TraesCS2D01G025100;TraesCS7A01G331500;TraesCS3B01G021900;TraesCS5A01G102200;TraesCS6A01G317900;TraesCS7D01G339800;TraesCS2A01G302300;TraesCS2A01G568000;TraesCS4A01G492600;TraesCS7D01G419100;TraesCSU01G018400;TraesCS4D01G359500;TraesCS6B01G466600;TraesCS7A01G426600;TraesCS6A01G337600;TraesCS7D01G418700;TraesCS1A01G396200;TraesCS2D01G374500;TraesCS7D01G418900;TraesCS1D01G266700;TraesCS7B01G048700;TraesCS7D01G313600;TraesCS2A01G376400;TraesCS6B01G110400;TraesCS2B01G184900;TraesCS3D01G359200;TraesCS2A01G378100;TraesCS3D01G023100;TraesCSU01G082000;TraesCS5B01G398600;TraesCS2B01G395100;TraesCS4A01G143800;TraesCS2B01G028400;TraesCS4D01G169800;TraesCS7B01G424600;TraesCS4B01G031700;TraesCS7A01G146200;TraesCS2D01G301000;TraesCS5D01G114100;TraesCS3B01G419800;TraesCS3D01G420300;TraesCS4B01G167500;TraesCS4A01G321800;TraesCS2D01G126100;TraesCS3A01G425500;TraesCS7B01G326900;TraesCS6D01G403800;TraesCS1D01G404300;TraesCS3D01G380700;TraesCS7A01G171100;TraesCS3A01G366400;TraesCS2A01G159300;TraesCS2B01G144900;TraesCS4D01G162300;TraesCS7A01G426100;TraesCS5B01G106700;TraesCS3B01G108700;TraesCS2A01G122600;TraesCS2B01G318100;TraesCS7A01G426900;TraesCS7D01G419000;TraesCS2A01G462300;TraesCS2D01G166600;TraesCS7A01G426700</t>
  </si>
  <si>
    <t>TraesCS2D01G065500</t>
  </si>
  <si>
    <t>coated vesicle</t>
  </si>
  <si>
    <t>TraesCS2D01G065600</t>
  </si>
  <si>
    <t>hormone metabolic process</t>
  </si>
  <si>
    <t>TraesCS7A01G310600;TraesCS4D01G120000;TraesCS3A01G321100;TraesCS4D01G045300;TraesCS7A01G561600;TraesCS7B01G210400;TraesCS5D01G353600;TraesCS3D01G485000;TraesCS2B01G350400;TraesCS4B01G045400;TraesCS4D01G215000;TraesCS1A01G234800;TraesCS7B01G019600;TraesCS2B01G131600;TraesCS3B01G344600;TraesCS2A01G331800;TraesCS3D01G310200;TraesCS1B01G440000;TraesCS7D01G307100</t>
  </si>
  <si>
    <t>TraesCS2D01G073700</t>
  </si>
  <si>
    <t>response to oxidative stress</t>
  </si>
  <si>
    <t>TraesCS1B01G095800;TraesCS2B01G615600;TraesCS7B01G375600;TraesCS3B01G549000;TraesCS2B01G615800;TraesCS2B01G615700;TraesCS3B01G549200;TraesCS2D01G265100;TraesCS4D01G234000;TraesCS3A01G180200;TraesCS4A01G213400;TraesCS6D01G125500;TraesCS7B01G132400;TraesCS4A01G076700;TraesCS2A01G582100;TraesCS2B01G124900;TraesCS1D01G096400;TraesCS7A01G234000;TraesCS4D01G268200;TraesCS1D01G317700;TraesCS1A01G317900;TraesCS6A01G136500;TraesCS7B01G118200;TraesCS4D01G170600;TraesCS4A01G136600;TraesCS4B01G232800;TraesCS7D01G234300;TraesCS1B01G440000;TraesCS6D01G289300;TraesCS2B01G284900;TraesCS2D01G583000;TraesCS7D01G442300;TraesCS2D01G583100;TraesCS4A01G235800;TraesCS4A01G036100;TraesCS1A01G078100;TraesCS1B01G330400;TraesCS2B01G604800;TraesCS1B01G355400;TraesCS6A01G372100;TraesCS6D01G397200;TraesCS4B01G268900;TraesCS6A01G305600;TraesCS2A01G571700;TraesCS2A01G571500;TraesCS6B01G164400</t>
  </si>
  <si>
    <t>TraesCS2D01G074800</t>
  </si>
  <si>
    <t>regulation of cell development</t>
  </si>
  <si>
    <t>TraesCS2D01G097400</t>
  </si>
  <si>
    <t>regulation of cell morphogenesis involved in differentiation</t>
  </si>
  <si>
    <t>TraesCS2D01G105600</t>
  </si>
  <si>
    <t>oxidoreductase activity, acting on the aldehyde or oxo group of donors</t>
  </si>
  <si>
    <t>TraesCS2D01G116700</t>
  </si>
  <si>
    <t>carbohydrate kinase activity</t>
  </si>
  <si>
    <t>TraesCS1B01G366400;TraesCS7B01G193600;TraesCS3D01G276000;TraesCS1A01G355200;TraesCS3A01G276100;TraesCS3D01G110300;TraesCS3A01G108500;TraesCS7D01G228500;TraesCS7A01G226000</t>
  </si>
  <si>
    <t>TraesCS2D01G121800</t>
  </si>
  <si>
    <t>small GTPase binding</t>
  </si>
  <si>
    <t>TraesCS2D01G135300</t>
  </si>
  <si>
    <t>Ras GTPase binding</t>
  </si>
  <si>
    <t>TraesCS2D01G193600</t>
  </si>
  <si>
    <t>energy reserve metabolic process</t>
  </si>
  <si>
    <t>TraesCS2A01G123800;TraesCS5A01G248700;TraesCS2B01G184900;TraesCS2D01G166600;TraesCS2A01G159300</t>
  </si>
  <si>
    <t>TraesCS2D01G207200</t>
  </si>
  <si>
    <t>glycogen metabolic process</t>
  </si>
  <si>
    <t>TraesCS2D01G220300</t>
  </si>
  <si>
    <t>phosphorylation</t>
  </si>
  <si>
    <t>TraesCS2D01G116700;TraesCS4B01G149500;TraesCS6B01G213500;TraesCS5D01G124000;TraesCS3D01G527400;TraesCS5B01G132400;TraesCS1D01G124200;TraesCS3A01G013400;TraesCS4D01G000300;TraesCS6B01G182900;TraesCS6D01G172100;TraesCS6B01G006500;TraesCS1A01G435300;TraesCS7A01G488800;TraesCS3A01G228000;TraesCS7B01G263100;TraesCS1A01G355200;TraesCS6A01G269800;TraesCS6D01G236400;TraesCS4B01G162700;TraesCS5D01G153800;TraesCS1B01G445300;TraesCS3B01G119300;TraesCS2D01G217500;TraesCS3B01G169200;TraesCS4A01G213400;TraesCS6D01G404800;TraesCS6B01G213600;TraesCS1B01G320400;TraesCS5A01G558300;TraesCS4D01G052200;TraesCS5A01G110100;TraesCS4A01G077500;TraesCS6D01G172000;TraesCS4B01G102400;TraesCS6B01G270400;TraesCS3B01G365200;TraesCS5B01G112900;TraesCS4B01G350300;TraesCS3B01G183500;TraesCS7B01G193600;TraesCS1A01G309400;TraesCS4D01G003800;TraesCS7B01G165200;TraesCS5D01G434800;TraesCS2B01G193000;TraesCS3B01G169300;TraesCS5D01G088700;TraesCS7A01G569400;TraesCS4D01G150200;TraesCS1D01G317200;TraesCS3B01G236500;TraesCS6A01G192900;TraesCS6D01G184000;TraesCS3D01G151400;TraesCS1D01G151900;TraesCS7A01G075600;TraesCS2A01G230100;TraesCS3A01G135400;TraesCS5B01G109300;TraesCS7D01G232700;TraesCS6D01G061500;TraesCS3A01G229800;TraesCS4A01G136500;TraesCS4D01G176600;TraesCS7B01G131000;TraesCS3B01G260900;TraesCS7D01G251100;TraesCS7D01G543200;TraesCS1D01G191800;TraesCS4D01G161900;TraesCS3D01G110300;TraesCS3A01G400600;TraesCS1D01G187400;TraesCS4A01G143600;TraesCS3A01G306000;TraesCS4B01G130300;TraesCS4D01G166800;TraesCS1D01G444300;TraesCS4A01G001100;TraesCS5D01G434700;TraesCS1B01G366400;TraesCS5A01G363400;TraesCS4A01G150100;TraesCS4B01G030100;TraesCS7B01G392000;TraesCS5B01G025000;TraesCS7B01G293200;TraesCS5A01G298500;TraesCS3D01G151500;TraesCS7D01G267700;TraesCS3B01G239200;TraesCS2A01G272400;TraesCS3A01G135500;TraesCS4D01G170700;TraesCS3D01G164700;TraesCS6D01G002200;TraesCS4B01G192200;TraesCS5D01G118300;TraesCS5B01G110400;TraesCS6A01G353500;TraesCS1B01G193000;TraesCS4B01G052000;TraesCS6D01G112900;TraesCS7D01G155500;TraesCS5A01G075200;TraesCS2A01G577000;TraesCS3A01G276100;TraesCS7B01G262500;TraesCS7D01G162700;TraesCS4A01G227200;TraesCS7A01G055000;TraesCS5A01G426800;TraesCS7A01G416100;TraesCS1A01G153400;TraesCS1A01G415300;TraesCS6A01G421000;TraesCS3A01G157100;TraesCS7A01G267000;TraesCS5B01G428600;TraesCS6B01G467300;TraesCS1D01G308800;TraesCS3A01G208900;TraesCS3A01G502300;TraesCS6D01G287600;TraesCS5B01G365500;TraesCS6A01G122700;TraesCS7A01G161400;TraesCS2B01G528300;TraesCS6A01G063300;TraesCS3D01G196000;TraesCS3B01G256700;TraesCS3B01G330500;TraesCS2B01G251700;TraesCS4B01G375400;TraesCS7D01G228500;TraesCS1B01G329700;TraesCS6B01G386100;TraesCS5A01G411300;TraesCS6B01G150900;TraesCS4D01G001000;TraesCS3B01G603300;TraesCS5A01G132500;TraesCS1B01G359800;TraesCS4A01G129900;TraesCS1B01G152700;TraesCS5B01G297700;TraesCS4D01G125500;TraesCS6D01G144800;TraesCS5D01G437000;TraesCS7D01G414900;TraesCS1A01G317300;TraesCS3A01G231700;TraesCS6B01G084500;TraesCS2D01G378100;TraesCS4A01G165400;TraesCS4A01G185600;TraesCS4A01G187900;TraesCS5D01G216400;TraesCS5A01G054700;TraesCS2B01G540200;TraesCS2D01G546200;TraesCS5D01G305200;TraesCS4B01G133100;TraesCS7A01G251200;TraesCS7B01G139900;TraesCS4B01G375300;TraesCS4D01G361600;TraesCS5D01G033500;TraesCS3A01G108500;TraesCS3A01G490100;TraesCS7A01G155200;TraesCS4A01G441600;TraesCS3D01G395000;TraesCS3D01G509100;TraesCS3B01G433600;TraesCS4B01G002300;TraesCS3D01G276000;TraesCS4B01G233600;TraesCS6A01G255100;TraesCS6D01G139200;TraesCS1B01G471100;TraesCS6D01G329000;TraesCS3D01G229200;TraesCS6A01G154900;TraesCS1A01G287900;TraesCS3B01G259100;TraesCS3D01G266100;TraesCS6D01G335800;TraesCS7D01G241800;TraesCS6A01G346100;TraesCS1D01G422800;TraesCS1D01G348900;TraesCS7B01G489300;TraesCS3A01G334200;TraesCS4A01G000300;TraesCS7B01G059300;TraesCS7D01G475200;TraesCS1A01G133200;TraesCS7D01G050100;TraesCS1A01G189000;TraesCS7B01G066500;TraesCS5B01G137600;TraesCS3D01G211800;TraesCS6B01G177800;TraesCS4D01G099200;TraesCS4B01G000300;TraesCS4D01G128000;TraesCS5B01G081500;TraesCS1B01G171500;TraesCS7D01G357700;TraesCS5B01G428700;TraesCS6B01G337100;TraesCS7D01G291600;TraesCS4B01G152500;TraesCS4B01G089100;TraesCS3D01G221700;TraesCS5D01G372600;TraesCS1B01G297300;TraesCS5B01G061800;TraesCS6A01G149900;TraesCS7D01G409400;TraesCS4D01G086800;TraesCS6A01G376200;TraesCS7A01G226000;TraesCS4A01G145600;TraesCS6A01G182800;TraesCS7B01G316100;TraesCS3D01G295900;TraesCS5A01G025700;TraesCS5D01G065900;TraesCS5A01G138300;TraesCS4A01G399600;TraesCS6B01G428500</t>
  </si>
  <si>
    <t>TraesCS2D01G265100</t>
  </si>
  <si>
    <t>phenylpropanoid catabolic process</t>
  </si>
  <si>
    <t>TraesCS3B01G379900;TraesCS3B01G392700;TraesCS3D01G354200;TraesCS3D01G358500;TraesCS3D01G341600;TraesCS3A01G360400;TraesCS3A01G365300;TraesCS3B01G397200</t>
  </si>
  <si>
    <t>TraesCS2D01G265900</t>
  </si>
  <si>
    <t>lignin catabolic process</t>
  </si>
  <si>
    <t>TraesCS2D01G266800</t>
  </si>
  <si>
    <t>hydroquinone:oxygen oxidoreductase activity</t>
  </si>
  <si>
    <t>TraesCS2D01G268700</t>
  </si>
  <si>
    <t>O-acyltransferase activity</t>
  </si>
  <si>
    <t>TraesCS5B01G322500;TraesCS1B01G416800;TraesCS2B01G007200;TraesCS5D01G328700;TraesCS1A01G034600;TraesCS5D01G329000;TraesCS1B01G050600;TraesCS2D01G016300;TraesCS1D01G396700;TraesCS5A01G321800;TraesCS7D01G111200;TraesCS1A01G385500</t>
  </si>
  <si>
    <t>TraesCS2D01G278500</t>
  </si>
  <si>
    <t>divalent metal ion transport</t>
  </si>
  <si>
    <t>TraesCS4A01G046800;TraesCS2B01G090300;TraesCS1B01G211100;TraesCS2D01G422000;TraesCS6D01G096900;TraesCS3B01G519000;TraesCS3D01G470100;TraesCS5D01G219100;TraesCS4D01G257900;TraesCS6B01G137200;TraesCS4A01G294300;TraesCS1B01G324000;TraesCS4B01G258000;TraesCS6B01G201300;TraesCS2A01G278100;TraesCS6A01G108700</t>
  </si>
  <si>
    <t>TraesCS2D01G295100</t>
  </si>
  <si>
    <t>isocitrate dehydrogenase (NAD+) activity</t>
  </si>
  <si>
    <t>TraesCS2B01G592100;TraesCS2A01G591600;TraesCS2D01G562600</t>
  </si>
  <si>
    <t>TraesCS2D01G314800</t>
  </si>
  <si>
    <t>branched-chain-amino-acid transaminase activity</t>
  </si>
  <si>
    <t>TraesCS4A01G059800;TraesCS4B01G235400;TraesCS4D01G236800</t>
  </si>
  <si>
    <t>TraesCS2D01G322300</t>
  </si>
  <si>
    <t>Rab GDP-dissociation inhibitor activity</t>
  </si>
  <si>
    <t>TraesCS4B01G205900;TraesCS4A01G098400;TraesCS4D01G206900</t>
  </si>
  <si>
    <t>TraesCS2D01G327000</t>
  </si>
  <si>
    <t>adenosylmethionine decarboxylase activity</t>
  </si>
  <si>
    <t>TraesCS5B01G220000;TraesCS5A01G221200;TraesCS5D01G228900</t>
  </si>
  <si>
    <t>TraesCS2D01G346300</t>
  </si>
  <si>
    <t>spermine metabolic process</t>
  </si>
  <si>
    <t>TraesCS2D01G351100</t>
  </si>
  <si>
    <t>spermine biosynthetic process</t>
  </si>
  <si>
    <t>TraesCS2D01G358200</t>
  </si>
  <si>
    <t>diphosphate-fructose-6-phosphate 1-phosphotransferase activity</t>
  </si>
  <si>
    <t>TraesCS7B01G193600;TraesCS7D01G228500;TraesCS7A01G226000</t>
  </si>
  <si>
    <t>TraesCS2D01G358900</t>
  </si>
  <si>
    <t>cellulose metabolic process</t>
  </si>
  <si>
    <t>TraesCS2A01G210100;TraesCS2D01G126100;TraesCS7A01G331500;TraesCS7B01G243200;TraesCS5A01G317400;TraesCS7D01G339800;TraesCS2A01G302300;TraesCS2B01G144900;TraesCS3D01G298600;TraesCS2A01G122600;TraesCS2B01G318100;TraesCS5D01G323700;TraesCS2D01G301000;TraesCS5D01G261000</t>
  </si>
  <si>
    <t>TraesCS2D01G360500</t>
  </si>
  <si>
    <t>steroid 22-alpha hydroxylase activity</t>
  </si>
  <si>
    <t>TraesCS2B01G350400;TraesCS2A01G331800</t>
  </si>
  <si>
    <t>TraesCS2D01G362300</t>
  </si>
  <si>
    <t>viral gene silencing in virus induced gene silencing</t>
  </si>
  <si>
    <t>TraesCS2D01G362800</t>
  </si>
  <si>
    <t>negative regulation of isoprenoid metabolic process</t>
  </si>
  <si>
    <t>TraesCS2D01G373100</t>
  </si>
  <si>
    <t>response to very low light intensity stimulus</t>
  </si>
  <si>
    <t>TraesCS2D01G374500</t>
  </si>
  <si>
    <t>regulation of potassium ion transport</t>
  </si>
  <si>
    <t>TraesCS2D01G375300</t>
  </si>
  <si>
    <t>cellular component morphogenesis</t>
  </si>
  <si>
    <t>TraesCS7D01G147700;TraesCS5B01G025000;TraesCS2A01G240300;TraesCS5D01G033500;TraesCS4A01G089000;TraesCS7B01G086400;TraesCS4B01G215300;TraesCS1D01G144300;TraesCS5A01G025700;TraesCS4B01G219700;TraesCS6B01G331500;TraesCS5D01G002400;TraesCS7D01G380300;TraesCS3D01G407400;TraesCS4A01G020500</t>
  </si>
  <si>
    <t>TraesCS2D01G379500</t>
  </si>
  <si>
    <t>divalent inorganic cation transport</t>
  </si>
  <si>
    <t>TraesCS2D01G381800</t>
  </si>
  <si>
    <t>cell projection</t>
  </si>
  <si>
    <t>TraesCS2D01G388100</t>
  </si>
  <si>
    <t>oxidoreductase activity, acting on diphenols and related substances as donors</t>
  </si>
  <si>
    <t>TraesCS2D01G389800</t>
  </si>
  <si>
    <t>regulation of catalytic activity</t>
  </si>
  <si>
    <t>TraesCS1D01G239400;TraesCS5B01G507400;TraesCS2B01G107500;TraesCS2B01G546900;TraesCS5D01G460500;TraesCS2A01G123800;TraesCS3A01G171800;TraesCS2D01G389800;TraesCS4B01G219700;TraesCS1A01G403700;TraesCS2D01G519900;TraesCS2A01G092800;TraesCS4B01G205900;TraesCS6D01G011100;TraesCS5D01G100400;TraesCS6A01G007000;TraesCS2A01G344200;TraesCS3A01G419200;TraesCS1B01G147900;TraesCS5B01G458900;TraesCS2B01G551400;TraesCS5D01G498300;TraesCS6D01G223800;TraesCS6B01G282600;TraesCS4A01G116700;TraesCS5D01G519300;TraesCS2D01G091800;TraesCS2A01G391500;TraesCS2A01G518500;TraesCS5B01G215400;TraesCS4D01G206900</t>
  </si>
  <si>
    <t>TraesCS2D01G396200</t>
  </si>
  <si>
    <t>ATPase activity, coupled to transmembrane movement of ions, phosphorylative mechanism</t>
  </si>
  <si>
    <t>TraesCS2D01G409000</t>
  </si>
  <si>
    <t>electron transfer activity</t>
  </si>
  <si>
    <t>TraesCS6B01G353700;TraesCS5A01G044700;TraesCS1A01G222600;TraesCS5B01G564000;TraesCS5D01G550600;TraesCS3A01G457500;TraesCS3A01G457600;TraesCS6A01G136900;TraesCS6A01G287100;TraesCS2A01G551300;TraesCS6B01G316300;TraesCS6B01G165100;TraesCS2A01G331800;TraesCS1D01G417500;TraesCS1D01G417400;TraesCS3A01G405000;TraesCS1B01G440100;TraesCS3B01G438700;TraesCS1B01G440000;TraesCS6A01G206600;TraesCS1A01G410200;TraesCS4D01G042200;TraesCS2B01G551200;TraesCS2B01G582500;TraesCS3B01G497700;TraesCS4A01G315400;TraesCS3D01G450300;TraesCS1B01G235900;TraesCS6A01G242500;TraesCS4A01G269400;TraesCS2B01G350400;TraesCS2D01G552300;TraesCS6A01G372100;TraesCS4B01G044700;TraesCS6D01G267900;TraesCS7B01G272200;TraesCS3D01G400400;TraesCS7D01G103500;TraesCS7D01G367400;TraesCS4A01G028800</t>
  </si>
  <si>
    <t>TraesCS2D01G412100</t>
  </si>
  <si>
    <t>drug catabolic process</t>
  </si>
  <si>
    <t>TraesCS1B01G095800;TraesCS3A01G239200;TraesCS2B01G124900;TraesCS1D01G096400;TraesCS4D01G268200;TraesCS5D01G099300;TraesCS1D01G317700;TraesCS1D01G207100;TraesCS7B01G118200;TraesCS3B01G354300;TraesCS4D01G170600;TraesCS2B01G024500;TraesCS4A01G136600;TraesCS2B01G284900;TraesCS3B01G598100;TraesCS7D01G442300;TraesCS2A01G344200;TraesCS4A01G036100;TraesCS1A01G078100;TraesCS5B01G458900;TraesCS1B01G330400;TraesCS4A01G116700;TraesCS4B01G268900;TraesCS2D01G091800;TraesCS1A01G203700</t>
  </si>
  <si>
    <t>TraesCS2D01G415500</t>
  </si>
  <si>
    <t>calcium ion transport</t>
  </si>
  <si>
    <t>TraesCS2D01G420300</t>
  </si>
  <si>
    <t>intrinsic component of plasma membrane</t>
  </si>
  <si>
    <t>TraesCS1A01G134100;TraesCS5A01G221000;TraesCS5B01G219800;TraesCS5D01G228700;TraesCS1D01G135900;TraesCS1B01G440000</t>
  </si>
  <si>
    <t>TraesCS2D01G422000</t>
  </si>
  <si>
    <t>diacylglycerol kinase activity</t>
  </si>
  <si>
    <t>TraesCS7A01G297200;TraesCS7D01G291600;TraesCS7B01G293200;TraesCS7D01G387000;TraesCS6B01G428500</t>
  </si>
  <si>
    <t>TraesCS2D01G422700</t>
  </si>
  <si>
    <t>protein kinase C-activating G protein-coupled receptor signaling pathway</t>
  </si>
  <si>
    <t>TraesCS2D01G423500</t>
  </si>
  <si>
    <t>tetrapyrrole binding</t>
  </si>
  <si>
    <t>TraesCS7B01G375600;TraesCS3B01G549000;TraesCS2A01G565700;TraesCS3B01G362200;TraesCS3B01G146900;TraesCS6D01G125500;TraesCS1B01G177900;TraesCS4A01G076700;TraesCSU01G084800;TraesCS5D01G219100;TraesCS1B01G433300;TraesCS2D01G035500;TraesCS2A01G331800;TraesCS3A01G405000;TraesCS4B01G232800;TraesCS2B01G005900;TraesCS2B01G284900;TraesCS2D01G002800;TraesCS7D01G442300;TraesCS7D01G276300;TraesCS2B01G035600;TraesCS5A01G056600;TraesCS5D01G006800;TraesCS1D01G276600;TraesCS3D01G505600;TraesCS6A01G305600;TraesCS2A01G015400;TraesCS5B01G364300;TraesCSU01G073000;TraesCS2B01G615800;TraesCS2D01G265100;TraesCS1A01G277400;TraesCS6A01G136500;TraesCS2A01G014900;TraesCSU01G032500;TraesCS2D01G026000;TraesCS4A01G358200;TraesCS3B01G044900;TraesCS7D01G234300;TraesCS7D01G511600;TraesCS2B01G091500;TraesCS5D01G370600;TraesCS2D01G015000;TraesCS2D01G002500;TraesCS2A01G571500;TraesCS5B01G364200;TraesCS4B01G342400;TraesCS1B01G095800;TraesCS2B01G615700;TraesCS3B01G549200;TraesCS4D01G234000;TraesCS3A01G180200;TraesCS7D01G271100;TraesCS4A01G183600;TraesCS2B01G124900;TraesCS1D01G096400;TraesCS7A01G234000;TraesCS2B01G001100;TraesCS2B01G049400;TraesCS7B01G118200;TraesCS7D01G024500;TraesCS4D01G170600;TraesCS1A01G403800;TraesCS7D01G511500;TraesCS3B01G438700;TraesCS6D01G289300;TraesCS2D01G583000;TraesCS5A01G362400;TraesCS4A01G235800;TraesCS4A01G036100;TraesCS1A01G078100;TraesCS2A01G044900;TraesCS1B01G330400;TraesCS1B01G355400;TraesCS6D01G397200;TraesCS2A01G015600;TraesCS4B01G268900;TraesCS5A01G361700;TraesCS2B01G006900;TraesCS1D01G411600;TraesCS2B01G615600;TraesCS7B01G132400;TraesCS2D01G016000;TraesCS4B01G009700;TraesCS2D01G043500;TraesCS3D01G325700;TraesCS4D01G268200;TraesCS1D01G317700;TraesCS1A01G317900;TraesCS7B01G168800;TraesCS4A01G136600;TraesCS2B01G005800;TraesCS4D01G338000;TraesCSU01G012200;TraesCS2D01G583100;TraesCS2B01G006600;TraesCS2B01G350400;TraesCS2B01G006200;TraesCS2A01G571700;TraesCS2B01G186100;TraesCS3D01G400400;TraesCS2A01G013200;TraesCS6B01G164400</t>
  </si>
  <si>
    <t>TraesCS2D01G426800</t>
  </si>
  <si>
    <t>salicylic acid metabolic process</t>
  </si>
  <si>
    <t>TraesCS7A01G310600;TraesCS4B01G045400;TraesCS2B01G131600;TraesCS4D01G045300;TraesCS7B01G210400;TraesCS7D01G307100</t>
  </si>
  <si>
    <t>TraesCS2D01G433800</t>
  </si>
  <si>
    <t>salicylic acid biosynthetic process</t>
  </si>
  <si>
    <t>TraesCS2D01G437900</t>
  </si>
  <si>
    <t>lignin metabolic process</t>
  </si>
  <si>
    <t>TraesCS2D01G442700</t>
  </si>
  <si>
    <t>regulation of transporter activity</t>
  </si>
  <si>
    <t>TraesCS5B01G112900;TraesCS7A01G267000;TraesCS4A01G165500</t>
  </si>
  <si>
    <t>TraesCS2D01G488400</t>
  </si>
  <si>
    <t>regulation of transmembrane transporter activity</t>
  </si>
  <si>
    <t>TraesCS2D01G497600</t>
  </si>
  <si>
    <t>regulation of ion transmembrane transporter activity</t>
  </si>
  <si>
    <t>TraesCS2D01G523600</t>
  </si>
  <si>
    <t>calcium:cation antiporter activity</t>
  </si>
  <si>
    <t>TraesCS6D01G096900;TraesCS6A01G108700;TraesCS6B01G137200</t>
  </si>
  <si>
    <t>TraesCS2D01G531100</t>
  </si>
  <si>
    <t>metal ion:proton antiporter activity</t>
  </si>
  <si>
    <t>TraesCS2D01G542200</t>
  </si>
  <si>
    <t>calcium:proton antiporter activity</t>
  </si>
  <si>
    <t>TraesCS2D01G546200</t>
  </si>
  <si>
    <t>cellulose biosynthetic process</t>
  </si>
  <si>
    <t>TraesCS3D01G298600;TraesCS2A01G210100;TraesCS2D01G126100;TraesCS7A01G331500;TraesCS7B01G243200;TraesCS2A01G122600;TraesCS2B01G318100;TraesCS2D01G301000;TraesCS7D01G339800;TraesCS5D01G261000;TraesCS2A01G302300;TraesCS2B01G144900</t>
  </si>
  <si>
    <t>TraesCS2D01G552300</t>
  </si>
  <si>
    <t>regulation of hormone levels</t>
  </si>
  <si>
    <t>TraesCS7A01G310600;TraesCS4D01G120000;TraesCS3A01G321100;TraesCS3D01G249100;TraesCS4D01G045300;TraesCS7A01G561600;TraesCS7B01G210400;TraesCS5D01G353600;TraesCS3D01G485000;TraesCS2B01G350400;TraesCS4B01G045400;TraesCS3A01G249100;TraesCS4D01G215000;TraesCS1A01G234800;TraesCS7B01G019600;TraesCS2B01G131600;TraesCS3B01G344600;TraesCS2A01G331800;TraesCS3D01G310200;TraesCS1B01G440000;TraesCS7D01G307100</t>
  </si>
  <si>
    <t>TraesCS2D01G562400</t>
  </si>
  <si>
    <t>external side of plasma membrane</t>
  </si>
  <si>
    <t>TraesCS2D01G562600</t>
  </si>
  <si>
    <t>steroid hydroxylase activity</t>
  </si>
  <si>
    <t>TraesCS2D01G582400</t>
  </si>
  <si>
    <t>L-amino acid transmembrane transporter activity</t>
  </si>
  <si>
    <t>TraesCS5D01G051400;TraesCS3A01G149900</t>
  </si>
  <si>
    <t>TraesCS2D01G583000</t>
  </si>
  <si>
    <t>basic amino acid transmembrane transporter activity</t>
  </si>
  <si>
    <t>TraesCS2D01G583100</t>
  </si>
  <si>
    <t>arginine transmembrane transporter activity</t>
  </si>
  <si>
    <t>TraesCS3A01G011500</t>
  </si>
  <si>
    <t>L-lysine transmembrane transporter activity</t>
  </si>
  <si>
    <t>TraesCS3A01G038200</t>
  </si>
  <si>
    <t>regulation of abscisic acid biosynthetic process</t>
  </si>
  <si>
    <t>TraesCS3A01G039800</t>
  </si>
  <si>
    <t>positive regulation of lipid metabolic process</t>
  </si>
  <si>
    <t>TraesCS3A01G053000</t>
  </si>
  <si>
    <t>positive regulation of isoprenoid metabolic process</t>
  </si>
  <si>
    <t>TraesCS3A01G065700</t>
  </si>
  <si>
    <t>positive regulation of lipid biosynthetic process</t>
  </si>
  <si>
    <t>TraesCS3A01G078100</t>
  </si>
  <si>
    <t>protein-containing complex disassembly</t>
  </si>
  <si>
    <t>TraesCS3A01G110100</t>
  </si>
  <si>
    <t>cellular protein complex disassembly</t>
  </si>
  <si>
    <t>TraesCS3A01G113100</t>
  </si>
  <si>
    <t>anion transmembrane transporter activity</t>
  </si>
  <si>
    <t>TraesCS3A01G288800;TraesCS3D01G288600;TraesCS4A01G043400;TraesCS4D01G344800;TraesCS1B01G211100;TraesCS3B01G144700;TraesCS3A01G126300;TraesCS1D01G161500;TraesCS3A01G149900;TraesCS6A01G098500;TraesCS3B01G323500;TraesCS5D01G051400;TraesCS2D01G058700;TraesCS6A01G402000;TraesCS5D01G321300;TraesCS1B01G181300;TraesCS3D01G126600</t>
  </si>
  <si>
    <t>TraesCS3A01G135500</t>
  </si>
  <si>
    <t>sucrose-phosphate synthase activity</t>
  </si>
  <si>
    <t>TraesCS3A01G425500;TraesCS3B01G461800;TraesCS3D01G420300</t>
  </si>
  <si>
    <t>TraesCS3A01G144100</t>
  </si>
  <si>
    <t>regionalization</t>
  </si>
  <si>
    <t>TraesCS2A01G045000;TraesCS7D01G264700;TraesCS7A01G383800;TraesCS1D01G161500;TraesCS3A01G406500;TraesCS7B01G286600;TraesCS4A01G078900;TraesCS2D01G043600;TraesCS7D01G380300</t>
  </si>
  <si>
    <t>TraesCS3A01G208600</t>
  </si>
  <si>
    <t>vesicle-mediated transport</t>
  </si>
  <si>
    <t>TraesCS2A01G045000;TraesCS5D01G130800;TraesCS4D01G280300;TraesCS7B01G260100;TraesCS4B01G112100;TraesCS5A01G122400;TraesCS2B01G210100;TraesCS2D01G043600;TraesCS4B01G281700;TraesCS4A01G185600;TraesCS4B01G279000;TraesCS5D01G051400;TraesCS7A01G368400;TraesCS4A01G025100;TraesCS4D01G080800;TraesCS5B01G122500;TraesCS3A01G508700;TraesCS2A01G220600;TraesCS4A01G021800;TraesCS3A01G538700;TraesCS3B01G607200;TraesCS4A01G208500;TraesCS4A01G233400;TraesCS4B01G115200;TraesCS4D01G109600;TraesCS4D01G277500;TraesCS6A01G371800;TraesCS6D01G355800;TraesCS7D01G354500;TraesCS2D01G226300;TraesCS3D01G542100;TraesCS7D01G264700;TraesCS2D01G191300;TraesCS4D01G112900;TraesCS4A01G200100;TraesCS4B01G082700;TraesCS6B01G409400</t>
  </si>
  <si>
    <t>TraesCS3A01G213200</t>
  </si>
  <si>
    <t>hydrogen peroxide catabolic process</t>
  </si>
  <si>
    <t>TraesCS1B01G095800;TraesCS2B01G284900;TraesCS7D01G442300;TraesCS4A01G036100;TraesCS1A01G078100;TraesCS2B01G124900;TraesCS1D01G096400;TraesCS1B01G330400;TraesCS4D01G268200;TraesCS1D01G317700;TraesCS4B01G268900;TraesCS7B01G118200;TraesCS4D01G170600;TraesCS4A01G136600</t>
  </si>
  <si>
    <t>TraesCS3A01G213300</t>
  </si>
  <si>
    <t>regulation of ion transport</t>
  </si>
  <si>
    <t>TraesCS6A01G098500;TraesCS2B01G528300;TraesCS5D01G051400;TraesCS5B01G112900;TraesCS3D01G126600;TraesCS3A01G502300;TraesCS7A01G267000;TraesCS5D01G219100;TraesCS4A01G165500;TraesCS3D01G509100</t>
  </si>
  <si>
    <t>TraesCS3A01G227000</t>
  </si>
  <si>
    <t>cellular component disassembly</t>
  </si>
  <si>
    <t>TraesCS3A01G230000</t>
  </si>
  <si>
    <t>acid-ammonia (or amide) ligase activity</t>
  </si>
  <si>
    <t>TraesCS2B01G528300;TraesCS2A01G500400;TraesCS2D01G500600</t>
  </si>
  <si>
    <t>TraesCS3A01G232300</t>
  </si>
  <si>
    <t>ammonia ligase activity</t>
  </si>
  <si>
    <t>TraesCS3A01G235500</t>
  </si>
  <si>
    <t>glutamate-ammonia ligase activity</t>
  </si>
  <si>
    <t>TraesCS3A01G235800</t>
  </si>
  <si>
    <t>glutamine biosynthetic process</t>
  </si>
  <si>
    <t>TraesCS3A01G239200</t>
  </si>
  <si>
    <t>taxis</t>
  </si>
  <si>
    <t>TraesCS3A01G214800;TraesCS3B01G246500;TraesCS2D01G216300</t>
  </si>
  <si>
    <t>TraesCS3A01G243300</t>
  </si>
  <si>
    <t>chemotaxis</t>
  </si>
  <si>
    <t>TraesCS3A01G245300</t>
  </si>
  <si>
    <t>positive chemotaxis</t>
  </si>
  <si>
    <t>TraesCS3A01G251800</t>
  </si>
  <si>
    <t>pollen tube guidance</t>
  </si>
  <si>
    <t>TraesCS3A01G254100</t>
  </si>
  <si>
    <t>nucleoside diphosphate phosphorylation</t>
  </si>
  <si>
    <t>TraesCS1B01G366400;TraesCS4A01G129900;TraesCS4D01G176600;TraesCS2B01G528300;TraesCS4A01G213400;TraesCS1A01G355200;TraesCS3D01G110300;TraesCS3A01G108500;TraesCS7D01G228500;TraesCS7A01G226000;TraesCS4D01G099200;TraesCS7A01G075600;TraesCS7B01G193600;TraesCS3D01G276000;TraesCS3A01G276100;TraesCS4B01G102400</t>
  </si>
  <si>
    <t>TraesCS3A01G254700</t>
  </si>
  <si>
    <t>heme binding</t>
  </si>
  <si>
    <t>TraesCS7B01G375600;TraesCS3B01G549000;TraesCS2A01G565700;TraesCS3B01G362200;TraesCS3B01G146900;TraesCS6D01G125500;TraesCS1B01G177900;TraesCS4A01G076700;TraesCSU01G084800;TraesCS2D01G035500;TraesCS2A01G331800;TraesCS3A01G405000;TraesCS4B01G232800;TraesCS2B01G005900;TraesCS2B01G284900;TraesCS2D01G002800;TraesCS7D01G442300;TraesCS2B01G035600;TraesCS5A01G056600;TraesCS5D01G006800;TraesCS1D01G276600;TraesCS3D01G505600;TraesCS6A01G305600;TraesCS2A01G015400;TraesCS5B01G364300;TraesCSU01G073000;TraesCS2B01G615800;TraesCS2D01G265100;TraesCS1A01G277400;TraesCS6A01G136500;TraesCS2A01G014900;TraesCSU01G032500;TraesCS2D01G026000;TraesCS4A01G358200;TraesCS3B01G044900;TraesCS7D01G234300;TraesCS7D01G511600;TraesCS2B01G091500;TraesCS5D01G370600;TraesCS2D01G015000;TraesCS2D01G002500;TraesCS2A01G571500;TraesCS5B01G364200;TraesCS4B01G342400;TraesCS1B01G095800;TraesCS2B01G615700;TraesCS3B01G549200;TraesCS4D01G234000;TraesCS3A01G180200;TraesCS7D01G271100;TraesCS4A01G183600;TraesCS2B01G124900;TraesCS1D01G096400;TraesCS7A01G234000;TraesCS2B01G001100;TraesCS2B01G049400;TraesCS7B01G118200;TraesCS7D01G024500;TraesCS4D01G170600;TraesCS7D01G511500;TraesCS3B01G438700;TraesCS6D01G289300;TraesCS2D01G583000;TraesCS5A01G362400;TraesCS4A01G235800;TraesCS4A01G036100;TraesCS1A01G078100;TraesCS2A01G044900;TraesCS1B01G330400;TraesCS1B01G355400;TraesCS6D01G397200;TraesCS2A01G015600;TraesCS4B01G268900;TraesCS5A01G361700;TraesCS2B01G006900;TraesCS2B01G615600;TraesCS7B01G132400;TraesCS2D01G016000;TraesCS4B01G009700;TraesCS2D01G043500;TraesCS3D01G325700;TraesCS4D01G268200;TraesCS1D01G317700;TraesCS1A01G317900;TraesCS7B01G168800;TraesCS4A01G136600;TraesCS2B01G005800;TraesCS4D01G338000;TraesCSU01G012200;TraesCS2D01G583100;TraesCS2B01G006600;TraesCS2B01G350400;TraesCS2B01G006200;TraesCS2A01G571700;TraesCS2B01G186100;TraesCS3D01G400400;TraesCS2A01G013200;TraesCS6B01G164400</t>
  </si>
  <si>
    <t>TraesCS3A01G281400</t>
  </si>
  <si>
    <t>TraesCS4B01G194800;TraesCS1B01G368600;TraesCS7A01G357800;TraesCS1D01G357000;TraesCS4B01G267200;TraesCS1A01G353200;TraesCS6A01G174100;TraesCS6B01G202700;TraesCS6B01G331500;TraesCS6D01G163200</t>
  </si>
  <si>
    <t>TraesCS3A01G284200</t>
  </si>
  <si>
    <t>serine hydrolase activity</t>
  </si>
  <si>
    <t>TraesCS3A01G071500;TraesCS3B01G085300;TraesCS2A01G408900;TraesCS2D01G406000;TraesCS4A01G198500;TraesCS4A01G035200;TraesCS6B01G170600;TraesCS3A01G254900;TraesCS3D01G008400;TraesCS6A01G245600;TraesCS4B01G267900;TraesCS1A01G237900;TraesCS6B01G278800;TraesCS3D01G070700;TraesCS6D01G228000;TraesCS3B01G004200;TraesCS7A01G381400;TraesCS5B01G307800;TraesCS4B01G117000;TraesCS2D01G027400;TraesCS5B01G242400;TraesCS5D01G033200;TraesCS5B01G024600;TraesCS2A01G025400;TraesCS2D01G285600;TraesCS4B01G077600;TraesCS1B01G246400;TraesCS5D01G519300;TraesCS6A01G161600;TraesCS7B01G283300;TraesCS2B01G427200;TraesCS1D01G234500;TraesCS3B01G116300;TraesCS4D01G114700;TraesCS1D01G234700</t>
  </si>
  <si>
    <t>TraesCS3A01G316500</t>
  </si>
  <si>
    <t>serine-type peptidase activity</t>
  </si>
  <si>
    <t>TraesCS3A01G317300</t>
  </si>
  <si>
    <t>cellular response to drug</t>
  </si>
  <si>
    <t>TraesCS7A01G310600;TraesCS4B01G045400;TraesCS4A01G213400;TraesCS4A01G316600;TraesCS4D01G045300;TraesCS7A01G561600;TraesCS7B01G210400;TraesCS7D01G307100</t>
  </si>
  <si>
    <t>TraesCS3A01G318600</t>
  </si>
  <si>
    <t>sulfate transmembrane transport</t>
  </si>
  <si>
    <t>TraesCS3A01G288800;TraesCS3B01G323500;TraesCS3D01G288600;TraesCS4A01G043400</t>
  </si>
  <si>
    <t>TraesCS3A01G318800</t>
  </si>
  <si>
    <t>negative regulation of lipid metabolic process</t>
  </si>
  <si>
    <t>TraesCS3A01G324100</t>
  </si>
  <si>
    <t>negative regulation of lipid biosynthetic process</t>
  </si>
  <si>
    <t>TraesCS3A01G330500</t>
  </si>
  <si>
    <t>transcription factor TFIIF complex</t>
  </si>
  <si>
    <t>TraesCS3A01G295300;TraesCS3D01G307800</t>
  </si>
  <si>
    <t>TraesCS3A01G331900</t>
  </si>
  <si>
    <t>starch grain</t>
  </si>
  <si>
    <t>TraesCS5A01G248700;TraesCS5D01G255800</t>
  </si>
  <si>
    <t>TraesCS3A01G340300</t>
  </si>
  <si>
    <t>chloroplast starch grain</t>
  </si>
  <si>
    <t>TraesCS3A01G351000</t>
  </si>
  <si>
    <t>isoamylase activity</t>
  </si>
  <si>
    <t>TraesCS3A01G360400</t>
  </si>
  <si>
    <t>transferase activity, transferring phosphorus-containing groups</t>
  </si>
  <si>
    <t>TraesCS2D01G116700;TraesCS4B01G149500;TraesCS6B01G213500;TraesCS5D01G124000;TraesCS3D01G527400;TraesCS5B01G132400;TraesCS1D01G124200;TraesCS3A01G013400;TraesCS4D01G000300;TraesCS6B01G182900;TraesCS6D01G172100;TraesCS6B01G006500;TraesCS1A01G435300;TraesCS7A01G488800;TraesCS3A01G228000;TraesCS7B01G263100;TraesCS1A01G355200;TraesCS6A01G269800;TraesCS6D01G236400;TraesCS4B01G162700;TraesCS5D01G153800;TraesCS1B01G445300;TraesCS3B01G119300;TraesCS2D01G217500;TraesCS3B01G169200;TraesCS4A01G213400;TraesCS7D01G521000;TraesCS6D01G404800;TraesCS6B01G213600;TraesCS1B01G320400;TraesCS5A01G558300;TraesCS4B01G071600;TraesCS4D01G052200;TraesCS5A01G110100;TraesCS7B01G450800;TraesCS4A01G077500;TraesCS6D01G172000;TraesCS4B01G102400;TraesCS6B01G270400;TraesCS3B01G365200;TraesCS5B01G112900;TraesCS4B01G350300;TraesCS3B01G183500;TraesCS3D01G309600;TraesCS7B01G193600;TraesCS1A01G309400;TraesCS4D01G003800;TraesCS7B01G165200;TraesCS5D01G434800;TraesCS2B01G193000;TraesCS3B01G169300;TraesCS5D01G088700;TraesCS7A01G569400;TraesCS4D01G150200;TraesCS1D01G317200;TraesCS3B01G236500;TraesCS6A01G192900;TraesCS6D01G184000;TraesCS3D01G151400;TraesCS1D01G151900;TraesCS2A01G230100;TraesCS3A01G135400;TraesCS5B01G109300;TraesCS7D01G232700;TraesCS6D01G061500;TraesCS3A01G229800;TraesCS4A01G136500;TraesCS4D01G176600;TraesCS7B01G131000;TraesCS3B01G260900;TraesCS7D01G251100;TraesCS7D01G543200;TraesCS1D01G191800;TraesCS4D01G161900;TraesCS3D01G110300;TraesCS3A01G400600;TraesCS1D01G187400;TraesCS4A01G143600;TraesCS3A01G306000;TraesCS4B01G130300;TraesCS4D01G166800;TraesCS1D01G444300;TraesCS4A01G001100;TraesCS5D01G434700;TraesCS1B01G366400;TraesCS5A01G363400;TraesCS4A01G150100;TraesCS4B01G030100;TraesCS7B01G392000;TraesCS5B01G025000;TraesCS7B01G293200;TraesCS5A01G298500;TraesCS3D01G151500;TraesCS7D01G267700;TraesCS3B01G239200;TraesCS2A01G272400;TraesCS3A01G135500;TraesCS4D01G170700;TraesCS3D01G164700;TraesCS6D01G002200;TraesCS4B01G192200;TraesCS5D01G118300;TraesCS5B01G110400;TraesCS6A01G353500;TraesCS1B01G193000;TraesCS4B01G052000;TraesCS6D01G112900;TraesCS7D01G155500;TraesCS5A01G075200;TraesCS2A01G577000;TraesCS3A01G276100;TraesCS7B01G262500;TraesCS7D01G162700;TraesCS3B01G343900;TraesCS4A01G227200;TraesCS7A01G055000;TraesCS5A01G426800;TraesCS7A01G416100;TraesCS1A01G153400;TraesCS1A01G415300;TraesCS6A01G421000;TraesCS3A01G157100;TraesCS7A01G267000;TraesCS3D01G008400;TraesCS5B01G428600;TraesCS6B01G467300;TraesCS1D01G308800;TraesCS3A01G208900;TraesCS6D01G287600;TraesCS5B01G365500;TraesCS6A01G122700;TraesCS7A01G161400;TraesCS6A01G063300;TraesCS7A01G297200;TraesCS3D01G196000;TraesCS3B01G256700;TraesCS3B01G330500;TraesCS2B01G251700;TraesCS4B01G375400;TraesCS7D01G228500;TraesCS1B01G329700;TraesCS6B01G386100;TraesCS5A01G411300;TraesCS6B01G150900;TraesCS4D01G001000;TraesCS3B01G603300;TraesCS5A01G132500;TraesCS1B01G359800;TraesCS4A01G129900;TraesCS1B01G152700;TraesCS5B01G297700;TraesCS4D01G125500;TraesCS6D01G144800;TraesCS5D01G437000;TraesCS7D01G414900;TraesCS1A01G317300;TraesCS3A01G231700;TraesCS6B01G084500;TraesCS2D01G378100;TraesCS4A01G165400;TraesCS4A01G185600;TraesCS4A01G187900;TraesCS5D01G216400;TraesCS5A01G054700;TraesCS2B01G540200;TraesCS2D01G546200;TraesCS5D01G305200;TraesCS7D01G387000;TraesCS4B01G133100;TraesCS7A01G251200;TraesCS7B01G139900;TraesCS4B01G375300;TraesCS4D01G361600;TraesCS5D01G033500;TraesCS3A01G108500;TraesCS3A01G490100;TraesCS7A01G155200;TraesCS4A01G441600;TraesCS3D01G395000;TraesCS3B01G433600;TraesCS3B01G215600;TraesCS4B01G002300;TraesCS3D01G276000;TraesCS4B01G233600;TraesCS6A01G255100;TraesCS3A01G186000;TraesCS6D01G139200;TraesCS1B01G471100;TraesCS1D01G440900;TraesCS6D01G329000;TraesCS3D01G229200;TraesCS6A01G154900;TraesCS1A01G287900;TraesCS3B01G259100;TraesCS3D01G266100;TraesCS6D01G335800;TraesCS7D01G241800;TraesCS6A01G346100;TraesCS1D01G422800;TraesCS4A01G245900;TraesCS1D01G348900;TraesCS7B01G489300;TraesCS3A01G334200;TraesCS4A01G000300;TraesCS7B01G059300;TraesCS7D01G475200;TraesCS1A01G133200;TraesCS7D01G050100;TraesCS1A01G189000;TraesCS7B01G066500;TraesCS5B01G137600;TraesCS3D01G211800;TraesCS6B01G177800;TraesCS4D01G099200;TraesCS4B01G000300;TraesCS4D01G128000;TraesCS5B01G081500;TraesCS1B01G171500;TraesCS7D01G357700;TraesCS5B01G428700;TraesCS6B01G337100;TraesCS5D01G140700;TraesCS7D01G291600;TraesCS4B01G152500;TraesCS4B01G089100;TraesCS3D01G221700;TraesCS5D01G372600;TraesCS1B01G297300;TraesCS5B01G061800;TraesCS6A01G149900;TraesCS7D01G409400;TraesCS4D01G086800;TraesCS6A01G376200;TraesCS7A01G226000;TraesCS4A01G145600;TraesCS3D01G190000;TraesCS6A01G182800;TraesCS7B01G316100;TraesCS3D01G295900;TraesCS5A01G025700;TraesCS5D01G065900;TraesCS5A01G138300;TraesCS4A01G399600;TraesCS6B01G428500</t>
  </si>
  <si>
    <t>TraesCS3A01G366300</t>
  </si>
  <si>
    <t>iron ion binding</t>
  </si>
  <si>
    <t>TraesCS4D01G093600;TraesCS2A01G565700;TraesCS3B01G362200;TraesCS7A01G357800;TraesCS3B01G146900;TraesCS1B01G177900;TraesCS7D01G271100;TraesCS4A01G183600;TraesCSU01G084800;TraesCS6B01G018700;TraesCS2B01G001100;TraesCS2B01G049400;TraesCS1D01G147800;TraesCS2D01G035500;TraesCS7D01G024500;TraesCS2A01G331800;TraesCS2A01G385100;TraesCS3A01G405000;TraesCS4D01G314400;TraesCS7D01G511500;TraesCS2B01G005900;TraesCS2D01G002800;TraesCS5A01G362400;TraesCS2B01G035600;TraesCS2A01G044900;TraesCS4A01G218400;TraesCS5A01G056600;TraesCS5D01G006800;TraesCS4D01G329200;TraesCS2A01G015600;TraesCS1D01G276600;TraesCS3D01G505600;TraesCS1B01G168400;TraesCS6D01G139700;TraesCS2A01G015400;TraesCS5B01G364300;TraesCS5A01G361700;TraesCSU01G073000;TraesCS2B01G006900;TraesCS2D01G016000;TraesCS4B01G009700;TraesCS2D01G043500;TraesCS3D01G325700;TraesCS4B01G332500;TraesCS6A01G226500;TraesCS1A01G277400;TraesCS7B01G168800;TraesCS2A01G014900;TraesCSU01G032500;TraesCS2D01G381800;TraesCS2D01G026000;TraesCS4A01G358200;TraesCS3B01G044900;TraesCS7D01G511600;TraesCS2B01G005800;TraesCS4D01G338000;TraesCSU01G012200;TraesCS2B01G091500;TraesCS1A01G406300;TraesCS5B01G418800;TraesCS5A01G503600;TraesCS6D01G208500;TraesCS5D01G370600;TraesCS2B01G402100;TraesCS2D01G015000;TraesCS7D01G488800;TraesCS2D01G002500;TraesCS2B01G006600;TraesCS2B01G350400;TraesCS4B01G318000;TraesCS5A01G220200;TraesCS2B01G006200;TraesCS6A01G150000;TraesCS2B01G186100;TraesCS3D01G400400;TraesCS2A01G013200;TraesCS5B01G364200;TraesCS4B01G342400</t>
  </si>
  <si>
    <t>TraesCS3A01G366400</t>
  </si>
  <si>
    <t>nucleoside diphosphate kinase activity</t>
  </si>
  <si>
    <t>TraesCS4D01G099200;TraesCS4A01G213400;TraesCS4B01G102400</t>
  </si>
  <si>
    <t>TraesCS3A01G406500</t>
  </si>
  <si>
    <t>GTP biosynthetic process</t>
  </si>
  <si>
    <t>TraesCS3A01G414300</t>
  </si>
  <si>
    <t>UTP metabolic process</t>
  </si>
  <si>
    <t>TraesCS3A01G419200</t>
  </si>
  <si>
    <t>UTP biosynthetic process</t>
  </si>
  <si>
    <t>TraesCS3A01G447500</t>
  </si>
  <si>
    <t>antibiotic catabolic process</t>
  </si>
  <si>
    <t>TraesCS3A01G457500</t>
  </si>
  <si>
    <t>nucleoside diphosphate metabolic process</t>
  </si>
  <si>
    <t>TraesCS3A01G457600</t>
  </si>
  <si>
    <t>regulation of transport</t>
  </si>
  <si>
    <t>TraesCS3A01G490100</t>
  </si>
  <si>
    <t>regulation of transmembrane transport</t>
  </si>
  <si>
    <t>TraesCS2B01G528300;TraesCS5B01G112900;TraesCS3A01G502300;TraesCS7A01G267000;TraesCS5D01G219100;TraesCS4A01G165500;TraesCS3D01G509100</t>
  </si>
  <si>
    <t>TraesCS3A01G492000</t>
  </si>
  <si>
    <t>regulation of ion transmembrane transport</t>
  </si>
  <si>
    <t>TraesCS3A01G493000</t>
  </si>
  <si>
    <t>hydrogen peroxide metabolic process</t>
  </si>
  <si>
    <t>TraesCS1B01G095800;TraesCS2B01G284900;TraesCS7D01G442300;TraesCS3A01G239200;TraesCS4A01G036100;TraesCS1A01G078100;TraesCS2B01G124900;TraesCS1D01G096400;TraesCS1B01G330400;TraesCS4D01G268200;TraesCS1D01G317700;TraesCS4B01G268900;TraesCS7B01G118200;TraesCS4D01G170600;TraesCS4A01G136600</t>
  </si>
  <si>
    <t>TraesCS3A01G496400</t>
  </si>
  <si>
    <t>peptidyl-tyrosine dephosphorylation</t>
  </si>
  <si>
    <t>TraesCS4D01G129800;TraesCS7B01G450800;TraesCS7D01G521000;TraesCS4A01G183500;TraesCS4B01G135100</t>
  </si>
  <si>
    <t>TraesCS3A01G508000</t>
  </si>
  <si>
    <t>regulation of cation transmembrane transport</t>
  </si>
  <si>
    <t>TraesCS2B01G528300;TraesCS5B01G112900;TraesCS3A01G502300;TraesCS7A01G267000;TraesCS5D01G219100;TraesCS3D01G509100</t>
  </si>
  <si>
    <t>TraesCS3A01G508700</t>
  </si>
  <si>
    <t>phosphoenolpyruvate carboxylase activity</t>
  </si>
  <si>
    <t>TraesCS3D01G005000;TraesCS3B01G008500;TraesCS3B01G011200</t>
  </si>
  <si>
    <t>TraesCS3A01G524900</t>
  </si>
  <si>
    <t>defense response by callose deposition</t>
  </si>
  <si>
    <t>TraesCS4B01G045400;TraesCS4D01G045300;TraesCS7A01G561600</t>
  </si>
  <si>
    <t>TraesCS3A01G539200</t>
  </si>
  <si>
    <t>phototropism</t>
  </si>
  <si>
    <t>TraesCS4D01G052200;TraesCS6B01G117400;TraesCS4B01G052000</t>
  </si>
  <si>
    <t>TraesCS3B01G002900</t>
  </si>
  <si>
    <t>polyol catabolic process</t>
  </si>
  <si>
    <t>TraesCS4B01G194800;TraesCS7A01G357800;TraesCS6B01G331500</t>
  </si>
  <si>
    <t>TraesCS3B01G004200</t>
  </si>
  <si>
    <t>inorganic anion transmembrane transporter activity</t>
  </si>
  <si>
    <t>TraesCS3A01G288800;TraesCS6A01G098500;TraesCS3B01G323500;TraesCS3D01G288600;TraesCS4A01G043400;TraesCS3B01G144700;TraesCS2D01G058700;TraesCS3A01G126300;TraesCS6A01G402000;TraesCS3D01G126600</t>
  </si>
  <si>
    <t>TraesCS3B01G014500</t>
  </si>
  <si>
    <t>negative regulation of hormone metabolic process</t>
  </si>
  <si>
    <t>TraesCS3B01G119300</t>
  </si>
  <si>
    <t>negative regulation of hormone biosynthetic process</t>
  </si>
  <si>
    <t>TraesCS3B01G129200</t>
  </si>
  <si>
    <t>inositol phosphate catabolic process</t>
  </si>
  <si>
    <t>TraesCS4B01G194800;TraesCS6B01G331500</t>
  </si>
  <si>
    <t>TraesCS3B01G136800</t>
  </si>
  <si>
    <t>inositol phosphate dephosphorylation</t>
  </si>
  <si>
    <t>TraesCS3B01G139000</t>
  </si>
  <si>
    <t>phenol-containing compound biosynthetic process</t>
  </si>
  <si>
    <t>TraesCS3B01G144700</t>
  </si>
  <si>
    <t>organophosphate catabolic process</t>
  </si>
  <si>
    <t>TraesCS1B01G366400;TraesCS4A01G129900;TraesCS4B01G194800;TraesCS4D01G176600;TraesCS2B01G528300;TraesCS5B01G222500;TraesCS1A01G355200;TraesCS3D01G110300;TraesCS3A01G108500;TraesCS7D01G228500;TraesCS7A01G226000;TraesCS7A01G075600;TraesCS7B01G193600;TraesCS3D01G276000;TraesCS3A01G276100;TraesCS6B01G331500</t>
  </si>
  <si>
    <t>TraesCS3B01G149900</t>
  </si>
  <si>
    <t>kinesin complex</t>
  </si>
  <si>
    <t>TraesCS4D01G144800;TraesCS5D01G323300;TraesCS4B01G126400;TraesCS5B01G317600;TraesCS5A01G317000;TraesCS6A01G188600;TraesCS4A01G169700;TraesCS6B01G215900;TraesCS6D01G177300</t>
  </si>
  <si>
    <t>TraesCS3B01G169300</t>
  </si>
  <si>
    <t>arabinose metabolic process</t>
  </si>
  <si>
    <t>TraesCS4B01G127600;TraesCS4D01G125100;TraesCS4A01G188300</t>
  </si>
  <si>
    <t>TraesCS3B01G185400</t>
  </si>
  <si>
    <t>L-arabinose metabolic process</t>
  </si>
  <si>
    <t>TraesCS3B01G243600</t>
  </si>
  <si>
    <t>alpha-L-arabinofuranosidase activity</t>
  </si>
  <si>
    <t>TraesCS3B01G256700</t>
  </si>
  <si>
    <t>alcohol catabolic process</t>
  </si>
  <si>
    <t>TraesCS3B01G259300</t>
  </si>
  <si>
    <t>GTPase activator activity</t>
  </si>
  <si>
    <t>TraesCS1A01G239200;TraesCS7D01G264700;TraesCS7B01G161800;TraesCS1D01G239400;TraesCS4B01G219700</t>
  </si>
  <si>
    <t>TraesCS3B01G264300</t>
  </si>
  <si>
    <t>monosaccharide binding</t>
  </si>
  <si>
    <t>TraesCS3B01G274600</t>
  </si>
  <si>
    <t>enzyme binding</t>
  </si>
  <si>
    <t>TraesCS3B01G331000;TraesCS3B01G274600;TraesCS6D01G223800;TraesCS1A01G392100;TraesCS6D01G183300;TraesCS6B01G282600;TraesCS3D01G246200;TraesCS3A01G245300;TraesCS3A01G305500;TraesCS1D01G400200;TraesCS2A01G391500;TraesCS6A01G196000;TraesCS1B01G420200;TraesCS2D01G389800;TraesCS4B01G219700;TraesCS3D01G296400</t>
  </si>
  <si>
    <t>TraesCS3B01G286700</t>
  </si>
  <si>
    <t>ether metabolic process</t>
  </si>
  <si>
    <t>TraesCS1D01G301200;TraesCS2A01G100900;TraesCS6A01G372100;TraesCS6B01G353700;TraesCS1A01G301500;TraesCS2B01G118100;TraesCS1B01G311300</t>
  </si>
  <si>
    <t>TraesCS3B01G308500</t>
  </si>
  <si>
    <t>glycerol ether metabolic process</t>
  </si>
  <si>
    <t>TraesCS3B01G309500</t>
  </si>
  <si>
    <t>protein-chromophore linkage</t>
  </si>
  <si>
    <t>TraesCS1D01G411600;TraesCS4D01G052200;TraesCS7D01G276300;TraesCS5D01G219100;TraesCS1A01G403800;TraesCS1B01G433300;TraesCS4B01G052000</t>
  </si>
  <si>
    <t>TraesCS3B01G313800</t>
  </si>
  <si>
    <t>antibiotic biosynthetic process</t>
  </si>
  <si>
    <t>TraesCS7A01G310600;TraesCS4B01G045400;TraesCS3A01G239200;TraesCS2B01G131600;TraesCS4D01G045300;TraesCS7B01G210400;TraesCS7D01G307100</t>
  </si>
  <si>
    <t>TraesCS3B01G314800</t>
  </si>
  <si>
    <t>monocarboxylic acid transport</t>
  </si>
  <si>
    <t>TraesCS1B01G211100;TraesCS1D01G161500;TraesCS1B01G181300;TraesCS2B01G154600;TraesCS4B01G217300</t>
  </si>
  <si>
    <t>TraesCS3B01G318200</t>
  </si>
  <si>
    <t>polyamine biosynthetic process</t>
  </si>
  <si>
    <t>TraesCS5B01G220000;TraesCS5A01G221200;TraesCS7B01G060700;TraesCS5D01G228900;TraesCS7A01G156500</t>
  </si>
  <si>
    <t>TraesCS3B01G330000</t>
  </si>
  <si>
    <t>secondary active sulfate transmembrane transporter activity</t>
  </si>
  <si>
    <t>TraesCS3B01G336200</t>
  </si>
  <si>
    <t>monocarboxylic acid transmembrane transporter activity</t>
  </si>
  <si>
    <t>TraesCS1B01G211100;TraesCS1D01G161500;TraesCS1B01G181300</t>
  </si>
  <si>
    <t>TraesCS3B01G349200</t>
  </si>
  <si>
    <t>nuclear speck</t>
  </si>
  <si>
    <t>TraesCS4D01G052200;TraesCS2B01G131600;TraesCS4B01G052000</t>
  </si>
  <si>
    <t>TraesCS3B01G350200</t>
  </si>
  <si>
    <t>GTP metabolic process</t>
  </si>
  <si>
    <t>TraesCS3B01G353200</t>
  </si>
  <si>
    <t>protein serine/threonine kinase activity</t>
  </si>
  <si>
    <t>TraesCS3B01G169300;TraesCS5D01G088700;TraesCS1A01G153400;TraesCS1D01G317200;TraesCS1A01G415300;TraesCS6B01G213500;TraesCS3A01G157100;TraesCS5D01G124000;TraesCS6A01G192900;TraesCS3D01G527400;TraesCS1D01G151900;TraesCS5B01G428600;TraesCS1D01G124200;TraesCS1D01G422800;TraesCS4D01G000300;TraesCS5B01G109300;TraesCS6D01G287600;TraesCS6D01G172100;TraesCS3A01G334200;TraesCS4A01G136500;TraesCS6A01G122700;TraesCS1A01G133200;TraesCS6B01G006500;TraesCS6A01G063300;TraesCS3B01G260900;TraesCS3A01G228000;TraesCS3B01G256700;TraesCS1D01G191800;TraesCS7B01G263100;TraesCS3B01G330500;TraesCS3A01G400600;TraesCS2B01G251700;TraesCS4B01G375400;TraesCS1A01G189000;TraesCS5B01G137600;TraesCS1B01G329700;TraesCS4B01G130300;TraesCS4D01G166800;TraesCS6B01G150900;TraesCS4D01G001000;TraesCS6D01G236400;TraesCS4B01G000300;TraesCS4A01G001100;TraesCS5D01G434700;TraesCS5D01G153800;TraesCS1B01G445300;TraesCS2D01G217500;TraesCS4D01G125500;TraesCS4B01G030100;TraesCS5B01G025000;TraesCS5B01G081500;TraesCS6D01G404800;TraesCS7D01G414900;TraesCS1A01G317300;TraesCS1B01G171500;TraesCS3A01G231700;TraesCS3D01G151500;TraesCS6B01G084500;TraesCS6B01G213600;TraesCS4A01G187900;TraesCS5D01G216400;TraesCS5A01G558300;TraesCS5A01G054700;TraesCS5B01G428700;TraesCS6B01G337100;TraesCS4B01G089100;TraesCS4A01G077500;TraesCS3D01G221700;TraesCS6D01G172000;TraesCS4D01G170700;TraesCS6B01G270400;TraesCS5B01G061800;TraesCS4B01G375300;TraesCS4D01G361600;TraesCS5B01G110400;TraesCS5B01G112900;TraesCS7D01G409400;TraesCS5D01G033500;TraesCS4D01G086800;TraesCS6A01G376200;TraesCS1B01G193000;TraesCS4B01G350300;TraesCS4A01G145600;TraesCS6D01G112900;TraesCS6A01G182800;TraesCS4B01G002300;TraesCS2A01G577000;TraesCS4D01G003800;TraesCS6A01G255100;TraesCS5A01G025700;TraesCS5D01G065900;TraesCS4A01G227200;TraesCS4A01G399600</t>
  </si>
  <si>
    <t>TraesCS3B01G354300</t>
  </si>
  <si>
    <t>response to unfolded protein</t>
  </si>
  <si>
    <t>TraesCS7A01G310600;TraesCS4B01G045400;TraesCS4D01G045300;TraesCS7B01G210400;TraesCS7D01G307100</t>
  </si>
  <si>
    <t>TraesCS3B01G359800</t>
  </si>
  <si>
    <t>cellular response to topologically incorrect protein</t>
  </si>
  <si>
    <t>TraesCS3B01G362000</t>
  </si>
  <si>
    <t>cellular response to unfolded protein</t>
  </si>
  <si>
    <t>TraesCS3B01G362200</t>
  </si>
  <si>
    <t>endoplasmic reticulum unfolded protein response</t>
  </si>
  <si>
    <t>TraesCS3B01G371800</t>
  </si>
  <si>
    <t>GABA receptor activity</t>
  </si>
  <si>
    <t>TraesCS2B01G246200;TraesCS2A01G220700</t>
  </si>
  <si>
    <t>TraesCS3B01G371900</t>
  </si>
  <si>
    <t>G protein-coupled neurotransmitter receptor activity</t>
  </si>
  <si>
    <t>TraesCS3B01G372100</t>
  </si>
  <si>
    <t>G protein-coupled GABA receptor activity</t>
  </si>
  <si>
    <t>TraesCS3B01G383600</t>
  </si>
  <si>
    <t>regulation of alcohol biosynthetic process</t>
  </si>
  <si>
    <t>TraesCS3B01G392700</t>
  </si>
  <si>
    <t>phenol-containing compound metabolic process</t>
  </si>
  <si>
    <t>TraesCS3B01G419800</t>
  </si>
  <si>
    <t>cytokinin dehydrogenase activity</t>
  </si>
  <si>
    <t>TraesCS1A01G234800;TraesCS3B01G344600;TraesCS3A01G321100;TraesCS3D01G310200</t>
  </si>
  <si>
    <t>TraesCS3B01G429900</t>
  </si>
  <si>
    <t>inorganic anion transmembrane transport</t>
  </si>
  <si>
    <t>TraesCS3B01G438700</t>
  </si>
  <si>
    <t>movement of cell or subcellular component</t>
  </si>
  <si>
    <t>TraesCS4A01G143800;TraesCS4D01G144800;TraesCS5D01G323300;TraesCS4B01G126400;TraesCS5B01G317600;TraesCS7D01G536300;TraesCS5A01G317000;TraesCS6A01G188600;TraesCS4A01G169700;TraesCS6B01G215900;TraesCS6D01G177300</t>
  </si>
  <si>
    <t>TraesCS3B01G454500</t>
  </si>
  <si>
    <t>G protein-coupled receptor signaling pathway</t>
  </si>
  <si>
    <t>TraesCS7A01G297200;TraesCS7D01G291600;TraesCS7B01G293200;TraesCS7D01G387000;TraesCS2B01G246200;TraesCS2A01G220700;TraesCS6B01G428500</t>
  </si>
  <si>
    <t>TraesCS3B01G461800</t>
  </si>
  <si>
    <t>carbon-sulfur lyase activity</t>
  </si>
  <si>
    <t>TraesCS1D01G114800;TraesCS3A01G093000;TraesCS1B01G133500;TraesCS5D01G465300;TraesCS1A01G113400</t>
  </si>
  <si>
    <t>TraesCS3B01G483500</t>
  </si>
  <si>
    <t>purine nucleoside triphosphate biosynthetic process</t>
  </si>
  <si>
    <t>TraesCS1B01G366400;TraesCS4A01G129900;TraesCS4D01G176600;TraesCS2B01G528300;TraesCS7D01G146700;TraesCS7D01G500200;TraesCS4A01G213400;TraesCS1A01G355200;TraesCS3D01G110300;TraesCS7B01G047600;TraesCS3A01G108500;TraesCS7D01G228500;TraesCS7A01G226000;TraesCS7B01G421700;TraesCS4D01G099200;TraesCS7A01G075600;TraesCS7B01G193600;TraesCS6B01G393400;TraesCS7A01G510800;TraesCS3D01G276000;TraesCS3A01G276100;TraesCS4B01G102400;TraesCS7A01G145400</t>
  </si>
  <si>
    <t>TraesCS3B01G497700</t>
  </si>
  <si>
    <t>purine ribonucleoside triphosphate biosynthetic process</t>
  </si>
  <si>
    <t>TraesCS3B01G498200</t>
  </si>
  <si>
    <t>intramolecular lyase activity</t>
  </si>
  <si>
    <t>TraesCS4B01G267200;TraesCS7A01G163700;TraesCS7D01G165800</t>
  </si>
  <si>
    <t>TraesCS3B01G521800</t>
  </si>
  <si>
    <t>sulfur compound transmembrane transporter activity</t>
  </si>
  <si>
    <t>TraesCS3B01G540000</t>
  </si>
  <si>
    <t>sulfate transmembrane transporter activity</t>
  </si>
  <si>
    <t>TraesCS3B01G553000</t>
  </si>
  <si>
    <t>sulfate transport</t>
  </si>
  <si>
    <t>TraesCS3B01G562700</t>
  </si>
  <si>
    <t>protein tyrosine/serine/threonine phosphatase activity</t>
  </si>
  <si>
    <t>TraesCS3B01G568600</t>
  </si>
  <si>
    <t>regulation of localization</t>
  </si>
  <si>
    <t>TraesCS3B01G592200</t>
  </si>
  <si>
    <t>acid phosphatase activity</t>
  </si>
  <si>
    <t>TraesCS2B01G382900;TraesCS3B01G359800;TraesCS5A01G532400;TraesCS7D01G095900;TraesCS2A01G364400;TraesCS3D01G323100;TraesCS3A01G329700;TraesCS2D01G362300;TraesCS4B01G363800</t>
  </si>
  <si>
    <t>TraesCS3B01G593800</t>
  </si>
  <si>
    <t>sulfur compound transport</t>
  </si>
  <si>
    <t>TraesCS3B01G594900</t>
  </si>
  <si>
    <t>cellular response to antibiotic</t>
  </si>
  <si>
    <t>TraesCS7A01G310600;TraesCS4B01G045400;TraesCS4A01G213400;TraesCS4D01G045300;TraesCS7A01G561600;TraesCS7B01G210400;TraesCS7D01G307100</t>
  </si>
  <si>
    <t>TraesCS3B01G598100</t>
  </si>
  <si>
    <t>isocitrate dehydrogenase activity</t>
  </si>
  <si>
    <t>TraesCS3D01G000200</t>
  </si>
  <si>
    <t>beta-glucosidase activity</t>
  </si>
  <si>
    <t>TraesCS2B01G599800;TraesCS3D01G477200;TraesCS3B01G528400</t>
  </si>
  <si>
    <t>TraesCS3D01G008400</t>
  </si>
  <si>
    <t>negative regulation of small molecule metabolic process</t>
  </si>
  <si>
    <t>TraesCS3D01G017700</t>
  </si>
  <si>
    <t>NADH dehydrogenase complex (plastoquinone) assembly</t>
  </si>
  <si>
    <t>TraesCS3A01G502300;TraesCS3D01G509100</t>
  </si>
  <si>
    <t>TraesCS3D01G040100</t>
  </si>
  <si>
    <t>detection of visible light</t>
  </si>
  <si>
    <t>TraesCS3D01G041700</t>
  </si>
  <si>
    <t>organophosphate metabolic process</t>
  </si>
  <si>
    <t>TraesCS1D01G375600;TraesCS7D01G500200;TraesCS7A01G569400;TraesCS7B01G142500;TraesCS5D01G219100;TraesCS5B01G132400;TraesCS5D01G231100;TraesCS7A01G075600;TraesCS1A01G369600;TraesCS2B01G154600;TraesCS7B01G489300;TraesCS6B01G331500;TraesCS4D01G176600;TraesCS2B01G528300;TraesCS6D01G281800;TraesCS6A01G206600;TraesCS7D01G146700;TraesCS7D01G543200;TraesCS4D01G161900;TraesCS6D01G258300;TraesCS1A01G355200;TraesCS3D01G110300;TraesCS4B01G352300;TraesCS1B01G388700;TraesCS7B01G047600;TraesCS1D01G116700;TraesCS4A01G143600;TraesCS7D01G228500;TraesCS7B01G086400;TraesCS5A01G520900;TraesCS5D01G519300;TraesCS4D01G099200;TraesCS5A01G132500;TraesCS7A01G510800;TraesCS5D01G285100;TraesCS4D01G128000;TraesCS3D01G331600;TraesCS1B01G366400;TraesCS1D01G375500;TraesCS4A01G129900;TraesCS5B01G222500;TraesCS4A01G213400;TraesCS5A01G202000;TraesCS1A01G115300;TraesCS7D01G183100;TraesCS5A01G223500;TraesCS4A01G165400;TraesCS4A01G185600;TraesCS1D01G375700;TraesCS5D01G140700;TraesCS2D01G546200;TraesCS4B01G152500;TraesCS6A01G302300;TraesCS4B01G133100;TraesCS4B01G267200;TraesCS5B01G277500;TraesCS4B01G217300;TraesCS4B01G102400;TraesCS3B01G134300;TraesCS5D01G208300;TraesCS6A01G277800;TraesCS4B01G194800;TraesCS7A01G335600;TraesCS3A01G108500;TraesCS4D01G346700;TraesCS5A01G278100;TraesCS7A01G226000;TraesCS1B01G135200;TraesCS3D01G117300;TraesCS7B01G421700;TraesCS3B01G270600;TraesCS7B01G193600;TraesCS6B01G393400;TraesCS3D01G276000;TraesCS3A01G276100;TraesCS4A01G301600;TraesCS2A01G447800;TraesCS7A01G181500;TraesCS7A01G145400</t>
  </si>
  <si>
    <t>TraesCS3D01G081300</t>
  </si>
  <si>
    <t>nucleotide phosphorylation</t>
  </si>
  <si>
    <t>TraesCS3D01G109300</t>
  </si>
  <si>
    <t>trivalent inorganic cation transport</t>
  </si>
  <si>
    <t>TraesCS1B01G440000</t>
  </si>
  <si>
    <t>TraesCS3D01G112000</t>
  </si>
  <si>
    <t>aluminum cation transport</t>
  </si>
  <si>
    <t>TraesCS3D01G117300</t>
  </si>
  <si>
    <t>cell tip</t>
  </si>
  <si>
    <t>TraesCS2A01G220600</t>
  </si>
  <si>
    <t>TraesCS3D01G121700</t>
  </si>
  <si>
    <t>growing cell tip</t>
  </si>
  <si>
    <t>TraesCS3D01G151500</t>
  </si>
  <si>
    <t>cell projection part</t>
  </si>
  <si>
    <t>TraesCS3D01G166700</t>
  </si>
  <si>
    <t>plasma membrane bounded cell projection part</t>
  </si>
  <si>
    <t>TraesCS3D01G215600</t>
  </si>
  <si>
    <t>pollen tube tip</t>
  </si>
  <si>
    <t>TraesCS3D01G220900</t>
  </si>
  <si>
    <t>glycerate kinase activity</t>
  </si>
  <si>
    <t>TraesCS3D01G266100</t>
  </si>
  <si>
    <t>TraesCS3D01G223300</t>
  </si>
  <si>
    <t>regulation of defense response to oomycetes</t>
  </si>
  <si>
    <t>TraesCS3D01G322900</t>
  </si>
  <si>
    <t>TraesCS3D01G225000</t>
  </si>
  <si>
    <t>positive regulation of defense response to oomycetes</t>
  </si>
  <si>
    <t>TraesCS3D01G235300</t>
  </si>
  <si>
    <t>positive regulation of nitrogen utilization</t>
  </si>
  <si>
    <t>TraesCS5B01G222500</t>
  </si>
  <si>
    <t>TraesCS3D01G235600</t>
  </si>
  <si>
    <t>cellular response to potassium ion starvation</t>
  </si>
  <si>
    <t>TraesCS3D01G243300</t>
  </si>
  <si>
    <t>acidic amino acid transmembrane transporter activity</t>
  </si>
  <si>
    <t>TraesCS5D01G051400</t>
  </si>
  <si>
    <t>TraesCS3D01G246200</t>
  </si>
  <si>
    <t>L-glutamate transmembrane transporter activity</t>
  </si>
  <si>
    <t>TraesCS3D01G255000</t>
  </si>
  <si>
    <t>acidic amino acid transport</t>
  </si>
  <si>
    <t>TraesCS3D01G255600</t>
  </si>
  <si>
    <t>L-glutamate import</t>
  </si>
  <si>
    <t>TraesCS3D01G275700</t>
  </si>
  <si>
    <t>single fertilization</t>
  </si>
  <si>
    <t>TraesCS5D01G320100</t>
  </si>
  <si>
    <t>TraesCS3D01G278100</t>
  </si>
  <si>
    <t>'de novo' GDP-L-fucose biosynthetic process</t>
  </si>
  <si>
    <t>TraesCS6D01G323500</t>
  </si>
  <si>
    <t>TraesCS3D01G279300</t>
  </si>
  <si>
    <t>GDP-L-fucose synthase activity</t>
  </si>
  <si>
    <t>TraesCS3D01G284100</t>
  </si>
  <si>
    <t>pollen wall</t>
  </si>
  <si>
    <t>TraesCS7A01G239800</t>
  </si>
  <si>
    <t>TraesCS3D01G298600</t>
  </si>
  <si>
    <t>exine</t>
  </si>
  <si>
    <t>TraesCS3D01G314700</t>
  </si>
  <si>
    <t>prosthetic group binding</t>
  </si>
  <si>
    <t>TraesCS7B01G255800</t>
  </si>
  <si>
    <t>TraesCS3D01G317600</t>
  </si>
  <si>
    <t>ACP phosphopantetheine attachment site binding</t>
  </si>
  <si>
    <t>TraesCS3D01G323900</t>
  </si>
  <si>
    <t>acyl carrier activity</t>
  </si>
  <si>
    <t>TraesCS3D01G325700</t>
  </si>
  <si>
    <t>NAD+ kinase activity</t>
  </si>
  <si>
    <t>TraesCS3D01G331600</t>
  </si>
  <si>
    <t>hormone biosynthetic process</t>
  </si>
  <si>
    <t>TraesCS7A01G310600;TraesCS4D01G045300;TraesCS7A01G561600;TraesCS7B01G210400;TraesCS5D01G353600;TraesCS3D01G485000;TraesCS2B01G350400;TraesCS4B01G045400;TraesCS4D01G215000;TraesCS7B01G019600;TraesCS2B01G131600;TraesCS2A01G331800;TraesCS1B01G440000;TraesCS7D01G307100</t>
  </si>
  <si>
    <t>TraesCS3D01G333800</t>
  </si>
  <si>
    <t>cellular component assembly involved in morphogenesis</t>
  </si>
  <si>
    <t>TraesCS4B01G215300;TraesCS7D01G147700;TraesCS4A01G089000;TraesCS4A01G020500</t>
  </si>
  <si>
    <t>TraesCS3D01G340700</t>
  </si>
  <si>
    <t>pollen wall assembly</t>
  </si>
  <si>
    <t>TraesCS3D01G354200</t>
  </si>
  <si>
    <t>microtubule associated complex</t>
  </si>
  <si>
    <t>TraesCS7A01G061500;TraesCS4D01G144800;TraesCS7D01G056400;TraesCS5D01G323300;TraesCS4B01G126400;TraesCS5B01G317600;TraesCS5A01G317000;TraesCS6A01G188600;TraesCS4A01G169700;TraesCS6B01G215900;TraesCS6D01G177300</t>
  </si>
  <si>
    <t>TraesCS3D01G359200</t>
  </si>
  <si>
    <t>NAD(P)H dehydrogenase complex (plastoquinone)</t>
  </si>
  <si>
    <t>TraesCS6A01G302500;TraesCS3A01G502300;TraesCS3D01G509100</t>
  </si>
  <si>
    <t>TraesCS3D01G359300</t>
  </si>
  <si>
    <t>coenzyme A metabolic process</t>
  </si>
  <si>
    <t>TraesCS3D01G363200</t>
  </si>
  <si>
    <t>protein phosphorylation</t>
  </si>
  <si>
    <t>TraesCS2D01G116700;TraesCS4B01G149500;TraesCS6B01G213500;TraesCS5D01G124000;TraesCS3D01G527400;TraesCS1D01G124200;TraesCS3A01G013400;TraesCS4D01G000300;TraesCS6B01G182900;TraesCS6D01G172100;TraesCS6B01G006500;TraesCS1A01G435300;TraesCS7A01G488800;TraesCS3A01G228000;TraesCS7B01G263100;TraesCS6A01G269800;TraesCS6D01G236400;TraesCS4B01G162700;TraesCS5D01G153800;TraesCS1B01G445300;TraesCS3B01G119300;TraesCS2D01G217500;TraesCS3B01G169200;TraesCS6D01G404800;TraesCS6B01G213600;TraesCS1B01G320400;TraesCS5A01G558300;TraesCS4D01G052200;TraesCS5A01G110100;TraesCS4A01G077500;TraesCS6D01G172000;TraesCS6B01G270400;TraesCS3B01G365200;TraesCS5B01G112900;TraesCS4B01G350300;TraesCS3B01G183500;TraesCS1A01G309400;TraesCS4D01G003800;TraesCS7B01G165200;TraesCS5D01G434800;TraesCS2B01G193000;TraesCS3B01G169300;TraesCS5D01G088700;TraesCS4D01G150200;TraesCS1D01G317200;TraesCS3B01G236500;TraesCS6A01G192900;TraesCS6D01G184000;TraesCS3D01G151400;TraesCS1D01G151900;TraesCS2A01G230100;TraesCS3A01G135400;TraesCS5B01G109300;TraesCS7D01G232700;TraesCS6D01G061500;TraesCS3A01G229800;TraesCS4A01G136500;TraesCS7B01G131000;TraesCS3B01G260900;TraesCS7D01G251100;TraesCS1D01G191800;TraesCS3A01G400600;TraesCS1D01G187400;TraesCS3A01G306000;TraesCS4B01G130300;TraesCS4D01G166800;TraesCS1D01G444300;TraesCS4A01G001100;TraesCS5D01G434700;TraesCS5A01G363400;TraesCS4A01G150100;TraesCS4B01G030100;TraesCS7B01G392000;TraesCS5B01G025000;TraesCS5A01G298500;TraesCS3D01G151500;TraesCS7D01G267700;TraesCS3B01G239200;TraesCS2A01G272400;TraesCS3A01G135500;TraesCS4D01G170700;TraesCS3D01G164700;TraesCS6D01G002200;TraesCS4B01G192200;TraesCS5D01G118300;TraesCS5B01G110400;TraesCS6A01G353500;TraesCS1B01G193000;TraesCS4B01G052000;TraesCS6D01G112900;TraesCS7D01G155500;TraesCS5A01G075200;TraesCS2A01G577000;TraesCS7B01G262500;TraesCS7D01G162700;TraesCS4A01G227200;TraesCS7A01G055000;TraesCS5A01G426800;TraesCS7A01G416100;TraesCS1A01G153400;TraesCS1A01G415300;TraesCS6A01G421000;TraesCS3A01G157100;TraesCS7A01G267000;TraesCS5B01G428600;TraesCS6B01G467300;TraesCS1D01G308800;TraesCS3A01G208900;TraesCS3A01G502300;TraesCS6D01G287600;TraesCS5B01G365500;TraesCS6A01G122700;TraesCS7A01G161400;TraesCS6A01G063300;TraesCS3D01G196000;TraesCS3B01G256700;TraesCS3B01G330500;TraesCS2B01G251700;TraesCS4B01G375400;TraesCS1B01G329700;TraesCS6B01G386100;TraesCS5A01G411300;TraesCS6B01G150900;TraesCS4D01G001000;TraesCS3B01G603300;TraesCS1B01G152700;TraesCS5B01G297700;TraesCS4D01G125500;TraesCS6D01G144800;TraesCS5D01G437000;TraesCS7D01G414900;TraesCS1A01G317300;TraesCS3A01G231700;TraesCS6B01G084500;TraesCS2D01G378100;TraesCS4A01G187900;TraesCS5D01G216400;TraesCS5A01G054700;TraesCS2B01G540200;TraesCS5D01G305200;TraesCS7A01G251200;TraesCS7B01G139900;TraesCS4B01G375300;TraesCS4D01G361600;TraesCS5D01G033500;TraesCS3A01G490100;TraesCS7A01G155200;TraesCS4A01G441600;TraesCS3D01G395000;TraesCS3D01G509100;TraesCS3B01G433600;TraesCS4B01G002300;TraesCS4B01G233600;TraesCS6A01G255100;TraesCS6D01G139200;TraesCS1B01G471100;TraesCS6D01G329000;TraesCS3D01G229200;TraesCS6A01G154900;TraesCS1A01G287900;TraesCS3B01G259100;TraesCS6D01G335800;TraesCS7D01G241800;TraesCS6A01G346100;TraesCS1D01G422800;TraesCS3A01G334200;TraesCS4A01G000300;TraesCS7B01G059300;TraesCS7D01G475200;TraesCS1A01G133200;TraesCS7D01G050100;TraesCS1A01G189000;TraesCS7B01G066500;TraesCS5B01G137600;TraesCS3D01G211800;TraesCS6B01G177800;TraesCS4B01G000300;TraesCS5B01G081500;TraesCS1B01G171500;TraesCS7D01G357700;TraesCS5B01G428700;TraesCS6B01G337100;TraesCS4B01G089100;TraesCS3D01G221700;TraesCS5D01G372600;TraesCS1B01G297300;TraesCS5B01G061800;TraesCS6A01G149900;TraesCS7D01G409400;TraesCS4D01G086800;TraesCS6A01G376200;TraesCS4A01G145600;TraesCS6A01G182800;TraesCS7B01G316100;TraesCS3D01G295900;TraesCS5A01G025700;TraesCS5D01G065900;TraesCS5A01G138300;TraesCS4A01G399600</t>
  </si>
  <si>
    <t>TraesCS3D01G374600</t>
  </si>
  <si>
    <t>protein kinase activity</t>
  </si>
  <si>
    <t>TraesCS2D01G116700;TraesCS4B01G149500;TraesCS6B01G213500;TraesCS5D01G124000;TraesCS3D01G527400;TraesCS1D01G124200;TraesCS3A01G013400;TraesCS4D01G000300;TraesCS6B01G182900;TraesCS6D01G172100;TraesCS6B01G006500;TraesCS1A01G435300;TraesCS7A01G488800;TraesCS3A01G228000;TraesCS7B01G263100;TraesCS6A01G269800;TraesCS6D01G236400;TraesCS4B01G162700;TraesCS5D01G153800;TraesCS1B01G445300;TraesCS3B01G119300;TraesCS2D01G217500;TraesCS3B01G169200;TraesCS6D01G404800;TraesCS6B01G213600;TraesCS1B01G320400;TraesCS5A01G558300;TraesCS4D01G052200;TraesCS5A01G110100;TraesCS4A01G077500;TraesCS6D01G172000;TraesCS6B01G270400;TraesCS3B01G365200;TraesCS5B01G112900;TraesCS4B01G350300;TraesCS3B01G183500;TraesCS1A01G309400;TraesCS4D01G003800;TraesCS7B01G165200;TraesCS5D01G434800;TraesCS2B01G193000;TraesCS3B01G169300;TraesCS5D01G088700;TraesCS4D01G150200;TraesCS1D01G317200;TraesCS3B01G236500;TraesCS6A01G192900;TraesCS6D01G184000;TraesCS3D01G151400;TraesCS1D01G151900;TraesCS2A01G230100;TraesCS3A01G135400;TraesCS5B01G109300;TraesCS7D01G232700;TraesCS6D01G061500;TraesCS3A01G229800;TraesCS4A01G136500;TraesCS7B01G131000;TraesCS3B01G260900;TraesCS7D01G251100;TraesCS1D01G191800;TraesCS3A01G400600;TraesCS1D01G187400;TraesCS3A01G306000;TraesCS4B01G130300;TraesCS4D01G166800;TraesCS1D01G444300;TraesCS4A01G001100;TraesCS5D01G434700;TraesCS5A01G363400;TraesCS4A01G150100;TraesCS4B01G030100;TraesCS7B01G392000;TraesCS5B01G025000;TraesCS5A01G298500;TraesCS3D01G151500;TraesCS7D01G267700;TraesCS3B01G239200;TraesCS2A01G272400;TraesCS3A01G135500;TraesCS4D01G170700;TraesCS3D01G164700;TraesCS6D01G002200;TraesCS4B01G192200;TraesCS5D01G118300;TraesCS5B01G110400;TraesCS6A01G353500;TraesCS1B01G193000;TraesCS4B01G052000;TraesCS6D01G112900;TraesCS7D01G155500;TraesCS5A01G075200;TraesCS2A01G577000;TraesCS7B01G262500;TraesCS7D01G162700;TraesCS4A01G227200;TraesCS7A01G055000;TraesCS5A01G426800;TraesCS7A01G416100;TraesCS1A01G153400;TraesCS1A01G415300;TraesCS6A01G421000;TraesCS3A01G157100;TraesCS7A01G267000;TraesCS5B01G428600;TraesCS6B01G467300;TraesCS1D01G308800;TraesCS3A01G208900;TraesCS6D01G287600;TraesCS5B01G365500;TraesCS6A01G122700;TraesCS7A01G161400;TraesCS6A01G063300;TraesCS3D01G196000;TraesCS3B01G256700;TraesCS3B01G330500;TraesCS2B01G251700;TraesCS4B01G375400;TraesCS1B01G329700;TraesCS6B01G386100;TraesCS5A01G411300;TraesCS6B01G150900;TraesCS4D01G001000;TraesCS3B01G603300;TraesCS1B01G152700;TraesCS5B01G297700;TraesCS4D01G125500;TraesCS6D01G144800;TraesCS5D01G437000;TraesCS7D01G414900;TraesCS1A01G317300;TraesCS3A01G231700;TraesCS6B01G084500;TraesCS2D01G378100;TraesCS4A01G187900;TraesCS5D01G216400;TraesCS5A01G054700;TraesCS2B01G540200;TraesCS5D01G305200;TraesCS7A01G251200;TraesCS7B01G139900;TraesCS4B01G375300;TraesCS4D01G361600;TraesCS5D01G033500;TraesCS3A01G490100;TraesCS7A01G155200;TraesCS4A01G441600;TraesCS3D01G395000;TraesCS3B01G433600;TraesCS4B01G002300;TraesCS4B01G233600;TraesCS6A01G255100;TraesCS6D01G139200;TraesCS1B01G471100;TraesCS6D01G329000;TraesCS3D01G229200;TraesCS6A01G154900;TraesCS1A01G287900;TraesCS3B01G259100;TraesCS6D01G335800;TraesCS7D01G241800;TraesCS6A01G346100;TraesCS1D01G422800;TraesCS3A01G334200;TraesCS4A01G000300;TraesCS7B01G059300;TraesCS7D01G475200;TraesCS1A01G133200;TraesCS7D01G050100;TraesCS1A01G189000;TraesCS7B01G066500;TraesCS5B01G137600;TraesCS3D01G211800;TraesCS6B01G177800;TraesCS4B01G000300;TraesCS5B01G081500;TraesCS1B01G171500;TraesCS7D01G357700;TraesCS5B01G428700;TraesCS6B01G337100;TraesCS4B01G089100;TraesCS3D01G221700;TraesCS5D01G372600;TraesCS1B01G297300;TraesCS5B01G061800;TraesCS6A01G149900;TraesCS7D01G409400;TraesCS4D01G086800;TraesCS6A01G376200;TraesCS4A01G145600;TraesCS6A01G182800;TraesCS7B01G316100;TraesCS3D01G295900;TraesCS5A01G025700;TraesCS5D01G065900;TraesCS5A01G138300;TraesCS4A01G399600</t>
  </si>
  <si>
    <t>TraesCS3D01G380700</t>
  </si>
  <si>
    <t>metal ion binding</t>
  </si>
  <si>
    <t>TraesCS7D01G466400;TraesCS7D01G443400;TraesCS7B01G289600;TraesCS6D01G389100;TraesCS7A01G404400;TraesCS3D01G192700;TraesCS6A01G218900;TraesCS2D01G035500;TraesCS4D01G215000;TraesCS7D01G431300;TraesCS7D01G045800;TraesCS3D01G223300;TraesCS3A01G246900;TraesCS2A01G331800;TraesCS7A01G050500;TraesCS1A01G290700;TraesCS4D01G220600;TraesCS2B01G284900;TraesCS2D01G002800;TraesCS2D01G266800;TraesCS7D01G442300;TraesCS1D01G372300;TraesCS2B01G375900;TraesCS7A01G510800;TraesCS5D01G465300;TraesCS1B01G370900;TraesCS5A01G233700;TraesCS2A01G112800;TraesCS6D01G404800;TraesCS2D01G355500;TraesCS1B01G320400;TraesCS1B01G368900;TraesCS6B01G340700;TraesCS1A01G277400;TraesCS6A01G136500;TraesCS2D01G007000;TraesCSU01G032500;TraesCS3B01G308500;TraesCS3D01G407400;TraesCS2D01G537200;TraesCS4A01G046800;TraesCS3B01G365200;TraesCS7A01G520500;TraesCS3A01G158000;TraesCS1A01G309400;TraesCS7B01G379500;TraesCS5D01G434800;TraesCS2D01G103400;TraesCS4D01G093600;TraesCS7D01G500200;TraesCS2B01G615700;TraesCS3B01G125600;TraesCS3D01G323100;TraesCS1B01G219700;TraesCS6B01G018700;TraesCS2B01G001100;TraesCS1B01G356500;TraesCS3D01G489800;TraesCS7A01G075600;TraesCS3B01G218400;TraesCS7D01G022600;TraesCS7D01G180200;TraesCS2B01G131600;TraesCS3D01G109300;TraesCS2A01G385100;TraesCS1A01G403800;TraesCS7D01G511500;TraesCS4D01G176600;TraesCS7D01G146700;TraesCS4D01G126100;TraesCS2A01G044900;TraesCS7B01G047600;TraesCS3A01G230000;TraesCS3B01G371800;TraesCS4B01G130300;TraesCS5A01G520900;TraesCS5B01G232600;TraesCS6D01G139700;TraesCS2B01G006900;TraesCS3B01G276700;TraesCS1A01G115300;TraesCS2D01G351100;TraesCS3D01G411700;TraesCS6A01G226500;TraesCS3D01G489700;TraesCS5B01G235900;TraesCS4A01G136600;TraesCS2B01G005800;TraesCS1D01G303600;TraesCS1B01G283300;TraesCS3B01G359800;TraesCS6D01G208500;TraesCS3B01G392700;TraesCS2B01G402100;TraesCS2B01G104000;TraesCS4D01G346700;TraesCS2D01G375300;TraesCS2B01G350400;TraesCS1B01G109100;TraesCS7D01G510200;TraesCS6D01G267900;TraesCS5B01G014900;TraesCS5A01G426800;TraesCS6B01G355700;TraesCS4A01G076700;TraesCSU01G084800;TraesCS2B01G120900;TraesCS6A01G421000;TraesCS3A01G365300;TraesCS6B01G265100;TraesCS6B01G467300;TraesCS2D01G544000;TraesCS5D01G131500;TraesCS1D01G308800;TraesCS6B01G276000;TraesCS2B01G005900;TraesCS7A01G306000;TraesCS2B01G582500;TraesCS3A01G513200;TraesCS2D01G354600;TraesCS3A01G259800;TraesCS6A01G242500;TraesCS5D01G006800;TraesCS1B01G168400;TraesCS5D01G153400;TraesCS2D01G233500;TraesCS6D01G305100;TraesCS2A01G015400;TraesCS3D01G165600;TraesCS7B01G436900;TraesCS5B01G222500;TraesCS2B01G388000;TraesCS2A01G119600;TraesCS5A01G435500;TraesCS5D01G305200;TraesCS1A01G304100;TraesCS5D01G240600;TraesCS7A01G479100;TraesCS4A01G436700;TraesCS7D01G511600;TraesCS5B01G137100;TraesCS1A01G410200;TraesCS3B01G519000;TraesCS2D01G002500;TraesCS4A01G269400;TraesCS7A01G178300;TraesCS6A01G404700;TraesCS7A01G145400;TraesCS6B01G355900;TraesCS7D01G359900;TraesCS3A01G107200;TraesCS7D01G271100;TraesCS4D01G121600;TraesCS3A01G340200;TraesCS5B01G177900;TraesCS2A01G307600;TraesCS4A01G191900;TraesCS7D01G241800;TraesCS3B01G141800;TraesCS7B01G118200;TraesCS2B01G374900;TraesCS2D01G423500;TraesCS3D01G217900;TraesCS6A01G206600;TraesCS2D01G073700;TraesCS5A01G123600;TraesCS4A01G036100;TraesCS7D01G417600;TraesCS1A01G078100;TraesCS3D01G341600;TraesCS2D01G562600;TraesCS4D01G329200;TraesCS2A01G015600;TraesCS6A01G404600;TraesCS7A01G441900;TraesCS5B01G232200;TraesCS6D01G230900;TraesCS1D01G411600;TraesCS7B01G354800;TraesCS1D01G289300;TraesCS7B01G132400;TraesCS5A01G202000;TraesCS4A01G074700;TraesCS4D01G268200;TraesCS1D01G317700;TraesCS5A01G009900;TraesCS7B01G168800;TraesCS1B01G314600;TraesCS4D01G338000;TraesCS5D01G310600;TraesCS6A01G376200;TraesCS1D01G091300;TraesCS5B01G131600;TraesCS1B01G135200;TraesCS2B01G186900;TraesCS3A01G281400;TraesCS3D01G400400;TraesCS2A01G013200;TraesCS3B01G362600;TraesCS2A01G565700;TraesCS3B01G146900;TraesCS5D01G124000;TraesCS3D01G527400;TraesCS6B01G172300;TraesCS2A01G551300;TraesCS5D01G244700;TraesCS3A01G405000;TraesCS3B01G568600;TraesCS4B01G232800;TraesCS3B01G336200;TraesCS7D01G276300;TraesCS2B01G035600;TraesCS5B01G427000;TraesCS1D01G116700;TraesCS5A01G056600;TraesCS7B01G326200;TraesCS2B01G251300;TraesCS7D01G302700;TraesCS1D01G276600;TraesCS3D01G505600;TraesCS5D01G153800;TraesCS4A01G028800;TraesCS4D01G232000;TraesCS2B01G090300;TraesCS5B01G564000;TraesCS2A01G542800;TraesCS4B01G332500;TraesCS5B01G222100;TraesCS2B01G456100;TraesCS7B01G084000;TraesCS1A01G342700;TraesCS6A01G351900;TraesCS2D01G026000;TraesCS4B01G217300;TraesCS4B01G102400;TraesCS3B01G044900;TraesCS2B01G091500;TraesCS5B01G202800;TraesCS5D01G370600;TraesCS2D01G015000;TraesCS3B01G185000;TraesCS5B01G112900;TraesCS1B01G300000;TraesCS7B01G340500;TraesCS7B01G421700;TraesCS3D01G354200;TraesCS6A01G150000;TraesCS7B01G165200;TraesCS7A01G357800;TraesCS2B01G592100;TraesCS4D01G170600;TraesCS2B01G024500;TraesCS5B01G109300;TraesCS5A01G362400;TraesCS4B01G207400;TraesCS4A01G218400;TraesCS4B01G268900;TraesCS1A01G366800;TraesCS6B01G449800;TraesCS4B01G030100;TraesCS5A01G298500;TraesCS3A01G065700;TraesCS3A01G329700;TraesCS7D01G267700;TraesCS7A01G024600;TraesCS2A01G379000;TraesCS1A01G317900;TraesCS1B01G324000;TraesCS3B01G350200;TraesCS1D01G344800;TraesCS3A01G189200;TraesCSU01G012200;TraesCS1A01G406300;TraesCS2B01G370900;TraesCS7D01G488800;TraesCS1B01G384600;TraesCS2B01G572600;TraesCS6B01G393400;TraesCS2B01G006200;TraesCS3A01G316500;TraesCS3B01G362200;TraesCS1B01G177900;TraesCS5D01G550600;TraesCS3B01G272400;TraesCS7A01G267000;TraesCS5D01G219100;TraesCS3B01G259300;TraesCS5D01G231100;TraesCS3A01G248000;TraesCS5A01G139700;TraesCS3D01G124500;TraesCS1D01G273500;TraesCS2A01G591600;TraesCS1B01G440000;TraesCS4D01G042200;TraesCS5A01G236600;TraesCS3B01G447100;TraesCS2A01G103600;TraesCS4B01G352300;TraesCS3A01G360400;TraesCS5D01G368000;TraesCS6A01G305600;TraesCS2D01G367100;TraesCS5B01G364300;TraesCSU01G073000;TraesCS4A01G129900;TraesCS5B01G297700;TraesCS4D01G125500;TraesCS5A01G223500;TraesCS4A01G187900;TraesCS5A01G180000;TraesCS4D01G111100;TraesCS2A01G014900;TraesCS4A01G358200;TraesCS4B01G133100;TraesCS2A01G356600;TraesCS7A01G423900;TraesCS4A01G315400;TraesCS2A01G075000;TraesCS3D01G244600;TraesCS2B01G396000;TraesCS2D01G552300;TraesCS2A01G229600;TraesCS4B01G044700;TraesCS5B01G364200;TraesCS4B01G342400;TraesCS1B01G095800;TraesCS3A01G180200;TraesCS4A01G183600;TraesCS3D01G470100;TraesCS2B01G124900;TraesCS4D01G087200;TraesCS1D01G096400;TraesCS3D01G248000;TraesCS2B01G049400;TraesCS4B01G131100;TraesCS1D01G147800;TraesCS7A01G454300;TraesCS7D01G024500;TraesCS1A01G273500;TraesCS7D01G431100;TraesCS4D01G314400;TraesCS3B01G438700;TraesCS3A01G334200;TraesCS7A01G383400;TraesCS4A01G235800;TraesCS5B01G137600;TraesCS6A01G248800;TraesCS1B01G330400;TraesCS2A01G088600;TraesCS7B01G191200;TraesCS2A01G353000;TraesCS2B01G153100;TraesCS3D01G358500;TraesCS4B01G363100;TraesCS7A01G185400;TraesCS5B01G123200;TraesCS1B01G355800;TraesCS5A01G361700;TraesCS1D01G239400;TraesCS2D01G016000;TraesCS4B01G009700;TraesCS2D01G043500;TraesCS7B01G381500;TraesCS2A01G437200;TraesCS3D01G325700;TraesCS4D01G257900;TraesCS2A01G255900;TraesCS5B01G428700;TraesCS6A01G287100;TraesCS3B01G379900;TraesCS7D01G431200;TraesCS2D01G381800;TraesCS4B01G123500;TraesCS7B01G206200;TraesCS5D01G208300;TraesCS5B01G418800;TraesCS7B01G286300;TraesCS5A01G503600;TraesCS7A01G442100;TraesCS6D01G187800;TraesCS1D01G123400;TraesCS2B01G006600;TraesCS2D01G086300;TraesCS4B01G258000;TraesCS4B01G318000;TraesCS5A01G220200;TraesCS7D01G095900;TraesCS2B01G186100;TraesCS5A01G138300;TraesCS3B01G397200;TraesCS3B01G246000;TraesCS3D01G314700</t>
  </si>
  <si>
    <t>TraesCS3D01G403500</t>
  </si>
  <si>
    <t>multi-multicellular organism process</t>
  </si>
  <si>
    <t>TraesCS5B01G138300;TraesCS2D01G217500;TraesCS3A01G214800;TraesCS7D01G147700;TraesCS5B01G025000;TraesCS2A01G240300;TraesCS4A01G089000;TraesCS5A01G558300;TraesCS4B01G215300;TraesCS7D01G536300;TraesCS4B01G219700;TraesCS6B01G331500;TraesCS4B01G375300;TraesCS4D01G361600;TraesCS5D01G033500;TraesCS4B01G375400;TraesCS7D01G339800;TraesCS2B01G144900;TraesCS3A01G245300;TraesCS1D01G144300;TraesCS2A01G122600;TraesCS3B01G246500;TraesCS5A01G025700;TraesCS2D01G216300;TraesCS5D01G002400;TraesCS7D01G380300</t>
  </si>
  <si>
    <t>TraesCS3D01G414900</t>
  </si>
  <si>
    <t>pollination</t>
  </si>
  <si>
    <t>TraesCS3D01G440200</t>
  </si>
  <si>
    <t>NADH dehydrogenase complex assembly</t>
  </si>
  <si>
    <t>TraesCS3D01G443400</t>
  </si>
  <si>
    <t>phosphorylated carbohydrate dephosphorylation</t>
  </si>
  <si>
    <t>TraesCS3D01G464900</t>
  </si>
  <si>
    <t>ARF guanyl-nucleotide exchange factor activity</t>
  </si>
  <si>
    <t>TraesCS3D01G246200;TraesCS3A01G245300;TraesCS3B01G274600</t>
  </si>
  <si>
    <t>TraesCS3D01G488300</t>
  </si>
  <si>
    <t>regulation of small GTPase mediated signal transduction</t>
  </si>
  <si>
    <t>TraesCS3D01G489700</t>
  </si>
  <si>
    <t>regulation of Ras protein signal transduction</t>
  </si>
  <si>
    <t>TraesCS3D01G489800</t>
  </si>
  <si>
    <t>regulation of ARF protein signal transduction</t>
  </si>
  <si>
    <t>TraesCS3D01G497600</t>
  </si>
  <si>
    <t>phosphoenolpyruvate carboxykinase activity</t>
  </si>
  <si>
    <t>TraesCS3D01G498100</t>
  </si>
  <si>
    <t>catechol oxidase activity</t>
  </si>
  <si>
    <t>TraesCS4B01G385600;TraesCS4D01G359200;TraesCS3B01G568600</t>
  </si>
  <si>
    <t>TraesCS3D01G505600</t>
  </si>
  <si>
    <t>actin filament-based process</t>
  </si>
  <si>
    <t>TraesCS1B01G356700;TraesCS2B01G255200;TraesCS4A01G143800;TraesCS2A01G227300;TraesCS2A01G410700;TraesCS6A01G247000;TraesCS2B01G429500;TraesCS7D01G536300;TraesCS4B01G152700;TraesCS6B01G277600;TraesCS4A01G156700</t>
  </si>
  <si>
    <t>TraesCS3D01G519600</t>
  </si>
  <si>
    <t>nucleoside triphosphate biosynthetic process</t>
  </si>
  <si>
    <t>TraesCS3D01G527400</t>
  </si>
  <si>
    <t>ribonucleoside triphosphate biosynthetic process</t>
  </si>
  <si>
    <t>TraesCS3D01G530100</t>
  </si>
  <si>
    <t>endocytosis</t>
  </si>
  <si>
    <t>TraesCS2A01G045000;TraesCS7D01G264700;TraesCS2D01G043600;TraesCS4A01G185600</t>
  </si>
  <si>
    <t>TraesCS3D01G531600</t>
  </si>
  <si>
    <t>chloride transmembrane transporter activity</t>
  </si>
  <si>
    <t>TraesCS6A01G098500;TraesCS3B01G144700;TraesCS2D01G058700;TraesCS3D01G126600</t>
  </si>
  <si>
    <t>TraesCS3D01G540200</t>
  </si>
  <si>
    <t>regulation of hormone metabolic process</t>
  </si>
  <si>
    <t>TraesCS3A01G249100;TraesCS2B01G131600;TraesCS3D01G249100</t>
  </si>
  <si>
    <t>TraesCS3D01G544700</t>
  </si>
  <si>
    <t>guanosine-containing compound biosynthetic process</t>
  </si>
  <si>
    <t>TraesCS4A01G020500</t>
  </si>
  <si>
    <t>polysaccharide localization</t>
  </si>
  <si>
    <t>TraesCS4A01G023700</t>
  </si>
  <si>
    <t>callose localization</t>
  </si>
  <si>
    <t>TraesCS4A01G025100</t>
  </si>
  <si>
    <t>anchored component of membrane</t>
  </si>
  <si>
    <t>TraesCS6A01G287100;TraesCS4D01G215000;TraesCS6D01G267900;TraesCS7A01G136600;TraesCS7D01G136500;TraesCS1B01G440000</t>
  </si>
  <si>
    <t>TraesCS4A01G032300</t>
  </si>
  <si>
    <t>cation binding</t>
  </si>
  <si>
    <t>TraesCS7D01G466400;TraesCS7D01G443400;TraesCS7B01G289600;TraesCS6D01G389100;TraesCS7A01G404400;TraesCS3D01G192700;TraesCS6A01G218900;TraesCS2D01G035500;TraesCS4D01G215000;TraesCS7D01G431300;TraesCS7D01G045800;TraesCS3D01G223300;TraesCS3A01G246900;TraesCS2A01G331800;TraesCS7A01G050500;TraesCS1A01G290700;TraesCS4D01G220600;TraesCS2B01G284900;TraesCS2D01G002800;TraesCS2D01G266800;TraesCS7D01G442300;TraesCS1D01G372300;TraesCS2B01G375900;TraesCS7A01G510800;TraesCS5D01G465300;TraesCS1B01G370900;TraesCS5A01G233700;TraesCS2A01G112800;TraesCS6D01G404800;TraesCS2D01G355500;TraesCS1B01G320400;TraesCS1B01G368900;TraesCS6B01G340700;TraesCS1A01G277400;TraesCS6A01G136500;TraesCS2D01G007000;TraesCSU01G032500;TraesCS3B01G308500;TraesCS3D01G407400;TraesCS2D01G537200;TraesCS4A01G046800;TraesCS3B01G365200;TraesCS7A01G520500;TraesCS3A01G158000;TraesCS1A01G309400;TraesCS7B01G379500;TraesCS5D01G434800;TraesCS2D01G103400;TraesCS4D01G093600;TraesCS7D01G500200;TraesCS2B01G615700;TraesCS3B01G125600;TraesCS3D01G323100;TraesCS1B01G219700;TraesCS6B01G018700;TraesCS2B01G001100;TraesCS1B01G356500;TraesCS3D01G489800;TraesCS7A01G075600;TraesCS3B01G218400;TraesCS7D01G022600;TraesCS7D01G180200;TraesCS2B01G131600;TraesCS3D01G109300;TraesCS2A01G385100;TraesCS1A01G403800;TraesCS7D01G511500;TraesCS4D01G176600;TraesCS7D01G146700;TraesCS4D01G126100;TraesCS2A01G044900;TraesCS7B01G047600;TraesCS3A01G230000;TraesCS3B01G371800;TraesCS4B01G130300;TraesCS5A01G520900;TraesCS5B01G232600;TraesCS6D01G139700;TraesCS2B01G006900;TraesCS3B01G276700;TraesCS1A01G115300;TraesCS2D01G351100;TraesCS3D01G411700;TraesCS6A01G226500;TraesCS3D01G489700;TraesCS5B01G235900;TraesCS4A01G136600;TraesCS2B01G005800;TraesCS1D01G303600;TraesCS1B01G283300;TraesCS3B01G359800;TraesCS6D01G208500;TraesCS3B01G392700;TraesCS2B01G402100;TraesCS2B01G104000;TraesCS4D01G346700;TraesCS2D01G375300;TraesCS2B01G350400;TraesCS1B01G109100;TraesCS7D01G510200;TraesCS6D01G267900;TraesCS5B01G014900;TraesCS5A01G426800;TraesCS6B01G355700;TraesCS4A01G076700;TraesCSU01G084800;TraesCS2B01G120900;TraesCS6A01G421000;TraesCS3A01G365300;TraesCS6B01G265100;TraesCS6B01G467300;TraesCS2D01G544000;TraesCS5D01G131500;TraesCS1D01G308800;TraesCS6B01G276000;TraesCS2B01G005900;TraesCS7A01G306000;TraesCS2B01G582500;TraesCS3A01G513200;TraesCS2D01G354600;TraesCS3A01G259800;TraesCS6A01G242500;TraesCS5D01G006800;TraesCS1B01G168400;TraesCS5D01G153400;TraesCS2D01G233500;TraesCS6D01G305100;TraesCS2A01G015400;TraesCS3D01G165600;TraesCS7B01G436900;TraesCS5B01G222500;TraesCS2B01G388000;TraesCS2A01G119600;TraesCS5A01G435500;TraesCS5D01G305200;TraesCS1A01G304100;TraesCS5D01G240600;TraesCS7A01G479100;TraesCS4A01G436700;TraesCS7D01G511600;TraesCS5B01G137100;TraesCS1A01G410200;TraesCS3B01G519000;TraesCS2D01G002500;TraesCS4A01G269400;TraesCS7A01G178300;TraesCS6A01G404700;TraesCS7A01G145400;TraesCS6B01G355900;TraesCS7D01G359900;TraesCS3A01G107200;TraesCS7D01G271100;TraesCS4D01G121600;TraesCS3A01G340200;TraesCS5B01G177900;TraesCS2A01G307600;TraesCS4A01G191900;TraesCS7D01G241800;TraesCS3B01G141800;TraesCS7B01G118200;TraesCS2B01G374900;TraesCS2D01G423500;TraesCS3D01G217900;TraesCS6A01G206600;TraesCS2D01G073700;TraesCS5A01G123600;TraesCS4A01G036100;TraesCS7D01G417600;TraesCS1A01G078100;TraesCS3D01G341600;TraesCS2D01G562600;TraesCS4D01G329200;TraesCS2A01G015600;TraesCS6A01G404600;TraesCS7A01G441900;TraesCS5B01G232200;TraesCS6D01G230900;TraesCS1D01G411600;TraesCS7B01G354800;TraesCS1D01G289300;TraesCS7B01G132400;TraesCS5A01G202000;TraesCS4A01G074700;TraesCS4D01G268200;TraesCS1D01G317700;TraesCS5A01G009900;TraesCS7B01G168800;TraesCS1B01G314600;TraesCS4D01G338000;TraesCS5D01G310600;TraesCS6A01G376200;TraesCS1D01G091300;TraesCS5B01G131600;TraesCS1B01G135200;TraesCS2B01G186900;TraesCS3A01G281400;TraesCS3D01G400400;TraesCS2A01G013200;TraesCS3B01G362600;TraesCS2A01G565700;TraesCS3B01G146900;TraesCS5D01G124000;TraesCS3D01G527400;TraesCS6B01G172300;TraesCS2A01G551300;TraesCS5D01G244700;TraesCS3A01G405000;TraesCS3B01G568600;TraesCS4B01G232800;TraesCS3B01G336200;TraesCS7D01G276300;TraesCS2B01G035600;TraesCS5B01G427000;TraesCS1D01G116700;TraesCS5A01G056600;TraesCS7B01G326200;TraesCS2B01G251300;TraesCS7D01G302700;TraesCS1D01G276600;TraesCS3D01G505600;TraesCS5D01G153800;TraesCS4A01G028800;TraesCS4D01G232000;TraesCS2B01G090300;TraesCS5B01G564000;TraesCS2A01G542800;TraesCS4B01G332500;TraesCS5B01G222100;TraesCS2B01G456100;TraesCS7B01G084000;TraesCS1A01G342700;TraesCS6A01G351900;TraesCS2D01G026000;TraesCS4B01G217300;TraesCS4B01G102400;TraesCS3B01G044900;TraesCS2B01G091500;TraesCS5B01G202800;TraesCS5D01G370600;TraesCS2D01G015000;TraesCS3B01G185000;TraesCS5B01G112900;TraesCS1B01G300000;TraesCS7B01G340500;TraesCS7B01G421700;TraesCS3D01G354200;TraesCS6A01G150000;TraesCS7B01G165200;TraesCS7A01G357800;TraesCS2B01G592100;TraesCS4D01G170600;TraesCS2B01G024500;TraesCS5B01G109300;TraesCS5A01G362400;TraesCS4B01G207400;TraesCS4A01G218400;TraesCS4B01G268900;TraesCS1A01G366800;TraesCS6B01G449800;TraesCS4B01G030100;TraesCS5A01G298500;TraesCS3A01G065700;TraesCS3A01G329700;TraesCS7D01G267700;TraesCS7A01G024600;TraesCS2A01G379000;TraesCS1A01G317900;TraesCS1B01G324000;TraesCS3B01G350200;TraesCS1D01G344800;TraesCS3A01G189200;TraesCSU01G012200;TraesCS1A01G406300;TraesCS2B01G370900;TraesCS7D01G488800;TraesCS1B01G384600;TraesCS2B01G572600;TraesCS6B01G393400;TraesCS2B01G006200;TraesCS3A01G316500;TraesCS3B01G362200;TraesCS1B01G177900;TraesCS5D01G550600;TraesCS3B01G272400;TraesCS7A01G267000;TraesCS5D01G219100;TraesCS3B01G259300;TraesCS5D01G231100;TraesCS3A01G248000;TraesCS5A01G248700;TraesCS5A01G139700;TraesCS3D01G124500;TraesCS1D01G273500;TraesCS2A01G354400;TraesCS2A01G591600;TraesCS1B01G440000;TraesCS4D01G042200;TraesCS5A01G236600;TraesCS3B01G447100;TraesCS2A01G103600;TraesCS4B01G352300;TraesCS3A01G360400;TraesCS5D01G368000;TraesCS6A01G305600;TraesCS2D01G367100;TraesCS5B01G364300;TraesCSU01G073000;TraesCS4A01G129900;TraesCS5B01G297700;TraesCS4D01G125500;TraesCS5A01G223500;TraesCS4A01G187900;TraesCS5A01G180000;TraesCS4D01G111100;TraesCS2A01G014900;TraesCS4A01G358200;TraesCS4B01G133100;TraesCS2A01G356600;TraesCS7A01G423900;TraesCS4A01G315400;TraesCS2A01G075000;TraesCS3D01G244600;TraesCS2B01G396000;TraesCS2D01G552300;TraesCS2A01G229600;TraesCS4B01G044700;TraesCS5B01G364200;TraesCS4B01G342400;TraesCS1B01G095800;TraesCS3A01G180200;TraesCS4A01G183600;TraesCS3D01G470100;TraesCS2B01G124900;TraesCS4D01G087200;TraesCS1D01G096400;TraesCS3D01G248000;TraesCS2B01G049400;TraesCS4B01G131100;TraesCS1D01G147800;TraesCS7A01G454300;TraesCS7D01G024500;TraesCS1A01G273500;TraesCS7D01G431100;TraesCS4D01G314400;TraesCS3B01G438700;TraesCS3A01G334200;TraesCS7A01G383400;TraesCS4A01G235800;TraesCS5B01G137600;TraesCS6A01G248800;TraesCS1B01G330400;TraesCS2A01G088600;TraesCS7B01G191200;TraesCS2A01G353000;TraesCS2B01G153100;TraesCS3D01G358500;TraesCS4B01G363100;TraesCS7A01G185400;TraesCS5B01G123200;TraesCS1B01G355800;TraesCS5A01G361700;TraesCS1D01G239400;TraesCS2D01G016000;TraesCS4B01G009700;TraesCS2D01G043500;TraesCS7B01G381500;TraesCS2A01G437200;TraesCS3D01G325700;TraesCS4D01G257900;TraesCS2A01G255900;TraesCS5B01G428700;TraesCS6A01G287100;TraesCS3B01G379900;TraesCS7D01G431200;TraesCS2D01G381800;TraesCS4B01G123500;TraesCS7B01G206200;TraesCS5D01G208300;TraesCS5B01G418800;TraesCS7B01G286300;TraesCS5A01G503600;TraesCS7A01G442100;TraesCS6D01G187800;TraesCS1D01G123400;TraesCS2B01G006600;TraesCS2D01G086300;TraesCS4B01G258000;TraesCS4B01G318000;TraesCS5A01G220200;TraesCS7D01G095900;TraesCS2B01G186100;TraesCS5A01G138300;TraesCS3B01G397200;TraesCS3B01G246000;TraesCS3D01G314700</t>
  </si>
  <si>
    <t>TraesCS4A01G036100</t>
  </si>
  <si>
    <t>cell surface</t>
  </si>
  <si>
    <t>TraesCS4A01G046800</t>
  </si>
  <si>
    <t>L,L-diaminopimelate aminotransferase activity</t>
  </si>
  <si>
    <t>TraesCS7A01G465200;TraesCS7D01G452900</t>
  </si>
  <si>
    <t>TraesCS4A01G064600</t>
  </si>
  <si>
    <t>cellular carbohydrate biosynthetic process</t>
  </si>
  <si>
    <t>TraesCS7B01G243200;TraesCS7D01G147700;TraesCS7B01G048700;TraesCS4A01G078900;TraesCS1A01G266600;TraesCS2A01G412100;TraesCS2A01G123800;TraesCS3D01G298600;TraesCS1B01G224300;TraesCS5A01G248700;TraesCS7A01G146200;TraesCS2D01G301000;TraesCS4B01G267200;TraesCS5D01G261000;TraesCS7A01G335600;TraesCS2A01G210100;TraesCS2D01G126100;TraesCS3A01G425500;TraesCS7A01G331500;TraesCS2D01G409300;TraesCS7A01G337000;TraesCS7D01G339800;TraesCS2A01G302300;TraesCS2B01G144900;TraesCS2A01G122600;TraesCS2B01G318100;TraesCS2B01G430700</t>
  </si>
  <si>
    <t>TraesCS4A01G068700</t>
  </si>
  <si>
    <t>organic hydroxy compound catabolic process</t>
  </si>
  <si>
    <t>TraesCS4A01G076700</t>
  </si>
  <si>
    <t>cytoskeletal part</t>
  </si>
  <si>
    <t>TraesCS7D01G190300;TraesCS7A01G061500;TraesCS5D01G558600;TraesCS7D01G056400;TraesCS5B01G566200;TraesCS5A01G317000;TraesCS6A01G188600;TraesCS1A01G358500;TraesCS4A01G078900;TraesCS4A01G169700;TraesCS4A01G313500;TraesCS6B01G215900;TraesCS1B01G375000;TraesCS1D01G363400;TraesCS4D01G144800;TraesCS5D01G323300;TraesCS4B01G126400;TraesCS5B01G317600;TraesCS7B01G094100;TraesCS6D01G177300</t>
  </si>
  <si>
    <t>TraesCS4A01G078900</t>
  </si>
  <si>
    <t>clathrin coat</t>
  </si>
  <si>
    <t>TraesCS6A01G154100;TraesCS7A01G490500;TraesCS6D01G143700;TraesCS7D01G476900;TraesCS1B01G277200;TraesCS5B01G296700</t>
  </si>
  <si>
    <t>TraesCS4A01G081000</t>
  </si>
  <si>
    <t>lipid catabolic process</t>
  </si>
  <si>
    <t>TraesCS7B01G291400;TraesCS5B01G222500;TraesCS5A01G202000;TraesCS1A01G115300;TraesCS4B01G352300;TraesCS6A01G359900;TraesCS1D01G116700;TraesCS4D01G195800;TraesCS7A01G389600;TraesCS7A01G389500;TraesCS4B01G217300;TraesCS5D01G208300;TraesCS7D01G385500;TraesCS4B01G195200;TraesCS7D01G385700</t>
  </si>
  <si>
    <t>TraesCS4A01G081200</t>
  </si>
  <si>
    <t>response to water deprivation</t>
  </si>
  <si>
    <t>TraesCS6A01G372100;TraesCS7B01G034400;TraesCS3B01G106700;TraesCS7A01G337000;TraesCS3A01G091500;TraesCS3D01G091400;TraesCS3B01G255100;TraesCS7A01G561600;TraesCS3A01G225600</t>
  </si>
  <si>
    <t>TraesCS4A01G116700</t>
  </si>
  <si>
    <t>amyloplast</t>
  </si>
  <si>
    <t>TraesCS2B01G184900;TraesCS2D01G166600;TraesCS2A01G159300</t>
  </si>
  <si>
    <t>TraesCS4A01G129900</t>
  </si>
  <si>
    <t>cellular response to external stimulus</t>
  </si>
  <si>
    <t>TraesCS2D01G097400;TraesCS1D01G114800;TraesCS2B01G113700;TraesCS5B01G222500;TraesCS2B01G131600;TraesCS2A01G098000;TraesCS7A01G337000</t>
  </si>
  <si>
    <t>TraesCS4A01G136500</t>
  </si>
  <si>
    <t>cellular response to extracellular stimulus</t>
  </si>
  <si>
    <t>TraesCS4A01G136600</t>
  </si>
  <si>
    <t>cytokinin metabolic process</t>
  </si>
  <si>
    <t>TraesCS5D01G353600;TraesCS1A01G234800;TraesCS3B01G344600;TraesCS3A01G321100;TraesCS3D01G310200</t>
  </si>
  <si>
    <t>TraesCS4A01G147900</t>
  </si>
  <si>
    <t>TraesCS4A01G165800</t>
  </si>
  <si>
    <t>TraesCS4A01G173100</t>
  </si>
  <si>
    <t>TraesCS4A01G182700</t>
  </si>
  <si>
    <t>TraesCS4A01G183500</t>
  </si>
  <si>
    <t>TraesCS4A01G190700</t>
  </si>
  <si>
    <t>TraesCS4A01G196600</t>
  </si>
  <si>
    <t>TraesCS4A01G208500</t>
  </si>
  <si>
    <t>TraesCS4A01G213400</t>
  </si>
  <si>
    <t>TraesCS4A01G216700</t>
  </si>
  <si>
    <t>TraesCS4A01G226800</t>
  </si>
  <si>
    <t>TraesCS4A01G235800</t>
  </si>
  <si>
    <t>TraesCS4A01G285500</t>
  </si>
  <si>
    <t>TraesCS4A01G286900</t>
  </si>
  <si>
    <t>TraesCS4A01G287000</t>
  </si>
  <si>
    <t>TraesCS4A01G287200</t>
  </si>
  <si>
    <t>TraesCS4A01G287600</t>
  </si>
  <si>
    <t>TraesCS4A01G294300</t>
  </si>
  <si>
    <t>TraesCS4A01G301600</t>
  </si>
  <si>
    <t>TraesCS4A01G301700</t>
  </si>
  <si>
    <t>TraesCS4A01G301800</t>
  </si>
  <si>
    <t>TraesCS4A01G308200</t>
  </si>
  <si>
    <t>TraesCS4A01G316400</t>
  </si>
  <si>
    <t>TraesCS4A01G321700</t>
  </si>
  <si>
    <t>TraesCS4A01G321800</t>
  </si>
  <si>
    <t>TraesCS4A01G330600</t>
  </si>
  <si>
    <t>TraesCS4A01G340000</t>
  </si>
  <si>
    <t>TraesCS4A01G361400</t>
  </si>
  <si>
    <t>TraesCS4A01G365800</t>
  </si>
  <si>
    <t>TraesCS4A01G388600</t>
  </si>
  <si>
    <t>TraesCS4A01G398600</t>
  </si>
  <si>
    <t>TraesCS4A01G404100</t>
  </si>
  <si>
    <t>TraesCS4A01G445000</t>
  </si>
  <si>
    <t>TraesCS4A01G484800</t>
  </si>
  <si>
    <t>TraesCS4B01G004300</t>
  </si>
  <si>
    <t>TraesCS4B01G009700</t>
  </si>
  <si>
    <t>TraesCS4B01G015200</t>
  </si>
  <si>
    <t>TraesCS4B01G028200</t>
  </si>
  <si>
    <t>TraesCS4B01G031700</t>
  </si>
  <si>
    <t>TraesCS4B01G057500</t>
  </si>
  <si>
    <t>TraesCS4B01G071600</t>
  </si>
  <si>
    <t>TraesCS4B01G096000</t>
  </si>
  <si>
    <t>TraesCS4B01G102400</t>
  </si>
  <si>
    <t>TraesCS4B01G112100</t>
  </si>
  <si>
    <t>TraesCS4B01G117000</t>
  </si>
  <si>
    <t>TraesCS4B01G125500</t>
  </si>
  <si>
    <t>TraesCS4B01G135100</t>
  </si>
  <si>
    <t>TraesCS4B01G135900</t>
  </si>
  <si>
    <t>TraesCS4B01G143900</t>
  </si>
  <si>
    <t>TraesCS4B01G192200</t>
  </si>
  <si>
    <t>TraesCS4B01G213800</t>
  </si>
  <si>
    <t>TraesCS4B01G215300</t>
  </si>
  <si>
    <t>TraesCS4B01G218000</t>
  </si>
  <si>
    <t>TraesCS4B01G225800</t>
  </si>
  <si>
    <t>TraesCS4B01G226800</t>
  </si>
  <si>
    <t>TraesCS4B01G232800</t>
  </si>
  <si>
    <t>TraesCS4B01G258000</t>
  </si>
  <si>
    <t>TraesCS4B01G267200</t>
  </si>
  <si>
    <t>TraesCS4B01G268900</t>
  </si>
  <si>
    <t>TraesCS4B01G279000</t>
  </si>
  <si>
    <t>TraesCS4B01G279900</t>
  </si>
  <si>
    <t>TraesCS4B01G332800</t>
  </si>
  <si>
    <t>TraesCS4B01G333700</t>
  </si>
  <si>
    <t>TraesCS4B01G338600</t>
  </si>
  <si>
    <t>TraesCS4B01G339600</t>
  </si>
  <si>
    <t>TraesCS4B01G342400</t>
  </si>
  <si>
    <t>TraesCS4B01G356200</t>
  </si>
  <si>
    <t>TraesCS4B01G358500</t>
  </si>
  <si>
    <t>TraesCS4B01G363800</t>
  </si>
  <si>
    <t>TraesCS4B01G379600</t>
  </si>
  <si>
    <t>TraesCS4B01G385600</t>
  </si>
  <si>
    <t>TraesCS4B01G391300</t>
  </si>
  <si>
    <t>TraesCS4B01G391400</t>
  </si>
  <si>
    <t>TraesCS4D01G000600</t>
  </si>
  <si>
    <t>TraesCS4D01G001000</t>
  </si>
  <si>
    <t>TraesCS4D01G085600</t>
  </si>
  <si>
    <t>TraesCS4D01G091700</t>
  </si>
  <si>
    <t>TraesCS4D01G094600</t>
  </si>
  <si>
    <t>TraesCS4D01G099200</t>
  </si>
  <si>
    <t>TraesCS4D01G107900</t>
  </si>
  <si>
    <t>TraesCS4D01G109600</t>
  </si>
  <si>
    <t>TraesCS4D01G114700</t>
  </si>
  <si>
    <t>TraesCS4D01G122600</t>
  </si>
  <si>
    <t>TraesCS4D01G129800</t>
  </si>
  <si>
    <t>TraesCS4D01G130700</t>
  </si>
  <si>
    <t>TraesCS4D01G145800</t>
  </si>
  <si>
    <t>TraesCS4D01G150200</t>
  </si>
  <si>
    <t>TraesCS4D01G150500</t>
  </si>
  <si>
    <t>TraesCS4D01G162100</t>
  </si>
  <si>
    <t>TraesCS4D01G163700</t>
  </si>
  <si>
    <t>TraesCS4D01G170600</t>
  </si>
  <si>
    <t>TraesCS4D01G170700</t>
  </si>
  <si>
    <t>TraesCS4D01G176600</t>
  </si>
  <si>
    <t>TraesCS4D01G191200</t>
  </si>
  <si>
    <t>TraesCS4D01G214500</t>
  </si>
  <si>
    <t>TraesCS4D01G215000</t>
  </si>
  <si>
    <t>TraesCS4D01G215800</t>
  </si>
  <si>
    <t>TraesCS4D01G226500</t>
  </si>
  <si>
    <t>TraesCS4D01G234000</t>
  </si>
  <si>
    <t>TraesCS4D01G257900</t>
  </si>
  <si>
    <t>TraesCS4D01G260900</t>
  </si>
  <si>
    <t>TraesCS4D01G261000</t>
  </si>
  <si>
    <t>TraesCS4D01G261100</t>
  </si>
  <si>
    <t>TraesCS4D01G261200</t>
  </si>
  <si>
    <t>TraesCS4D01G267300</t>
  </si>
  <si>
    <t>TraesCS4D01G268200</t>
  </si>
  <si>
    <t>TraesCS4D01G277500</t>
  </si>
  <si>
    <t>TraesCS4D01G278300</t>
  </si>
  <si>
    <t>TraesCS4D01G291500</t>
  </si>
  <si>
    <t>TraesCS4D01G292800</t>
  </si>
  <si>
    <t>TraesCS4D01G302000</t>
  </si>
  <si>
    <t>TraesCS4D01G320900</t>
  </si>
  <si>
    <t>TraesCS4D01G329200</t>
  </si>
  <si>
    <t>TraesCS4D01G329400</t>
  </si>
  <si>
    <t>TraesCS4D01G329500</t>
  </si>
  <si>
    <t>TraesCS4D01G335100</t>
  </si>
  <si>
    <t>TraesCS4D01G338000</t>
  </si>
  <si>
    <t>TraesCS4D01G344800</t>
  </si>
  <si>
    <t>TraesCS4D01G355700</t>
  </si>
  <si>
    <t>TraesCS4D01G359200</t>
  </si>
  <si>
    <t>TraesCS4D01G359300</t>
  </si>
  <si>
    <t>TraesCS4D01G359400</t>
  </si>
  <si>
    <t>TraesCS4D01G359500</t>
  </si>
  <si>
    <t>TraesCS5A01G000400</t>
  </si>
  <si>
    <t>TraesCS5A01G001300</t>
  </si>
  <si>
    <t>TraesCS5A01G039000</t>
  </si>
  <si>
    <t>TraesCS5A01G056600</t>
  </si>
  <si>
    <t>TraesCS5A01G057500</t>
  </si>
  <si>
    <t>TraesCS5A01G069100</t>
  </si>
  <si>
    <t>TraesCS5A01G072300</t>
  </si>
  <si>
    <t>TraesCS5A01G075600</t>
  </si>
  <si>
    <t>TraesCS5A01G076500</t>
  </si>
  <si>
    <t>TraesCS5A01G078600</t>
  </si>
  <si>
    <t>TraesCS5A01G081500</t>
  </si>
  <si>
    <t>TraesCS5A01G102200</t>
  </si>
  <si>
    <t>TraesCS5A01G109300</t>
  </si>
  <si>
    <t>TraesCS5A01G123600</t>
  </si>
  <si>
    <t>TraesCS5A01G138700</t>
  </si>
  <si>
    <t>TraesCS5A01G139700</t>
  </si>
  <si>
    <t>TraesCS5A01G161000</t>
  </si>
  <si>
    <t>TraesCS5A01G178000</t>
  </si>
  <si>
    <t>TraesCS5A01G180000</t>
  </si>
  <si>
    <t>TraesCS5A01G195500</t>
  </si>
  <si>
    <t>TraesCS5A01G216400</t>
  </si>
  <si>
    <t>TraesCS5A01G221200</t>
  </si>
  <si>
    <t>TraesCS5A01G227600</t>
  </si>
  <si>
    <t>TraesCS5A01G233700</t>
  </si>
  <si>
    <t>TraesCS5A01G234200</t>
  </si>
  <si>
    <t>TraesCS5A01G236800</t>
  </si>
  <si>
    <t>TraesCS5A01G237000</t>
  </si>
  <si>
    <t>TraesCS5A01G256800</t>
  </si>
  <si>
    <t>TraesCS5A01G268300</t>
  </si>
  <si>
    <t>TraesCS5A01G273400</t>
  </si>
  <si>
    <t>TraesCS5A01G281600</t>
  </si>
  <si>
    <t>TraesCS5A01G289200</t>
  </si>
  <si>
    <t>TraesCS5A01G312200</t>
  </si>
  <si>
    <t>TraesCS5A01G317400</t>
  </si>
  <si>
    <t>TraesCS5A01G329900</t>
  </si>
  <si>
    <t>TraesCS5A01G330900</t>
  </si>
  <si>
    <t>TraesCS5A01G338000</t>
  </si>
  <si>
    <t>TraesCS5A01G348100</t>
  </si>
  <si>
    <t>TraesCS5A01G362400</t>
  </si>
  <si>
    <t>TraesCS5A01G369100</t>
  </si>
  <si>
    <t>TraesCS5A01G369200</t>
  </si>
  <si>
    <t>TraesCS5A01G369300</t>
  </si>
  <si>
    <t>TraesCS5A01G396400</t>
  </si>
  <si>
    <t>TraesCS5A01G403000</t>
  </si>
  <si>
    <t>TraesCS5A01G413000</t>
  </si>
  <si>
    <t>TraesCS5A01G418400</t>
  </si>
  <si>
    <t>TraesCS5A01G434700</t>
  </si>
  <si>
    <t>TraesCS5A01G435500</t>
  </si>
  <si>
    <t>TraesCS5A01G440100</t>
  </si>
  <si>
    <t>TraesCS5A01G450500</t>
  </si>
  <si>
    <t>TraesCS5A01G458700</t>
  </si>
  <si>
    <t>TraesCS5A01G503600</t>
  </si>
  <si>
    <t>TraesCS5A01G503800</t>
  </si>
  <si>
    <t>TraesCS5A01G508400</t>
  </si>
  <si>
    <t>TraesCS5A01G508500</t>
  </si>
  <si>
    <t>TraesCS5A01G512200</t>
  </si>
  <si>
    <t>TraesCS5A01G530400</t>
  </si>
  <si>
    <t>TraesCS5A01G530800</t>
  </si>
  <si>
    <t>TraesCS5A01G532400</t>
  </si>
  <si>
    <t>TraesCS5A01G533000</t>
  </si>
  <si>
    <t>TraesCS5A01G551500</t>
  </si>
  <si>
    <t>TraesCS5B01G014900</t>
  </si>
  <si>
    <t>TraesCS5B01G024600</t>
  </si>
  <si>
    <t>TraesCS5B01G056500</t>
  </si>
  <si>
    <t>TraesCS5B01G059200</t>
  </si>
  <si>
    <t>TraesCS5B01G084900</t>
  </si>
  <si>
    <t>TraesCS5B01G120300</t>
  </si>
  <si>
    <t>TraesCS5B01G123200</t>
  </si>
  <si>
    <t>TraesCS5B01G149200</t>
  </si>
  <si>
    <t>TraesCS5B01G157700</t>
  </si>
  <si>
    <t>TraesCS5B01G177900</t>
  </si>
  <si>
    <t>TraesCS5B01G189700</t>
  </si>
  <si>
    <t>TraesCS5B01G202800</t>
  </si>
  <si>
    <t>TraesCS5B01G220000</t>
  </si>
  <si>
    <t>TraesCS5B01G227600</t>
  </si>
  <si>
    <t>TraesCS5B01G230600</t>
  </si>
  <si>
    <t>TraesCS5B01G235900</t>
  </si>
  <si>
    <t>TraesCS5B01G238300</t>
  </si>
  <si>
    <t>TraesCS5B01G253500</t>
  </si>
  <si>
    <t>TraesCS5B01G268100</t>
  </si>
  <si>
    <t>TraesCS5B01G273000</t>
  </si>
  <si>
    <t>TraesCS5B01G275000</t>
  </si>
  <si>
    <t>TraesCS5B01G288600</t>
  </si>
  <si>
    <t>TraesCS5B01G294700</t>
  </si>
  <si>
    <t>TraesCS5B01G296500</t>
  </si>
  <si>
    <t>TraesCS5B01G318300</t>
  </si>
  <si>
    <t>TraesCS5B01G319700</t>
  </si>
  <si>
    <t>TraesCS5B01G325600</t>
  </si>
  <si>
    <t>TraesCS5B01G331300</t>
  </si>
  <si>
    <t>TraesCS5B01G336800</t>
  </si>
  <si>
    <t>TraesCS5B01G349200</t>
  </si>
  <si>
    <t>TraesCS5B01G364200</t>
  </si>
  <si>
    <t>TraesCS5B01G364300</t>
  </si>
  <si>
    <t>TraesCS5B01G371600</t>
  </si>
  <si>
    <t>TraesCS5B01G379600</t>
  </si>
  <si>
    <t>TraesCS5B01G394000</t>
  </si>
  <si>
    <t>TraesCS5B01G398600</t>
  </si>
  <si>
    <t>TraesCS5B01G427000</t>
  </si>
  <si>
    <t>TraesCS5B01G440500</t>
  </si>
  <si>
    <t>TraesCS5B01G446100</t>
  </si>
  <si>
    <t>TraesCS5B01G507400</t>
  </si>
  <si>
    <t>TraesCS5B01G507900</t>
  </si>
  <si>
    <t>TraesCS5B01G508000</t>
  </si>
  <si>
    <t>TraesCS5B01G511500</t>
  </si>
  <si>
    <t>TraesCS5B01G527100</t>
  </si>
  <si>
    <t>TraesCS5B01G549600</t>
  </si>
  <si>
    <t>TraesCS5B01G552200</t>
  </si>
  <si>
    <t>TraesCS5B01G556600</t>
  </si>
  <si>
    <t>TraesCS5B01G562700</t>
  </si>
  <si>
    <t>TraesCS5B01G566200</t>
  </si>
  <si>
    <t>TraesCS5D01G002400</t>
  </si>
  <si>
    <t>TraesCS5D01G006800</t>
  </si>
  <si>
    <t>TraesCS5D01G017000</t>
  </si>
  <si>
    <t>TraesCS5D01G018200</t>
  </si>
  <si>
    <t>TraesCS5D01G033200</t>
  </si>
  <si>
    <t>TraesCS5D01G036800</t>
  </si>
  <si>
    <t>TraesCS5D01G061300</t>
  </si>
  <si>
    <t>TraesCS5D01G068800</t>
  </si>
  <si>
    <t>TraesCS5D01G085100</t>
  </si>
  <si>
    <t>TraesCS5D01G089200</t>
  </si>
  <si>
    <t>TraesCS5D01G091100</t>
  </si>
  <si>
    <t>TraesCS5D01G127100</t>
  </si>
  <si>
    <t>TraesCS5D01G131300</t>
  </si>
  <si>
    <t>TraesCS5D01G131500</t>
  </si>
  <si>
    <t>TraesCS5D01G158500</t>
  </si>
  <si>
    <t>TraesCS5D01G168200</t>
  </si>
  <si>
    <t>TraesCS5D01G169000</t>
  </si>
  <si>
    <t>TraesCS5D01G172100</t>
  </si>
  <si>
    <t>TraesCS5D01G176000</t>
  </si>
  <si>
    <t>TraesCS5D01G194800</t>
  </si>
  <si>
    <t>TraesCS5D01G216400</t>
  </si>
  <si>
    <t>TraesCS5D01G224500</t>
  </si>
  <si>
    <t>TraesCS5D01G228900</t>
  </si>
  <si>
    <t>TraesCS5D01G235100</t>
  </si>
  <si>
    <t>TraesCS5D01G244700</t>
  </si>
  <si>
    <t>TraesCS5D01G250100</t>
  </si>
  <si>
    <t>TraesCS5D01G265400</t>
  </si>
  <si>
    <t>TraesCS5D01G297100</t>
  </si>
  <si>
    <t>TraesCS5D01G299300</t>
  </si>
  <si>
    <t>TraesCS5D01G302900</t>
  </si>
  <si>
    <t>TraesCS5D01G304300</t>
  </si>
  <si>
    <t>TraesCS5D01G309100</t>
  </si>
  <si>
    <t>TraesCS5D01G323700</t>
  </si>
  <si>
    <t>TraesCS5D01G329000</t>
  </si>
  <si>
    <t>TraesCS5D01G336700</t>
  </si>
  <si>
    <t>TraesCS5D01G342500</t>
  </si>
  <si>
    <t>TraesCS5D01G342900</t>
  </si>
  <si>
    <t>TraesCS5D01G354300</t>
  </si>
  <si>
    <t>TraesCS5D01G368000</t>
  </si>
  <si>
    <t>TraesCS5D01G370600</t>
  </si>
  <si>
    <t>TraesCS5D01G398300</t>
  </si>
  <si>
    <t>TraesCS5D01G401500</t>
  </si>
  <si>
    <t>TraesCS5D01G426500</t>
  </si>
  <si>
    <t>TraesCS5D01G447300</t>
  </si>
  <si>
    <t>TraesCS5D01G460100</t>
  </si>
  <si>
    <t>TraesCS5D01G460200</t>
  </si>
  <si>
    <t>TraesCS5D01G469800</t>
  </si>
  <si>
    <t>TraesCS5D01G493400</t>
  </si>
  <si>
    <t>TraesCS5D01G496200</t>
  </si>
  <si>
    <t>TraesCS5D01G498500</t>
  </si>
  <si>
    <t>TraesCS5D01G536600</t>
  </si>
  <si>
    <t>TraesCS5D01G546400</t>
  </si>
  <si>
    <t>TraesCS5D01G548000</t>
  </si>
  <si>
    <t>TraesCS5D01G552900</t>
  </si>
  <si>
    <t>TraesCS5D01G558600</t>
  </si>
  <si>
    <t>TraesCS5D01G566700</t>
  </si>
  <si>
    <t>TraesCS6A01G002700</t>
  </si>
  <si>
    <t>TraesCS6A01G007000</t>
  </si>
  <si>
    <t>TraesCS6A01G009000</t>
  </si>
  <si>
    <t>TraesCS6A01G026800</t>
  </si>
  <si>
    <t>TraesCS6A01G038400</t>
  </si>
  <si>
    <t>TraesCS6A01G086000</t>
  </si>
  <si>
    <t>TraesCS6A01G095100</t>
  </si>
  <si>
    <t>TraesCS6A01G104300</t>
  </si>
  <si>
    <t>TraesCS6A01G136900</t>
  </si>
  <si>
    <t>TraesCS6A01G161600</t>
  </si>
  <si>
    <t>TraesCS6A01G184500</t>
  </si>
  <si>
    <t>TraesCS6A01G188600</t>
  </si>
  <si>
    <t>TraesCS6A01G206600</t>
  </si>
  <si>
    <t>TraesCS6A01G213900</t>
  </si>
  <si>
    <t>TraesCS6A01G237500</t>
  </si>
  <si>
    <t>TraesCS6A01G245600</t>
  </si>
  <si>
    <t>TraesCS6A01G247100</t>
  </si>
  <si>
    <t>TraesCS6A01G265600</t>
  </si>
  <si>
    <t>TraesCS6A01G277800</t>
  </si>
  <si>
    <t>TraesCS6A01G281900</t>
  </si>
  <si>
    <t>TraesCS6A01G283700</t>
  </si>
  <si>
    <t>TraesCS6A01G286500</t>
  </si>
  <si>
    <t>TraesCS6A01G287100</t>
  </si>
  <si>
    <t>TraesCS6A01G306200</t>
  </si>
  <si>
    <t>TraesCS6A01G317900</t>
  </si>
  <si>
    <t>TraesCS6A01G337600</t>
  </si>
  <si>
    <t>TraesCS6A01G341400</t>
  </si>
  <si>
    <t>TraesCS6A01G351000</t>
  </si>
  <si>
    <t>TraesCS6A01G351900</t>
  </si>
  <si>
    <t>TraesCS6A01G367300</t>
  </si>
  <si>
    <t>TraesCS6A01G371000</t>
  </si>
  <si>
    <t>TraesCS6A01G372100</t>
  </si>
  <si>
    <t>TraesCS6A01G380800</t>
  </si>
  <si>
    <t>TraesCS6A01G394700</t>
  </si>
  <si>
    <t>TraesCS6A01G403300</t>
  </si>
  <si>
    <t>TraesCS6B01G006500</t>
  </si>
  <si>
    <t>TraesCS6B01G013500</t>
  </si>
  <si>
    <t>TraesCS6B01G018700</t>
  </si>
  <si>
    <t>TraesCS6B01G018900</t>
  </si>
  <si>
    <t>TraesCS6B01G030300</t>
  </si>
  <si>
    <t>TraesCS6B01G030800</t>
  </si>
  <si>
    <t>TraesCS6B01G053200</t>
  </si>
  <si>
    <t>TraesCS6B01G059100</t>
  </si>
  <si>
    <t>TraesCS6B01G063100</t>
  </si>
  <si>
    <t>TraesCS6B01G089800</t>
  </si>
  <si>
    <t>TraesCS6B01G118000</t>
  </si>
  <si>
    <t>TraesCS6B01G133500</t>
  </si>
  <si>
    <t>TraesCS6B01G172300</t>
  </si>
  <si>
    <t>TraesCS6B01G200900</t>
  </si>
  <si>
    <t>TraesCS6B01G201300</t>
  </si>
  <si>
    <t>TraesCS6B01G207200</t>
  </si>
  <si>
    <t>TraesCS6B01G213500</t>
  </si>
  <si>
    <t>TraesCS6B01G242400</t>
  </si>
  <si>
    <t>TraesCS6B01G243900</t>
  </si>
  <si>
    <t>TraesCS6B01G247700</t>
  </si>
  <si>
    <t>TraesCS6B01G258700</t>
  </si>
  <si>
    <t>TraesCS6B01G264600</t>
  </si>
  <si>
    <t>TraesCS6B01G273200</t>
  </si>
  <si>
    <t>TraesCS6B01G278800</t>
  </si>
  <si>
    <t>TraesCS6B01G292000</t>
  </si>
  <si>
    <t>TraesCS6B01G292900</t>
  </si>
  <si>
    <t>TraesCS6B01G311300</t>
  </si>
  <si>
    <t>TraesCS6B01G312000</t>
  </si>
  <si>
    <t>TraesCS6B01G313600</t>
  </si>
  <si>
    <t>TraesCS6B01G314500</t>
  </si>
  <si>
    <t>TraesCS6B01G315500</t>
  </si>
  <si>
    <t>TraesCS6B01G317300</t>
  </si>
  <si>
    <t>TraesCS6B01G330500</t>
  </si>
  <si>
    <t>TraesCS6B01G340700</t>
  </si>
  <si>
    <t>TraesCS6B01G350600</t>
  </si>
  <si>
    <t>TraesCS6B01G354100</t>
  </si>
  <si>
    <t>TraesCS6B01G360800</t>
  </si>
  <si>
    <t>TraesCS6B01G381900</t>
  </si>
  <si>
    <t>TraesCS6B01G383700</t>
  </si>
  <si>
    <t>TraesCS6B01G393400</t>
  </si>
  <si>
    <t>TraesCS6B01G411800</t>
  </si>
  <si>
    <t>TraesCS6B01G449000</t>
  </si>
  <si>
    <t>TraesCS6D01G002200</t>
  </si>
  <si>
    <t>TraesCS6D01G002800</t>
  </si>
  <si>
    <t>TraesCS6D01G006500</t>
  </si>
  <si>
    <t>TraesCS6D01G009600</t>
  </si>
  <si>
    <t>TraesCS6D01G038900</t>
  </si>
  <si>
    <t>TraesCS6D01G069400</t>
  </si>
  <si>
    <t>TraesCS6D01G080200</t>
  </si>
  <si>
    <t>TraesCS6D01G088200</t>
  </si>
  <si>
    <t>TraesCS6D01G093000</t>
  </si>
  <si>
    <t>TraesCS6D01G135300</t>
  </si>
  <si>
    <t>TraesCS6D01G172100</t>
  </si>
  <si>
    <t>TraesCS6D01G187800</t>
  </si>
  <si>
    <t>TraesCS6D01G220200</t>
  </si>
  <si>
    <t>TraesCS6D01G225400</t>
  </si>
  <si>
    <t>TraesCS6D01G228000</t>
  </si>
  <si>
    <t>TraesCS6D01G229300</t>
  </si>
  <si>
    <t>TraesCS6D01G249800</t>
  </si>
  <si>
    <t>TraesCS6D01G258300</t>
  </si>
  <si>
    <t>TraesCS6D01G262400</t>
  </si>
  <si>
    <t>TraesCS6D01G264200</t>
  </si>
  <si>
    <t>TraesCS6D01G267200</t>
  </si>
  <si>
    <t>TraesCS6D01G267900</t>
  </si>
  <si>
    <t>TraesCS6D01G273900</t>
  </si>
  <si>
    <t>TraesCS6D01G285300</t>
  </si>
  <si>
    <t>TraesCS6D01G287600</t>
  </si>
  <si>
    <t>TraesCS6D01G289300</t>
  </si>
  <si>
    <t>TraesCS6D01G290000</t>
  </si>
  <si>
    <t>TraesCS6D01G321600</t>
  </si>
  <si>
    <t>TraesCS6D01G350300</t>
  </si>
  <si>
    <t>TraesCS6D01G358400</t>
  </si>
  <si>
    <t>TraesCS6D01G360200</t>
  </si>
  <si>
    <t>TraesCS6D01G380000</t>
  </si>
  <si>
    <t>TraesCS6D01G396400</t>
  </si>
  <si>
    <t>TraesCS7A01G010200</t>
  </si>
  <si>
    <t>TraesCS7A01G024600</t>
  </si>
  <si>
    <t>TraesCS7A01G040900</t>
  </si>
  <si>
    <t>TraesCS7A01G074500</t>
  </si>
  <si>
    <t>TraesCS7A01G082200</t>
  </si>
  <si>
    <t>TraesCS7A01G113600</t>
  </si>
  <si>
    <t>TraesCS7A01G148300</t>
  </si>
  <si>
    <t>TraesCS7A01G156600</t>
  </si>
  <si>
    <t>TraesCS7A01G178300</t>
  </si>
  <si>
    <t>TraesCS7A01G178500</t>
  </si>
  <si>
    <t>TraesCS7A01G189300</t>
  </si>
  <si>
    <t>TraesCS7A01G198500</t>
  </si>
  <si>
    <t>TraesCS7A01G199900</t>
  </si>
  <si>
    <t>TraesCS7A01G202700</t>
  </si>
  <si>
    <t>TraesCS7A01G206000</t>
  </si>
  <si>
    <t>TraesCS7A01G219700</t>
  </si>
  <si>
    <t>TraesCS7A01G226000</t>
  </si>
  <si>
    <t>TraesCS7A01G234300</t>
  </si>
  <si>
    <t>TraesCS7A01G251200</t>
  </si>
  <si>
    <t>TraesCS7A01G272400</t>
  </si>
  <si>
    <t>TraesCS7A01G273400</t>
  </si>
  <si>
    <t>TraesCS7A01G278500</t>
  </si>
  <si>
    <t>TraesCS7A01G337000</t>
  </si>
  <si>
    <t>TraesCS7A01G359700</t>
  </si>
  <si>
    <t>TraesCS7A01G363300</t>
  </si>
  <si>
    <t>TraesCS7A01G381400</t>
  </si>
  <si>
    <t>TraesCS7A01G383400</t>
  </si>
  <si>
    <t>TraesCS7A01G383800</t>
  </si>
  <si>
    <t>TraesCS7A01G388600</t>
  </si>
  <si>
    <t>TraesCS7A01G389500</t>
  </si>
  <si>
    <t>TraesCS7A01G389600</t>
  </si>
  <si>
    <t>TraesCS7A01G393600</t>
  </si>
  <si>
    <t>TraesCS7A01G399100</t>
  </si>
  <si>
    <t>TraesCS7A01G404400</t>
  </si>
  <si>
    <t>TraesCS7A01G404700</t>
  </si>
  <si>
    <t>TraesCS7A01G404900</t>
  </si>
  <si>
    <t>TraesCS7A01G405000</t>
  </si>
  <si>
    <t>TraesCS7A01G426700</t>
  </si>
  <si>
    <t>TraesCS7A01G475100</t>
  </si>
  <si>
    <t>TraesCS7A01G484600</t>
  </si>
  <si>
    <t>TraesCS7A01G489300</t>
  </si>
  <si>
    <t>TraesCS7A01G489400</t>
  </si>
  <si>
    <t>TraesCS7A01G490000</t>
  </si>
  <si>
    <t>TraesCS7A01G503200</t>
  </si>
  <si>
    <t>TraesCS7A01G510800</t>
  </si>
  <si>
    <t>TraesCS7A01G533200</t>
  </si>
  <si>
    <t>TraesCS7A01G533900</t>
  </si>
  <si>
    <t>TraesCS7A01G556800</t>
  </si>
  <si>
    <t>TraesCS7B01G003500</t>
  </si>
  <si>
    <t>TraesCS7B01G006300</t>
  </si>
  <si>
    <t>TraesCS7B01G012900</t>
  </si>
  <si>
    <t>TraesCS7B01G035800</t>
  </si>
  <si>
    <t>TraesCS7B01G060400</t>
  </si>
  <si>
    <t>TraesCS7B01G060700</t>
  </si>
  <si>
    <t>TraesCS7B01G084000</t>
  </si>
  <si>
    <t>TraesCS7B01G096300</t>
  </si>
  <si>
    <t>TraesCS7B01G102700</t>
  </si>
  <si>
    <t>TraesCS7B01G113200</t>
  </si>
  <si>
    <t>TraesCS7B01G135400</t>
  </si>
  <si>
    <t>TraesCS7B01G137900</t>
  </si>
  <si>
    <t>TraesCS7B01G139900</t>
  </si>
  <si>
    <t>TraesCS7B01G153600</t>
  </si>
  <si>
    <t>TraesCS7B01G166200</t>
  </si>
  <si>
    <t>TraesCS7B01G169700</t>
  </si>
  <si>
    <t>TraesCS7B01G171300</t>
  </si>
  <si>
    <t>TraesCS7B01G176400</t>
  </si>
  <si>
    <t>TraesCS7B01G185600</t>
  </si>
  <si>
    <t>TraesCS7B01G193600</t>
  </si>
  <si>
    <t>TraesCS7B01G229400</t>
  </si>
  <si>
    <t>TraesCS7B01G236500</t>
  </si>
  <si>
    <t>TraesCS7B01G243200</t>
  </si>
  <si>
    <t>TraesCS7B01G250700</t>
  </si>
  <si>
    <t>TraesCS7B01G263100</t>
  </si>
  <si>
    <t>TraesCS7B01G272200</t>
  </si>
  <si>
    <t>TraesCS7B01G273800</t>
  </si>
  <si>
    <t>TraesCS7B01G283300</t>
  </si>
  <si>
    <t>TraesCS7B01G286600</t>
  </si>
  <si>
    <t>TraesCS7B01G289600</t>
  </si>
  <si>
    <t>TraesCS7B01G290500</t>
  </si>
  <si>
    <t>TraesCS7B01G291300</t>
  </si>
  <si>
    <t>TraesCS7B01G291400</t>
  </si>
  <si>
    <t>TraesCS7B01G295600</t>
  </si>
  <si>
    <t>TraesCS7B01G299700</t>
  </si>
  <si>
    <t>TraesCS7B01G304100</t>
  </si>
  <si>
    <t>TraesCS7B01G327000</t>
  </si>
  <si>
    <t>TraesCS7B01G337100</t>
  </si>
  <si>
    <t>TraesCS7B01G366600</t>
  </si>
  <si>
    <t>TraesCS7B01G375600</t>
  </si>
  <si>
    <t>TraesCS7B01G379500</t>
  </si>
  <si>
    <t>TraesCS7B01G388200</t>
  </si>
  <si>
    <t>TraesCS7B01G393200</t>
  </si>
  <si>
    <t>TraesCS7B01G396800</t>
  </si>
  <si>
    <t>TraesCS7B01G421700</t>
  </si>
  <si>
    <t>TraesCS7B01G448900</t>
  </si>
  <si>
    <t>TraesCS7B01G450400</t>
  </si>
  <si>
    <t>TraesCS7B01G451200</t>
  </si>
  <si>
    <t>TraesCS7B01G459300</t>
  </si>
  <si>
    <t>TraesCS7B01G467100</t>
  </si>
  <si>
    <t>TraesCS7B01G467200</t>
  </si>
  <si>
    <t>TraesCS7B01G468800</t>
  </si>
  <si>
    <t>TraesCS7B01G473200</t>
  </si>
  <si>
    <t>TraesCS7B01G479300</t>
  </si>
  <si>
    <t>TraesCS7B01G491100</t>
  </si>
  <si>
    <t>TraesCS7D01G003800</t>
  </si>
  <si>
    <t>TraesCS7D01G004000</t>
  </si>
  <si>
    <t>TraesCS7D01G010000</t>
  </si>
  <si>
    <t>TraesCS7D01G022600</t>
  </si>
  <si>
    <t>TraesCS7D01G024500</t>
  </si>
  <si>
    <t>TraesCS7D01G036600</t>
  </si>
  <si>
    <t>TraesCS7D01G039200</t>
  </si>
  <si>
    <t>TraesCS7D01G040300</t>
  </si>
  <si>
    <t>TraesCS7D01G042400</t>
  </si>
  <si>
    <t>TraesCS7D01G048400</t>
  </si>
  <si>
    <t>TraesCS7D01G050200</t>
  </si>
  <si>
    <t>TraesCS7D01G069500</t>
  </si>
  <si>
    <t>TraesCS7D01G076700</t>
  </si>
  <si>
    <t>TraesCS7D01G095900</t>
  </si>
  <si>
    <t>TraesCS7D01G096000</t>
  </si>
  <si>
    <t>TraesCS7D01G101900</t>
  </si>
  <si>
    <t>TraesCS7D01G108900</t>
  </si>
  <si>
    <t>TraesCS7D01G111200</t>
  </si>
  <si>
    <t>TraesCS7D01G119800</t>
  </si>
  <si>
    <t>TraesCS7D01G134000</t>
  </si>
  <si>
    <t>TraesCS7D01G157000</t>
  </si>
  <si>
    <t>TraesCS7D01G161900</t>
  </si>
  <si>
    <t>TraesCS7D01G168700</t>
  </si>
  <si>
    <t>TraesCS7D01G180200</t>
  </si>
  <si>
    <t>TraesCS7D01G180400</t>
  </si>
  <si>
    <t>TraesCS7D01G180500</t>
  </si>
  <si>
    <t>TraesCS7D01G190300</t>
  </si>
  <si>
    <t>TraesCS7D01G208600</t>
  </si>
  <si>
    <t>TraesCS7D01G222500</t>
  </si>
  <si>
    <t>TraesCS7D01G228500</t>
  </si>
  <si>
    <t>TraesCS7D01G232200</t>
  </si>
  <si>
    <t>TraesCS7D01G237600</t>
  </si>
  <si>
    <t>TraesCS7D01G251100</t>
  </si>
  <si>
    <t>TraesCS7D01G268500</t>
  </si>
  <si>
    <t>TraesCS7D01G273500</t>
  </si>
  <si>
    <t>TraesCS7D01G276300</t>
  </si>
  <si>
    <t>TraesCS7D01G278300</t>
  </si>
  <si>
    <t>TraesCS7D01G339800</t>
  </si>
  <si>
    <t>TraesCS7D01G346700</t>
  </si>
  <si>
    <t>TraesCS7D01G352300</t>
  </si>
  <si>
    <t>TraesCS7D01G363100</t>
  </si>
  <si>
    <t>TraesCS7D01G366000</t>
  </si>
  <si>
    <t>TraesCS7D01G367400</t>
  </si>
  <si>
    <t>TraesCS7D01G375700</t>
  </si>
  <si>
    <t>TraesCS7D01G380300</t>
  </si>
  <si>
    <t>TraesCS7D01G384500</t>
  </si>
  <si>
    <t>TraesCS7D01G385500</t>
  </si>
  <si>
    <t>TraesCS7D01G385700</t>
  </si>
  <si>
    <t>TraesCS7D01G388900</t>
  </si>
  <si>
    <t>TraesCS7D01G397900</t>
  </si>
  <si>
    <t>TraesCS7D01G398900</t>
  </si>
  <si>
    <t>TraesCS7D01G399000</t>
  </si>
  <si>
    <t>TraesCS7D01G428000</t>
  </si>
  <si>
    <t>TraesCS7D01G442300</t>
  </si>
  <si>
    <t>TraesCS7D01G472000</t>
  </si>
  <si>
    <t>TraesCS7D01G500200</t>
  </si>
  <si>
    <t>TraesCS7D01G511500</t>
  </si>
  <si>
    <t>TraesCS7D01G511600</t>
  </si>
  <si>
    <t>TraesCS7D01G520500</t>
  </si>
  <si>
    <t>TraesCS7D01G521400</t>
  </si>
  <si>
    <t>TraesCS7D01G531900</t>
  </si>
  <si>
    <t>TraesCS7D01G553900</t>
  </si>
  <si>
    <t>TraesCSU01G001200</t>
  </si>
  <si>
    <t>TraesCSU01G012200</t>
  </si>
  <si>
    <t>TraesCSU01G014100</t>
  </si>
  <si>
    <t>TraesCSU01G021800</t>
  </si>
  <si>
    <t>TraesCSU01G032500</t>
  </si>
  <si>
    <t>TraesCSU01G033600</t>
  </si>
  <si>
    <t>TraesCSU01G033700</t>
  </si>
  <si>
    <t>TraesCSU01G035000</t>
  </si>
  <si>
    <t>TraesCSU01G073000</t>
  </si>
  <si>
    <t>TraesCSU01G077900</t>
  </si>
  <si>
    <t>TraesCSU01G102100</t>
  </si>
  <si>
    <t>TraesCSU01G108000</t>
  </si>
  <si>
    <t>TraesCSU01G114300</t>
  </si>
  <si>
    <t>TraesCSU01G203800</t>
  </si>
  <si>
    <t>TraesCSU01G253700</t>
  </si>
  <si>
    <t>TraesCS1A01G234600</t>
  </si>
  <si>
    <t>TraesCS1A01G406300</t>
  </si>
  <si>
    <t>TraesCS1B01G102100</t>
  </si>
  <si>
    <t>TraesCS1D01G086300</t>
  </si>
  <si>
    <t>TraesCS2B01G091500</t>
  </si>
  <si>
    <t>TraesCS3D01G474800</t>
  </si>
  <si>
    <t>TraesCS4A01G218400</t>
  </si>
  <si>
    <t>TraesCS4D01G093600</t>
  </si>
  <si>
    <t>TraesCS5A01G044700</t>
  </si>
  <si>
    <t>TraesCS5B01G089500</t>
  </si>
  <si>
    <t>TraesCS5D01G095900</t>
  </si>
  <si>
    <t>TraesCS6A01G005900</t>
  </si>
  <si>
    <t>TraesCS6A01G023300</t>
  </si>
  <si>
    <t>TraesCS6A01G303200</t>
  </si>
  <si>
    <t>TraesCS6B01G031300</t>
  </si>
  <si>
    <t>TraesCS6B01G031500</t>
  </si>
  <si>
    <t>TraesCS6D01G008600</t>
  </si>
  <si>
    <t>TraesCS6D01G026300</t>
  </si>
  <si>
    <t>TraesCS7A01G528900</t>
  </si>
  <si>
    <t>TraesCS7B01G019600</t>
  </si>
  <si>
    <t>TraesCS7B01G118200</t>
  </si>
  <si>
    <t>TraesCS7D01G418600</t>
  </si>
  <si>
    <t>TraesCS7D01G531600</t>
  </si>
  <si>
    <t>TraesCS1A01G027300</t>
  </si>
  <si>
    <t>TraesCS1A01G043000</t>
  </si>
  <si>
    <t>TraesCS1A01G055300</t>
  </si>
  <si>
    <t>TraesCS1A01G081500</t>
  </si>
  <si>
    <t>TraesCS1A01G088700</t>
  </si>
  <si>
    <t>TraesCS1A01G102200</t>
  </si>
  <si>
    <t>TraesCS1A01G105000</t>
  </si>
  <si>
    <t>TraesCS1A01G116100</t>
  </si>
  <si>
    <t>TraesCS1A01G120600</t>
  </si>
  <si>
    <t>TraesCS1A01G122200</t>
  </si>
  <si>
    <t>TraesCS1A01G132800</t>
  </si>
  <si>
    <t>TraesCS1A01G133200</t>
  </si>
  <si>
    <t>TraesCS1A01G134100</t>
  </si>
  <si>
    <t>TraesCS1A01G138700</t>
  </si>
  <si>
    <t>TraesCS1A01G148300</t>
  </si>
  <si>
    <t>TraesCS1A01G149800</t>
  </si>
  <si>
    <t>TraesCS1A01G150700</t>
  </si>
  <si>
    <t>TraesCS1A01G153400</t>
  </si>
  <si>
    <t>TraesCS1A01G165700</t>
  </si>
  <si>
    <t>TraesCS1A01G172600</t>
  </si>
  <si>
    <t>TraesCS1A01G172800</t>
  </si>
  <si>
    <t>TraesCS1A01G178000</t>
  </si>
  <si>
    <t>TraesCS1A01G181000</t>
  </si>
  <si>
    <t>TraesCS1A01G188400</t>
  </si>
  <si>
    <t>TraesCS1A01G189000</t>
  </si>
  <si>
    <t>TraesCS1A01G222600</t>
  </si>
  <si>
    <t>TraesCS1A01G225300</t>
  </si>
  <si>
    <t>TraesCS1A01G227100</t>
  </si>
  <si>
    <t>TraesCS1A01G227500</t>
  </si>
  <si>
    <t>TraesCS1A01G229300</t>
  </si>
  <si>
    <t>TraesCS1A01G230800</t>
  </si>
  <si>
    <t>TraesCS1A01G231600</t>
  </si>
  <si>
    <t>TraesCS1A01G234800</t>
  </si>
  <si>
    <t>TraesCS1A01G239200</t>
  </si>
  <si>
    <t>TraesCS1A01G247300</t>
  </si>
  <si>
    <t>TraesCS1A01G253700</t>
  </si>
  <si>
    <t>TraesCS1A01G257400</t>
  </si>
  <si>
    <t>TraesCS1A01G263600</t>
  </si>
  <si>
    <t>TraesCS1A01G264300</t>
  </si>
  <si>
    <t>TraesCS1A01G266200</t>
  </si>
  <si>
    <t>TraesCS1A01G266900</t>
  </si>
  <si>
    <t>TraesCS1A01G268600</t>
  </si>
  <si>
    <t>TraesCS1A01G273500</t>
  </si>
  <si>
    <t>TraesCS1A01G275000</t>
  </si>
  <si>
    <t>TraesCS1A01G277400</t>
  </si>
  <si>
    <t>TraesCS1A01G284100</t>
  </si>
  <si>
    <t>TraesCS1A01G287900</t>
  </si>
  <si>
    <t>TraesCS1A01G288100</t>
  </si>
  <si>
    <t>TraesCS1A01G291000</t>
  </si>
  <si>
    <t>TraesCS1A01G298400</t>
  </si>
  <si>
    <t>TraesCS1A01G301500</t>
  </si>
  <si>
    <t>TraesCS1A01G303000</t>
  </si>
  <si>
    <t>TraesCS1A01G304100</t>
  </si>
  <si>
    <t>TraesCS1A01G309400</t>
  </si>
  <si>
    <t>TraesCS1A01G317300</t>
  </si>
  <si>
    <t>TraesCS1A01G327300</t>
  </si>
  <si>
    <t>TraesCS1A01G335200</t>
  </si>
  <si>
    <t>TraesCS1A01G342700</t>
  </si>
  <si>
    <t>TraesCS1A01G346700</t>
  </si>
  <si>
    <t>TraesCS1A01G350000</t>
  </si>
  <si>
    <t>TraesCS1A01G355200</t>
  </si>
  <si>
    <t>TraesCS1A01G358500</t>
  </si>
  <si>
    <t>TraesCS1A01G363400</t>
  </si>
  <si>
    <t>TraesCS1A01G366800</t>
  </si>
  <si>
    <t>TraesCS1A01G367500</t>
  </si>
  <si>
    <t>TraesCS1A01G380200</t>
  </si>
  <si>
    <t>TraesCS1A01G382000</t>
  </si>
  <si>
    <t>TraesCS1A01G383100</t>
  </si>
  <si>
    <t>TraesCS1A01G385500</t>
  </si>
  <si>
    <t>TraesCS1A01G389700</t>
  </si>
  <si>
    <t>TraesCS1A01G392100</t>
  </si>
  <si>
    <t>TraesCS1A01G410200</t>
  </si>
  <si>
    <t>TraesCS1A01G415300</t>
  </si>
  <si>
    <t>TraesCS1A01G415900</t>
  </si>
  <si>
    <t>TraesCS1A01G423100</t>
  </si>
  <si>
    <t>TraesCS1A01G435300</t>
  </si>
  <si>
    <t>TraesCS1A01G443500</t>
  </si>
  <si>
    <t>TraesCS1A01G443800</t>
  </si>
  <si>
    <t>TraesCS1A01G446100</t>
  </si>
  <si>
    <t>TraesCS1B01G024700</t>
  </si>
  <si>
    <t>TraesCS1B01G056100</t>
  </si>
  <si>
    <t>TraesCS1B01G072100</t>
  </si>
  <si>
    <t>TraesCS1B01G099200</t>
  </si>
  <si>
    <t>TraesCS1B01G099900</t>
  </si>
  <si>
    <t>TraesCS1B01G107700</t>
  </si>
  <si>
    <t>TraesCS1B01G109100</t>
  </si>
  <si>
    <t>TraesCS1B01G112600</t>
  </si>
  <si>
    <t>TraesCS1B01G135500</t>
  </si>
  <si>
    <t>TraesCS1B01G136100</t>
  </si>
  <si>
    <t>TraesCS1B01G141400</t>
  </si>
  <si>
    <t>TraesCS1B01G145300</t>
  </si>
  <si>
    <t>TraesCS1B01G147900</t>
  </si>
  <si>
    <t>TraesCS1B01G152400</t>
  </si>
  <si>
    <t>TraesCS1B01G152700</t>
  </si>
  <si>
    <t>TraesCS1B01G153500</t>
  </si>
  <si>
    <t>TraesCS1B01G162600</t>
  </si>
  <si>
    <t>TraesCS1B01G166000</t>
  </si>
  <si>
    <t>TraesCS1B01G168300</t>
  </si>
  <si>
    <t>TraesCS1B01G168400</t>
  </si>
  <si>
    <t>TraesCS1B01G171500</t>
  </si>
  <si>
    <t>TraesCS1B01G182400</t>
  </si>
  <si>
    <t>TraesCS1B01G186600</t>
  </si>
  <si>
    <t>TraesCS1B01G191500</t>
  </si>
  <si>
    <t>TraesCS1B01G191900</t>
  </si>
  <si>
    <t>TraesCS1B01G202300</t>
  </si>
  <si>
    <t>TraesCS1B01G205200</t>
  </si>
  <si>
    <t>TraesCS1B01G211100</t>
  </si>
  <si>
    <t>TraesCS1B01G213800</t>
  </si>
  <si>
    <t>TraesCS1B01G219700</t>
  </si>
  <si>
    <t>TraesCS1B01G224300</t>
  </si>
  <si>
    <t>TraesCS1B01G235900</t>
  </si>
  <si>
    <t>TraesCS1B01G242900</t>
  </si>
  <si>
    <t>TraesCS1B01G243600</t>
  </si>
  <si>
    <t>TraesCS1B01G244800</t>
  </si>
  <si>
    <t>TraesCS1B01G249000</t>
  </si>
  <si>
    <t>TraesCS1B01G251400</t>
  </si>
  <si>
    <t>TraesCS1B01G257900</t>
  </si>
  <si>
    <t>TraesCS1B01G270400</t>
  </si>
  <si>
    <t>TraesCS1B01G275000</t>
  </si>
  <si>
    <t>TraesCS1B01G277200</t>
  </si>
  <si>
    <t>TraesCS1B01G277800</t>
  </si>
  <si>
    <t>TraesCS1B01G278500</t>
  </si>
  <si>
    <t>TraesCS1B01G283300</t>
  </si>
  <si>
    <t>TraesCS1B01G284300</t>
  </si>
  <si>
    <t>TraesCS1B01G285800</t>
  </si>
  <si>
    <t>TraesCS1B01G288800</t>
  </si>
  <si>
    <t>TraesCS1B01G288900</t>
  </si>
  <si>
    <t>TraesCS1B01G293400</t>
  </si>
  <si>
    <t>TraesCS1B01G294500</t>
  </si>
  <si>
    <t>TraesCS1B01G296400</t>
  </si>
  <si>
    <t>TraesCS1B01G297300</t>
  </si>
  <si>
    <t>TraesCS1B01G297500</t>
  </si>
  <si>
    <t>TraesCS1B01G300300</t>
  </si>
  <si>
    <t>TraesCS1B01G310900</t>
  </si>
  <si>
    <t>TraesCS1B01G311300</t>
  </si>
  <si>
    <t>TraesCS1B01G312000</t>
  </si>
  <si>
    <t>TraesCS1B01G313300</t>
  </si>
  <si>
    <t>TraesCS1B01G314600</t>
  </si>
  <si>
    <t>TraesCS1B01G320400</t>
  </si>
  <si>
    <t>TraesCS1B01G324000</t>
  </si>
  <si>
    <t>TraesCS1B01G329700</t>
  </si>
  <si>
    <t>TraesCS1B01G334100</t>
  </si>
  <si>
    <t>TraesCS1B01G340700</t>
  </si>
  <si>
    <t>TraesCS1B01G343300</t>
  </si>
  <si>
    <t>TraesCS1B01G351700</t>
  </si>
  <si>
    <t>TraesCS1B01G355400</t>
  </si>
  <si>
    <t>TraesCS1B01G355800</t>
  </si>
  <si>
    <t>TraesCS1B01G356700</t>
  </si>
  <si>
    <t>TraesCS1B01G364300</t>
  </si>
  <si>
    <t>TraesCS1B01G366400</t>
  </si>
  <si>
    <t>TraesCS1B01G368900</t>
  </si>
  <si>
    <t>TraesCS1B01G370900</t>
  </si>
  <si>
    <t>TraesCS1B01G375000</t>
  </si>
  <si>
    <t>TraesCS1B01G380000</t>
  </si>
  <si>
    <t>TraesCS1B01G409100</t>
  </si>
  <si>
    <t>TraesCS1B01G409200</t>
  </si>
  <si>
    <t>TraesCS1B01G416800</t>
  </si>
  <si>
    <t>TraesCS1B01G417800</t>
  </si>
  <si>
    <t>TraesCS1B01G420200</t>
  </si>
  <si>
    <t>TraesCS1B01G440100</t>
  </si>
  <si>
    <t>TraesCS1B01G442400</t>
  </si>
  <si>
    <t>TraesCS1B01G445300</t>
  </si>
  <si>
    <t>TraesCS1B01G471100</t>
  </si>
  <si>
    <t>TraesCS1B01G474200</t>
  </si>
  <si>
    <t>TraesCS1B01G481200</t>
  </si>
  <si>
    <t>TraesCS1D01G018100</t>
  </si>
  <si>
    <t>TraesCS1D01G043500</t>
  </si>
  <si>
    <t>TraesCS1D01G056000</t>
  </si>
  <si>
    <t>TraesCS1D01G061900</t>
  </si>
  <si>
    <t>TraesCS1D01G083800</t>
  </si>
  <si>
    <t>TraesCS1D01G090100</t>
  </si>
  <si>
    <t>TraesCS1D01G091300</t>
  </si>
  <si>
    <t>TraesCS1D01G093800</t>
  </si>
  <si>
    <t>TraesCS1D01G096400</t>
  </si>
  <si>
    <t>TraesCS1D01G117000</t>
  </si>
  <si>
    <t>TraesCS1D01G117300</t>
  </si>
  <si>
    <t>TraesCS1D01G124200</t>
  </si>
  <si>
    <t>TraesCS1D01G133500</t>
  </si>
  <si>
    <t>TraesCS1D01G135800</t>
  </si>
  <si>
    <t>TraesCS1D01G135900</t>
  </si>
  <si>
    <t>TraesCS1D01G144300</t>
  </si>
  <si>
    <t>TraesCS1D01G146000</t>
  </si>
  <si>
    <t>TraesCS1D01G147700</t>
  </si>
  <si>
    <t>TraesCS1D01G148600</t>
  </si>
  <si>
    <t>TraesCS1D01G151900</t>
  </si>
  <si>
    <t>TraesCS1D01G165900</t>
  </si>
  <si>
    <t>TraesCS1D01G166000</t>
  </si>
  <si>
    <t>TraesCS1D01G166600</t>
  </si>
  <si>
    <t>TraesCS1D01G175000</t>
  </si>
  <si>
    <t>TraesCS1D01G176500</t>
  </si>
  <si>
    <t>TraesCS1D01G187400</t>
  </si>
  <si>
    <t>TraesCS1D01G191800</t>
  </si>
  <si>
    <t>TraesCS1D01G193700</t>
  </si>
  <si>
    <t>TraesCS1D01G207100</t>
  </si>
  <si>
    <t>TraesCS1D01G226700</t>
  </si>
  <si>
    <t>TraesCS1D01G228700</t>
  </si>
  <si>
    <t>TraesCS1D01G230700</t>
  </si>
  <si>
    <t>TraesCS1D01G231400</t>
  </si>
  <si>
    <t>TraesCS1D01G232700</t>
  </si>
  <si>
    <t>TraesCS1D01G234500</t>
  </si>
  <si>
    <t>TraesCS1D01G237500</t>
  </si>
  <si>
    <t>TraesCS1D01G239400</t>
  </si>
  <si>
    <t>TraesCS1D01G246500</t>
  </si>
  <si>
    <t>TraesCS1D01G253300</t>
  </si>
  <si>
    <t>TraesCS1D01G256700</t>
  </si>
  <si>
    <t>TraesCS1D01G266400</t>
  </si>
  <si>
    <t>TraesCS1D01G267700</t>
  </si>
  <si>
    <t>TraesCS1D01G268700</t>
  </si>
  <si>
    <t>TraesCS1D01G273500</t>
  </si>
  <si>
    <t>TraesCS1D01G276100</t>
  </si>
  <si>
    <t>TraesCS1D01G276600</t>
  </si>
  <si>
    <t>TraesCS1D01G287000</t>
  </si>
  <si>
    <t>TraesCS1D01G287100</t>
  </si>
  <si>
    <t>TraesCS1D01G289500</t>
  </si>
  <si>
    <t>TraesCS1D01G293500</t>
  </si>
  <si>
    <t>TraesCS1D01G301200</t>
  </si>
  <si>
    <t>TraesCS1D01G301600</t>
  </si>
  <si>
    <t>TraesCS1D01G302400</t>
  </si>
  <si>
    <t>TraesCS1D01G303200</t>
  </si>
  <si>
    <t>TraesCS1D01G303600</t>
  </si>
  <si>
    <t>TraesCS1D01G308800</t>
  </si>
  <si>
    <t>TraesCS1D01G309800</t>
  </si>
  <si>
    <t>TraesCS1D01G317200</t>
  </si>
  <si>
    <t>TraesCS1D01G328500</t>
  </si>
  <si>
    <t>TraesCS1D01G332000</t>
  </si>
  <si>
    <t>TraesCS1D01G332300</t>
  </si>
  <si>
    <t>TraesCS1D01G344200</t>
  </si>
  <si>
    <t>TraesCS1D01G344800</t>
  </si>
  <si>
    <t>TraesCS1D01G348900</t>
  </si>
  <si>
    <t>TraesCS1D01G352700</t>
  </si>
  <si>
    <t>TraesCS1D01G357100</t>
  </si>
  <si>
    <t>TraesCS1D01G363400</t>
  </si>
  <si>
    <t>TraesCS1D01G368500</t>
  </si>
  <si>
    <t>TraesCS1D01G375700</t>
  </si>
  <si>
    <t>TraesCS1D01G389700</t>
  </si>
  <si>
    <t>TraesCS1D01G390700</t>
  </si>
  <si>
    <t>TraesCS1D01G390800</t>
  </si>
  <si>
    <t>TraesCS1D01G396700</t>
  </si>
  <si>
    <t>TraesCS1D01G397800</t>
  </si>
  <si>
    <t>TraesCS1D01G400200</t>
  </si>
  <si>
    <t>TraesCS1D01G417500</t>
  </si>
  <si>
    <t>TraesCS1D01G420900</t>
  </si>
  <si>
    <t>TraesCS1D01G422800</t>
  </si>
  <si>
    <t>TraesCS1D01G423300</t>
  </si>
  <si>
    <t>TraesCS1D01G444300</t>
  </si>
  <si>
    <t>TraesCS1D01G451400</t>
  </si>
  <si>
    <t>TraesCS1D01G451600</t>
  </si>
  <si>
    <t>TraesCS1D01G454900</t>
  </si>
  <si>
    <t>TraesCS2A01G003100</t>
  </si>
  <si>
    <t>TraesCS2A01G013200</t>
  </si>
  <si>
    <t>TraesCS2A01G025400</t>
  </si>
  <si>
    <t>TraesCS2A01G043200</t>
  </si>
  <si>
    <t>TraesCS2A01G044700</t>
  </si>
  <si>
    <t>TraesCS2A01G045000</t>
  </si>
  <si>
    <t>TraesCS2A01G049000</t>
  </si>
  <si>
    <t>TraesCS2A01G052000</t>
  </si>
  <si>
    <t>TraesCS2A01G066600</t>
  </si>
  <si>
    <t>TraesCS2A01G075300</t>
  </si>
  <si>
    <t>TraesCS2A01G088600</t>
  </si>
  <si>
    <t>TraesCS2A01G090900</t>
  </si>
  <si>
    <t>TraesCS2A01G092700</t>
  </si>
  <si>
    <t>TraesCS2A01G092800</t>
  </si>
  <si>
    <t>TraesCS2A01G100900</t>
  </si>
  <si>
    <t>TraesCS2A01G103600</t>
  </si>
  <si>
    <t>TraesCS2A01G112800</t>
  </si>
  <si>
    <t>TraesCS2A01G119600</t>
  </si>
  <si>
    <t>TraesCS2A01G120800</t>
  </si>
  <si>
    <t>TraesCS2A01G122400</t>
  </si>
  <si>
    <t>TraesCS2A01G122600</t>
  </si>
  <si>
    <t>TraesCS2A01G123800</t>
  </si>
  <si>
    <t>TraesCS2A01G140900</t>
  </si>
  <si>
    <t>TraesCS2A01G153900</t>
  </si>
  <si>
    <t>TraesCS2A01G157500</t>
  </si>
  <si>
    <t>TraesCS2A01G159300</t>
  </si>
  <si>
    <t>TraesCS2A01G173500</t>
  </si>
  <si>
    <t>TraesCS2A01G177300</t>
  </si>
  <si>
    <t>TraesCS2A01G194300</t>
  </si>
  <si>
    <t>TraesCS2A01G209600</t>
  </si>
  <si>
    <t>TraesCS2A01G219400</t>
  </si>
  <si>
    <t>TraesCS2A01G220700</t>
  </si>
  <si>
    <t>TraesCS2A01G227300</t>
  </si>
  <si>
    <t>TraesCS2A01G229600</t>
  </si>
  <si>
    <t>TraesCS2A01G231600</t>
  </si>
  <si>
    <t>TraesCS2A01G240300</t>
  </si>
  <si>
    <t>TraesCS2A01G254500</t>
  </si>
  <si>
    <t>TraesCS2A01G261500</t>
  </si>
  <si>
    <t>TraesCS2A01G272400</t>
  </si>
  <si>
    <t>TraesCS2A01G275000</t>
  </si>
  <si>
    <t>TraesCS2A01G278100</t>
  </si>
  <si>
    <t>TraesCS2A01G288400</t>
  </si>
  <si>
    <t>TraesCS2A01G295300</t>
  </si>
  <si>
    <t>TraesCS2A01G302300</t>
  </si>
  <si>
    <t>TraesCS2A01G306800</t>
  </si>
  <si>
    <t>TraesCS2A01G312800</t>
  </si>
  <si>
    <t>TraesCS2A01G316000</t>
  </si>
  <si>
    <t>TraesCS2A01G321100</t>
  </si>
  <si>
    <t>TraesCS2A01G324800</t>
  </si>
  <si>
    <t>TraesCS2A01G331800</t>
  </si>
  <si>
    <t>TraesCS2A01G335800</t>
  </si>
  <si>
    <t>TraesCS2A01G344200</t>
  </si>
  <si>
    <t>TraesCS2A01G347800</t>
  </si>
  <si>
    <t>TraesCS2A01G354400</t>
  </si>
  <si>
    <t>TraesCS2A01G354700</t>
  </si>
  <si>
    <t>TraesCS2A01G356600</t>
  </si>
  <si>
    <t>TraesCS2A01G359900</t>
  </si>
  <si>
    <t>TraesCS2A01G376400</t>
  </si>
  <si>
    <t>TraesCS2A01G378100</t>
  </si>
  <si>
    <t>TraesCS2A01G379000</t>
  </si>
  <si>
    <t>TraesCS2A01G406300</t>
  </si>
  <si>
    <t>TraesCS2A01G407000</t>
  </si>
  <si>
    <t>TraesCS2A01G407800</t>
  </si>
  <si>
    <t>TraesCS2A01G410700</t>
  </si>
  <si>
    <t>TraesCS2A01G411200</t>
  </si>
  <si>
    <t>TraesCS2A01G412100</t>
  </si>
  <si>
    <t>TraesCS2A01G413400</t>
  </si>
  <si>
    <t>TraesCS2A01G427400</t>
  </si>
  <si>
    <t>TraesCS2A01G435100</t>
  </si>
  <si>
    <t>TraesCS2A01G436200</t>
  </si>
  <si>
    <t>TraesCS2A01G437200</t>
  </si>
  <si>
    <t>TraesCS2A01G439200</t>
  </si>
  <si>
    <t>TraesCS2A01G440800</t>
  </si>
  <si>
    <t>TraesCS2A01G447800</t>
  </si>
  <si>
    <t>TraesCS2A01G457500</t>
  </si>
  <si>
    <t>TraesCS2A01G469000</t>
  </si>
  <si>
    <t>TraesCS2A01G474200</t>
  </si>
  <si>
    <t>TraesCS2A01G488900</t>
  </si>
  <si>
    <t>TraesCS2A01G500400</t>
  </si>
  <si>
    <t>TraesCS2A01G502300</t>
  </si>
  <si>
    <t>TraesCS2A01G518500</t>
  </si>
  <si>
    <t>TraesCS2A01G521900</t>
  </si>
  <si>
    <t>TraesCS2A01G542800</t>
  </si>
  <si>
    <t>TraesCS2A01G563000</t>
  </si>
  <si>
    <t>TraesCS2A01G567000</t>
  </si>
  <si>
    <t>TraesCS2A01G568000</t>
  </si>
  <si>
    <t>TraesCS2A01G570900</t>
  </si>
  <si>
    <t>TraesCS2A01G571700</t>
  </si>
  <si>
    <t>TraesCS2A01G577000</t>
  </si>
  <si>
    <t>TraesCS2A01G582100</t>
  </si>
  <si>
    <t>TraesCS2A01G582800</t>
  </si>
  <si>
    <t>TraesCS2A01G586500</t>
  </si>
  <si>
    <t>TraesCS2A01G587800</t>
  </si>
  <si>
    <t>TraesCS2A01G593200</t>
  </si>
  <si>
    <t>TraesCS2B01G005800</t>
  </si>
  <si>
    <t>TraesCS2B01G006200</t>
  </si>
  <si>
    <t>TraesCS2B01G006400</t>
  </si>
  <si>
    <t>TraesCS2B01G011000</t>
  </si>
  <si>
    <t>TraesCS2B01G048500</t>
  </si>
  <si>
    <t>TraesCS2B01G051200</t>
  </si>
  <si>
    <t>TraesCS2B01G051300</t>
  </si>
  <si>
    <t>TraesCS2B01G055700</t>
  </si>
  <si>
    <t>TraesCS2B01G057200</t>
  </si>
  <si>
    <t>TraesCS2B01G079200</t>
  </si>
  <si>
    <t>TraesCS2B01G104000</t>
  </si>
  <si>
    <t>TraesCS2B01G107400</t>
  </si>
  <si>
    <t>TraesCS2B01G107500</t>
  </si>
  <si>
    <t>TraesCS2B01G113700</t>
  </si>
  <si>
    <t>TraesCS2B01G118100</t>
  </si>
  <si>
    <t>TraesCS2B01G120900</t>
  </si>
  <si>
    <t>TraesCS2B01G124000</t>
  </si>
  <si>
    <t>TraesCS2B01G126400</t>
  </si>
  <si>
    <t>TraesCS2B01G131600</t>
  </si>
  <si>
    <t>TraesCS2B01G141700</t>
  </si>
  <si>
    <t>TraesCS2B01G153100</t>
  </si>
  <si>
    <t>TraesCS2B01G154600</t>
  </si>
  <si>
    <t>TraesCS2B01G165700</t>
  </si>
  <si>
    <t>TraesCS2B01G171900</t>
  </si>
  <si>
    <t>TraesCS2B01G178100</t>
  </si>
  <si>
    <t>TraesCS2B01G178400</t>
  </si>
  <si>
    <t>TraesCS2B01G184900</t>
  </si>
  <si>
    <t>TraesCS2B01G186900</t>
  </si>
  <si>
    <t>TraesCS2B01G193000</t>
  </si>
  <si>
    <t>TraesCS2B01G204200</t>
  </si>
  <si>
    <t>TraesCS2B01G210100</t>
  </si>
  <si>
    <t>TraesCS2B01G226900</t>
  </si>
  <si>
    <t>TraesCS2B01G235800</t>
  </si>
  <si>
    <t>TraesCS2B01G245000</t>
  </si>
  <si>
    <t>TraesCS2B01G246200</t>
  </si>
  <si>
    <t>TraesCS2B01G251300</t>
  </si>
  <si>
    <t>TraesCS2B01G255200</t>
  </si>
  <si>
    <t>TraesCS2B01G255800</t>
  </si>
  <si>
    <t>TraesCS2B01G258700</t>
  </si>
  <si>
    <t>TraesCS2B01G267600</t>
  </si>
  <si>
    <t>TraesCS2B01G280800</t>
  </si>
  <si>
    <t>TraesCS2B01G288800</t>
  </si>
  <si>
    <t>TraesCS2B01G291900</t>
  </si>
  <si>
    <t>TraesCS2B01G301000</t>
  </si>
  <si>
    <t>TraesCS2B01G302400</t>
  </si>
  <si>
    <t>TraesCS2B01G305200</t>
  </si>
  <si>
    <t>TraesCS2B01G306000</t>
  </si>
  <si>
    <t>TraesCS2B01G307400</t>
  </si>
  <si>
    <t>TraesCS2B01G311800</t>
  </si>
  <si>
    <t>TraesCS2B01G313300</t>
  </si>
  <si>
    <t>TraesCS2B01G318100</t>
  </si>
  <si>
    <t>TraesCS2B01G329800</t>
  </si>
  <si>
    <t>TraesCS2B01G334200</t>
  </si>
  <si>
    <t>TraesCS2B01G335200</t>
  </si>
  <si>
    <t>TraesCS2B01G350400</t>
  </si>
  <si>
    <t>TraesCS2B01G354800</t>
  </si>
  <si>
    <t>TraesCS2B01G365000</t>
  </si>
  <si>
    <t>TraesCS2B01G366200</t>
  </si>
  <si>
    <t>TraesCS2B01G370900</t>
  </si>
  <si>
    <t>TraesCS2B01G374400</t>
  </si>
  <si>
    <t>TraesCS2B01G374900</t>
  </si>
  <si>
    <t>TraesCS2B01G375900</t>
  </si>
  <si>
    <t>TraesCS2B01G378900</t>
  </si>
  <si>
    <t>TraesCS2B01G381900</t>
  </si>
  <si>
    <t>TraesCS2B01G388000</t>
  </si>
  <si>
    <t>TraesCS2B01G393900</t>
  </si>
  <si>
    <t>TraesCS2B01G402100</t>
  </si>
  <si>
    <t>TraesCS2B01G418900</t>
  </si>
  <si>
    <t>TraesCS2B01G424000</t>
  </si>
  <si>
    <t>TraesCS2B01G424600</t>
  </si>
  <si>
    <t>TraesCS2B01G427500</t>
  </si>
  <si>
    <t>TraesCS2B01G429500</t>
  </si>
  <si>
    <t>TraesCS2B01G430700</t>
  </si>
  <si>
    <t>TraesCS2B01G432100</t>
  </si>
  <si>
    <t>TraesCS2B01G456100</t>
  </si>
  <si>
    <t>TraesCS2B01G457400</t>
  </si>
  <si>
    <t>TraesCS2B01G457900</t>
  </si>
  <si>
    <t>TraesCS2B01G459200</t>
  </si>
  <si>
    <t>TraesCS2B01G465500</t>
  </si>
  <si>
    <t>TraesCS2B01G476800</t>
  </si>
  <si>
    <t>TraesCS2B01G479900</t>
  </si>
  <si>
    <t>TraesCS2B01G503700</t>
  </si>
  <si>
    <t>TraesCS2B01G516700</t>
  </si>
  <si>
    <t>TraesCS2B01G528300</t>
  </si>
  <si>
    <t>TraesCS2B01G535300</t>
  </si>
  <si>
    <t>TraesCS2B01G540200</t>
  </si>
  <si>
    <t>TraesCS2B01G546900</t>
  </si>
  <si>
    <t>TraesCS2B01G551200</t>
  </si>
  <si>
    <t>TraesCS2B01G551400</t>
  </si>
  <si>
    <t>TraesCS2B01G572600</t>
  </si>
  <si>
    <t>TraesCS2B01G591100</t>
  </si>
  <si>
    <t>TraesCS2B01G595400</t>
  </si>
  <si>
    <t>TraesCS2B01G603700</t>
  </si>
  <si>
    <t>TraesCS2D01G003200</t>
  </si>
  <si>
    <t>TraesCS2D01G007000</t>
  </si>
  <si>
    <t>TraesCS2D01G025100</t>
  </si>
  <si>
    <t>TraesCS2D01G026000</t>
  </si>
  <si>
    <t>TraesCS2D01G027400</t>
  </si>
  <si>
    <t>TraesCS2D01G033700</t>
  </si>
  <si>
    <t>TraesCS2D01G040000</t>
  </si>
  <si>
    <t>TraesCS2D01G042400</t>
  </si>
  <si>
    <t>TraesCS2D01G043300</t>
  </si>
  <si>
    <t>TraesCS2D01G043600</t>
  </si>
  <si>
    <t>TraesCS2D01G047900</t>
  </si>
  <si>
    <t>TraesCS2D01G052000</t>
  </si>
  <si>
    <t>TraesCS2D01G065000</t>
  </si>
  <si>
    <t>TraesCS2D01G086300</t>
  </si>
  <si>
    <t>TraesCS2D01G090200</t>
  </si>
  <si>
    <t>TraesCS2D01G091700</t>
  </si>
  <si>
    <t>TraesCS2D01G091800</t>
  </si>
  <si>
    <t>TraesCS2D01G092700</t>
  </si>
  <si>
    <t>TraesCS2D01G103400</t>
  </si>
  <si>
    <t>TraesCS2D01G126100</t>
  </si>
  <si>
    <t>TraesCS2D01G144300</t>
  </si>
  <si>
    <t>TraesCS2D01G151200</t>
  </si>
  <si>
    <t>TraesCS2D01G159400</t>
  </si>
  <si>
    <t>TraesCS2D01G166600</t>
  </si>
  <si>
    <t>TraesCS2D01G185300</t>
  </si>
  <si>
    <t>TraesCS2D01G191300</t>
  </si>
  <si>
    <t>TraesCS2D01G216300</t>
  </si>
  <si>
    <t>TraesCS2D01G217500</t>
  </si>
  <si>
    <t>TraesCS2D01G225300</t>
  </si>
  <si>
    <t>TraesCS2D01G226300</t>
  </si>
  <si>
    <t>TraesCS2D01G233500</t>
  </si>
  <si>
    <t>TraesCS2D01G242300</t>
  </si>
  <si>
    <t>TraesCS2D01G254500</t>
  </si>
  <si>
    <t>TraesCS2D01G255000</t>
  </si>
  <si>
    <t>TraesCS2D01G256200</t>
  </si>
  <si>
    <t>TraesCS2D01G262500</t>
  </si>
  <si>
    <t>TraesCS2D01G273200</t>
  </si>
  <si>
    <t>TraesCS2D01G280800</t>
  </si>
  <si>
    <t>TraesCS2D01G283000</t>
  </si>
  <si>
    <t>TraesCS2D01G285600</t>
  </si>
  <si>
    <t>TraesCS2D01G286700</t>
  </si>
  <si>
    <t>TraesCS2D01G287400</t>
  </si>
  <si>
    <t>TraesCS2D01G288900</t>
  </si>
  <si>
    <t>TraesCS2D01G293100</t>
  </si>
  <si>
    <t>TraesCS2D01G301000</t>
  </si>
  <si>
    <t>TraesCS2D01G311300</t>
  </si>
  <si>
    <t>TraesCS2D01G314000</t>
  </si>
  <si>
    <t>TraesCS2D01G315100</t>
  </si>
  <si>
    <t>TraesCS2D01G317900</t>
  </si>
  <si>
    <t>TraesCS2D01G322500</t>
  </si>
  <si>
    <t>TraesCS2D01G342500</t>
  </si>
  <si>
    <t>TraesCS2D01G345400</t>
  </si>
  <si>
    <t>TraesCS2D01G346100</t>
  </si>
  <si>
    <t>TraesCS2D01G354600</t>
  </si>
  <si>
    <t>TraesCS2D01G355500</t>
  </si>
  <si>
    <t>TraesCS2D01G361700</t>
  </si>
  <si>
    <t>TraesCS2D01G367100</t>
  </si>
  <si>
    <t>TraesCS2D01G378100</t>
  </si>
  <si>
    <t>TraesCS2D01G382600</t>
  </si>
  <si>
    <t>TraesCS2D01G398300</t>
  </si>
  <si>
    <t>TraesCS2D01G403200</t>
  </si>
  <si>
    <t>TraesCS2D01G403900</t>
  </si>
  <si>
    <t>TraesCS2D01G406000</t>
  </si>
  <si>
    <t>TraesCS2D01G408700</t>
  </si>
  <si>
    <t>TraesCS2D01G409300</t>
  </si>
  <si>
    <t>TraesCS2D01G411200</t>
  </si>
  <si>
    <t>TraesCS2D01G411700</t>
  </si>
  <si>
    <t>TraesCS2D01G414000</t>
  </si>
  <si>
    <t>TraesCS2D01G433700</t>
  </si>
  <si>
    <t>TraesCS2D01G447500</t>
  </si>
  <si>
    <t>TraesCS2D01G455100</t>
  </si>
  <si>
    <t>TraesCS2D01G460900</t>
  </si>
  <si>
    <t>TraesCS2D01G465100</t>
  </si>
  <si>
    <t>TraesCS2D01G472600</t>
  </si>
  <si>
    <t>TraesCS2D01G489200</t>
  </si>
  <si>
    <t>TraesCS2D01G500600</t>
  </si>
  <si>
    <t>TraesCS2D01G507700</t>
  </si>
  <si>
    <t>TraesCS2D01G519900</t>
  </si>
  <si>
    <t>TraesCS2D01G523700</t>
  </si>
  <si>
    <t>TraesCS2D01G537200</t>
  </si>
  <si>
    <t>TraesCS2D01G544000</t>
  </si>
  <si>
    <t>TraesCS2D01G544800</t>
  </si>
  <si>
    <t>TraesCS2D01G554700</t>
  </si>
  <si>
    <t>TraesCS2D01G561500</t>
  </si>
  <si>
    <t>TraesCS2D01G565100</t>
  </si>
  <si>
    <t>TraesCS2D01G565400</t>
  </si>
  <si>
    <t>TraesCS2D01G597300</t>
  </si>
  <si>
    <t>TraesCS2D01G600100</t>
  </si>
  <si>
    <t>TraesCS3A01G002200</t>
  </si>
  <si>
    <t>TraesCS3A01G013400</t>
  </si>
  <si>
    <t>TraesCS3A01G021400</t>
  </si>
  <si>
    <t>TraesCS3A01G024200</t>
  </si>
  <si>
    <t>TraesCS3A01G040500</t>
  </si>
  <si>
    <t>TraesCS3A01G061200</t>
  </si>
  <si>
    <t>TraesCS3A01G066800</t>
  </si>
  <si>
    <t>TraesCS3A01G071500</t>
  </si>
  <si>
    <t>TraesCS3A01G081300</t>
  </si>
  <si>
    <t>TraesCS3A01G083000</t>
  </si>
  <si>
    <t>TraesCS3A01G091500</t>
  </si>
  <si>
    <t>TraesCS3A01G093000</t>
  </si>
  <si>
    <t>TraesCS3A01G093200</t>
  </si>
  <si>
    <t>TraesCS3A01G106400</t>
  </si>
  <si>
    <t>TraesCS3A01G107200</t>
  </si>
  <si>
    <t>TraesCS3A01G108500</t>
  </si>
  <si>
    <t>TraesCS3A01G111700</t>
  </si>
  <si>
    <t>TraesCS3A01G122600</t>
  </si>
  <si>
    <t>TraesCS3A01G126300</t>
  </si>
  <si>
    <t>TraesCS3A01G131700</t>
  </si>
  <si>
    <t>TraesCS3A01G135400</t>
  </si>
  <si>
    <t>TraesCS3A01G149900</t>
  </si>
  <si>
    <t>TraesCS3A01G151300</t>
  </si>
  <si>
    <t>TraesCS3A01G153400</t>
  </si>
  <si>
    <t>TraesCS3A01G157100</t>
  </si>
  <si>
    <t>TraesCS3A01G158000</t>
  </si>
  <si>
    <t>TraesCS3A01G160700</t>
  </si>
  <si>
    <t>TraesCS3A01G171800</t>
  </si>
  <si>
    <t>TraesCS3A01G179400</t>
  </si>
  <si>
    <t>TraesCS3A01G179500</t>
  </si>
  <si>
    <t>TraesCS3A01G180200</t>
  </si>
  <si>
    <t>TraesCS3A01G185000</t>
  </si>
  <si>
    <t>TraesCS3A01G186000</t>
  </si>
  <si>
    <t>TraesCS3A01G189200</t>
  </si>
  <si>
    <t>TraesCS3A01G192000</t>
  </si>
  <si>
    <t>TraesCS3A01G208900</t>
  </si>
  <si>
    <t>TraesCS3A01G214800</t>
  </si>
  <si>
    <t>TraesCS3A01G218600</t>
  </si>
  <si>
    <t>TraesCS3A01G225600</t>
  </si>
  <si>
    <t>TraesCS3A01G228000</t>
  </si>
  <si>
    <t>TraesCS3A01G229500</t>
  </si>
  <si>
    <t>TraesCS3A01G229800</t>
  </si>
  <si>
    <t>TraesCS3A01G231700</t>
  </si>
  <si>
    <t>TraesCS3A01G235600</t>
  </si>
  <si>
    <t>TraesCS3A01G238200</t>
  </si>
  <si>
    <t>TraesCS3A01G241000</t>
  </si>
  <si>
    <t>TraesCS3A01G241800</t>
  </si>
  <si>
    <t>TraesCS3A01G246900</t>
  </si>
  <si>
    <t>TraesCS3A01G248000</t>
  </si>
  <si>
    <t>TraesCS3A01G249100</t>
  </si>
  <si>
    <t>TraesCS3A01G254900</t>
  </si>
  <si>
    <t>TraesCS3A01G259800</t>
  </si>
  <si>
    <t>TraesCS3A01G269700</t>
  </si>
  <si>
    <t>TraesCS3A01G275800</t>
  </si>
  <si>
    <t>TraesCS3A01G276100</t>
  </si>
  <si>
    <t>TraesCS3A01G279400</t>
  </si>
  <si>
    <t>TraesCS3A01G288800</t>
  </si>
  <si>
    <t>TraesCS3A01G295300</t>
  </si>
  <si>
    <t>TraesCS3A01G298600</t>
  </si>
  <si>
    <t>TraesCS3A01G304400</t>
  </si>
  <si>
    <t>TraesCS3A01G305500</t>
  </si>
  <si>
    <t>TraesCS3A01G306000</t>
  </si>
  <si>
    <t>TraesCS3A01G306500</t>
  </si>
  <si>
    <t>TraesCS3A01G306800</t>
  </si>
  <si>
    <t>TraesCS3A01G313800</t>
  </si>
  <si>
    <t>TraesCS3A01G314300</t>
  </si>
  <si>
    <t>TraesCS3A01G321100</t>
  </si>
  <si>
    <t>TraesCS3A01G324000</t>
  </si>
  <si>
    <t>TraesCS3A01G329700</t>
  </si>
  <si>
    <t>TraesCS3A01G334200</t>
  </si>
  <si>
    <t>TraesCS3A01G339800</t>
  </si>
  <si>
    <t>TraesCS3A01G340200</t>
  </si>
  <si>
    <t>TraesCS3A01G340500</t>
  </si>
  <si>
    <t>TraesCS3A01G349300</t>
  </si>
  <si>
    <t>TraesCS3A01G349500</t>
  </si>
  <si>
    <t>TraesCS3A01G351400</t>
  </si>
  <si>
    <t>TraesCS3A01G355400</t>
  </si>
  <si>
    <t>TraesCS3A01G363900</t>
  </si>
  <si>
    <t>TraesCS3A01G364100</t>
  </si>
  <si>
    <t>TraesCS3A01G365300</t>
  </si>
  <si>
    <t>TraesCS3A01G369900</t>
  </si>
  <si>
    <t>TraesCS3A01G389000</t>
  </si>
  <si>
    <t>TraesCS3A01G391300</t>
  </si>
  <si>
    <t>TraesCS3A01G396100</t>
  </si>
  <si>
    <t>TraesCS3A01G400600</t>
  </si>
  <si>
    <t>TraesCS3A01G403200</t>
  </si>
  <si>
    <t>TraesCS3A01G404000</t>
  </si>
  <si>
    <t>TraesCS3A01G404700</t>
  </si>
  <si>
    <t>TraesCS3A01G405000</t>
  </si>
  <si>
    <t>TraesCS3A01G415900</t>
  </si>
  <si>
    <t>TraesCS3A01G416000</t>
  </si>
  <si>
    <t>TraesCS3A01G420400</t>
  </si>
  <si>
    <t>TraesCS3A01G425400</t>
  </si>
  <si>
    <t>TraesCS3A01G425500</t>
  </si>
  <si>
    <t>TraesCS3A01G439100</t>
  </si>
  <si>
    <t>TraesCS3A01G447200</t>
  </si>
  <si>
    <t>TraesCS3A01G458000</t>
  </si>
  <si>
    <t>TraesCS3A01G494400</t>
  </si>
  <si>
    <t>TraesCS3A01G499400</t>
  </si>
  <si>
    <t>TraesCS3A01G502300</t>
  </si>
  <si>
    <t>TraesCS3A01G504500</t>
  </si>
  <si>
    <t>TraesCS3A01G513200</t>
  </si>
  <si>
    <t>TraesCS3A01G520100</t>
  </si>
  <si>
    <t>TraesCS3A01G530700</t>
  </si>
  <si>
    <t>TraesCS3A01G538700</t>
  </si>
  <si>
    <t>TraesCS3B01G008500</t>
  </si>
  <si>
    <t>TraesCS3B01G011200</t>
  </si>
  <si>
    <t>TraesCS3B01G021900</t>
  </si>
  <si>
    <t>TraesCS3B01G043100</t>
  </si>
  <si>
    <t>TraesCS3B01G044900</t>
  </si>
  <si>
    <t>TraesCS3B01G079600</t>
  </si>
  <si>
    <t>TraesCS3B01G084800</t>
  </si>
  <si>
    <t>TraesCS3B01G085300</t>
  </si>
  <si>
    <t>TraesCS3B01G093000</t>
  </si>
  <si>
    <t>TraesCS3B01G096500</t>
  </si>
  <si>
    <t>TraesCS3B01G106700</t>
  </si>
  <si>
    <t>TraesCS3B01G108700</t>
  </si>
  <si>
    <t>TraesCS3B01G116300</t>
  </si>
  <si>
    <t>TraesCS3B01G125000</t>
  </si>
  <si>
    <t>TraesCS3B01G125600</t>
  </si>
  <si>
    <t>TraesCS3B01G132100</t>
  </si>
  <si>
    <t>TraesCS3B01G134300</t>
  </si>
  <si>
    <t>TraesCS3B01G137300</t>
  </si>
  <si>
    <t>TraesCS3B01G139500</t>
  </si>
  <si>
    <t>TraesCS3B01G141800</t>
  </si>
  <si>
    <t>TraesCS3B01G146800</t>
  </si>
  <si>
    <t>TraesCS3B01G146900</t>
  </si>
  <si>
    <t>TraesCS3B01G151000</t>
  </si>
  <si>
    <t>TraesCS3B01G157500</t>
  </si>
  <si>
    <t>TraesCS3B01G158100</t>
  </si>
  <si>
    <t>TraesCS3B01G160500</t>
  </si>
  <si>
    <t>TraesCS3B01G163100</t>
  </si>
  <si>
    <t>TraesCS3B01G163600</t>
  </si>
  <si>
    <t>TraesCS3B01G169200</t>
  </si>
  <si>
    <t>TraesCS3B01G172400</t>
  </si>
  <si>
    <t>TraesCS3B01G176800</t>
  </si>
  <si>
    <t>TraesCS3B01G178200</t>
  </si>
  <si>
    <t>TraesCS3B01G183500</t>
  </si>
  <si>
    <t>TraesCS3B01G185000</t>
  </si>
  <si>
    <t>TraesCS3B01G191300</t>
  </si>
  <si>
    <t>TraesCS3B01G202700</t>
  </si>
  <si>
    <t>TraesCS3B01G214800</t>
  </si>
  <si>
    <t>TraesCS3B01G215600</t>
  </si>
  <si>
    <t>TraesCS3B01G218400</t>
  </si>
  <si>
    <t>TraesCS3B01G220900</t>
  </si>
  <si>
    <t>TraesCS3B01G227600</t>
  </si>
  <si>
    <t>TraesCS3B01G235100</t>
  </si>
  <si>
    <t>TraesCS3B01G236500</t>
  </si>
  <si>
    <t>TraesCS3B01G239200</t>
  </si>
  <si>
    <t>TraesCS3B01G244900</t>
  </si>
  <si>
    <t>TraesCS3B01G246000</t>
  </si>
  <si>
    <t>TraesCS3B01G246500</t>
  </si>
  <si>
    <t>TraesCS3B01G255100</t>
  </si>
  <si>
    <t>TraesCS3B01G259100</t>
  </si>
  <si>
    <t>TraesCS3B01G259500</t>
  </si>
  <si>
    <t>TraesCS3B01G260900</t>
  </si>
  <si>
    <t>TraesCS3B01G264400</t>
  </si>
  <si>
    <t>TraesCS3B01G266700</t>
  </si>
  <si>
    <t>TraesCS3B01G270600</t>
  </si>
  <si>
    <t>TraesCS3B01G271400</t>
  </si>
  <si>
    <t>TraesCS3B01G272400</t>
  </si>
  <si>
    <t>TraesCS3B01G276700</t>
  </si>
  <si>
    <t>TraesCS3B01G278000</t>
  </si>
  <si>
    <t>TraesCS3B01G303600</t>
  </si>
  <si>
    <t>TraesCS3B01G311200</t>
  </si>
  <si>
    <t>TraesCS3B01G323500</t>
  </si>
  <si>
    <t>TraesCS3B01G329700</t>
  </si>
  <si>
    <t>TraesCS3B01G330500</t>
  </si>
  <si>
    <t>TraesCS3B01G331000</t>
  </si>
  <si>
    <t>TraesCS3B01G333700</t>
  </si>
  <si>
    <t>TraesCS3B01G333900</t>
  </si>
  <si>
    <t>TraesCS3B01G337900</t>
  </si>
  <si>
    <t>TraesCS3B01G343900</t>
  </si>
  <si>
    <t>TraesCS3B01G344600</t>
  </si>
  <si>
    <t>TraesCS3B01G347300</t>
  </si>
  <si>
    <t>TraesCS3B01G359600</t>
  </si>
  <si>
    <t>TraesCS3B01G362600</t>
  </si>
  <si>
    <t>TraesCS3B01G365200</t>
  </si>
  <si>
    <t>TraesCS3B01G368400</t>
  </si>
  <si>
    <t>TraesCS3B01G371400</t>
  </si>
  <si>
    <t>TraesCS3B01G376900</t>
  </si>
  <si>
    <t>TraesCS3B01G379900</t>
  </si>
  <si>
    <t>TraesCS3B01G381500</t>
  </si>
  <si>
    <t>TraesCS3B01G382100</t>
  </si>
  <si>
    <t>TraesCS3B01G392400</t>
  </si>
  <si>
    <t>TraesCS3B01G396100</t>
  </si>
  <si>
    <t>TraesCS3B01G397200</t>
  </si>
  <si>
    <t>TraesCS3B01G415400</t>
  </si>
  <si>
    <t>TraesCS3B01G427100</t>
  </si>
  <si>
    <t>TraesCS3B01G433600</t>
  </si>
  <si>
    <t>TraesCS3B01G437000</t>
  </si>
  <si>
    <t>TraesCS3B01G440200</t>
  </si>
  <si>
    <t>TraesCS3B01G441800</t>
  </si>
  <si>
    <t>TraesCS3B01G447100</t>
  </si>
  <si>
    <t>TraesCS3B01G451100</t>
  </si>
  <si>
    <t>TraesCS3B01G455800</t>
  </si>
  <si>
    <t>TraesCS3B01G461600</t>
  </si>
  <si>
    <t>TraesCS3B01G461700</t>
  </si>
  <si>
    <t>TraesCS3B01G470000</t>
  </si>
  <si>
    <t>TraesCS3B01G487700</t>
  </si>
  <si>
    <t>TraesCS3B01G488600</t>
  </si>
  <si>
    <t>TraesCS3B01G496500</t>
  </si>
  <si>
    <t>TraesCS3B01G507000</t>
  </si>
  <si>
    <t>TraesCS3B01G519000</t>
  </si>
  <si>
    <t>TraesCS3B01G528400</t>
  </si>
  <si>
    <t>TraesCS3B01G549000</t>
  </si>
  <si>
    <t>TraesCS3B01G549200</t>
  </si>
  <si>
    <t>TraesCS3B01G587800</t>
  </si>
  <si>
    <t>TraesCS3B01G603300</t>
  </si>
  <si>
    <t>TraesCS3B01G605100</t>
  </si>
  <si>
    <t>TraesCS3B01G607200</t>
  </si>
  <si>
    <t>TraesCS3D01G005000</t>
  </si>
  <si>
    <t>TraesCS3D01G023100</t>
  </si>
  <si>
    <t>TraesCS3D01G025500</t>
  </si>
  <si>
    <t>TraesCS3D01G039800</t>
  </si>
  <si>
    <t>TraesCS3D01G061000</t>
  </si>
  <si>
    <t>TraesCS3D01G066500</t>
  </si>
  <si>
    <t>TraesCS3D01G069500</t>
  </si>
  <si>
    <t>TraesCS3D01G070700</t>
  </si>
  <si>
    <t>TraesCS3D01G078600</t>
  </si>
  <si>
    <t>TraesCS3D01G091400</t>
  </si>
  <si>
    <t>TraesCS3D01G108400</t>
  </si>
  <si>
    <t>TraesCS3D01G110300</t>
  </si>
  <si>
    <t>TraesCS3D01G113900</t>
  </si>
  <si>
    <t>TraesCS3D01G120000</t>
  </si>
  <si>
    <t>TraesCS3D01G124500</t>
  </si>
  <si>
    <t>TraesCS3D01G126600</t>
  </si>
  <si>
    <t>TraesCS3D01G138000</t>
  </si>
  <si>
    <t>TraesCS3D01G140200</t>
  </si>
  <si>
    <t>TraesCS3D01G147900</t>
  </si>
  <si>
    <t>TraesCS3D01G148200</t>
  </si>
  <si>
    <t>TraesCS3D01G151400</t>
  </si>
  <si>
    <t>TraesCS3D01G159200</t>
  </si>
  <si>
    <t>TraesCS3D01G159600</t>
  </si>
  <si>
    <t>TraesCS3D01G164700</t>
  </si>
  <si>
    <t>TraesCS3D01G165600</t>
  </si>
  <si>
    <t>TraesCS3D01G184400</t>
  </si>
  <si>
    <t>TraesCS3D01G189000</t>
  </si>
  <si>
    <t>TraesCS3D01G190000</t>
  </si>
  <si>
    <t>TraesCS3D01G192700</t>
  </si>
  <si>
    <t>TraesCS3D01G195100</t>
  </si>
  <si>
    <t>TraesCS3D01G196000</t>
  </si>
  <si>
    <t>TraesCS3D01G199100</t>
  </si>
  <si>
    <t>TraesCS3D01G208500</t>
  </si>
  <si>
    <t>TraesCS3D01G211800</t>
  </si>
  <si>
    <t>TraesCS3D01G216900</t>
  </si>
  <si>
    <t>TraesCS3D01G217900</t>
  </si>
  <si>
    <t>TraesCS3D01G221700</t>
  </si>
  <si>
    <t>TraesCS3D01G223100</t>
  </si>
  <si>
    <t>TraesCS3D01G223700</t>
  </si>
  <si>
    <t>TraesCS3D01G229200</t>
  </si>
  <si>
    <t>TraesCS3D01G235500</t>
  </si>
  <si>
    <t>TraesCS3D01G244600</t>
  </si>
  <si>
    <t>TraesCS3D01G248000</t>
  </si>
  <si>
    <t>TraesCS3D01G249100</t>
  </si>
  <si>
    <t>TraesCS3D01G269400</t>
  </si>
  <si>
    <t>TraesCS3D01G276000</t>
  </si>
  <si>
    <t>TraesCS3D01G277200</t>
  </si>
  <si>
    <t>TraesCS3D01G288600</t>
  </si>
  <si>
    <t>TraesCS3D01G295100</t>
  </si>
  <si>
    <t>TraesCS3D01G295900</t>
  </si>
  <si>
    <t>TraesCS3D01G296400</t>
  </si>
  <si>
    <t>TraesCS3D01G298300</t>
  </si>
  <si>
    <t>TraesCS3D01G299300</t>
  </si>
  <si>
    <t>TraesCS3D01G303300</t>
  </si>
  <si>
    <t>TraesCS3D01G307800</t>
  </si>
  <si>
    <t>TraesCS3D01G309600</t>
  </si>
  <si>
    <t>TraesCS3D01G310200</t>
  </si>
  <si>
    <t>TraesCS3D01G312600</t>
  </si>
  <si>
    <t>TraesCS3D01G317500</t>
  </si>
  <si>
    <t>TraesCS3D01G323100</t>
  </si>
  <si>
    <t>TraesCS3D01G325400</t>
  </si>
  <si>
    <t>TraesCS3D01G333300</t>
  </si>
  <si>
    <t>TraesCS3D01G338400</t>
  </si>
  <si>
    <t>TraesCS3D01G338600</t>
  </si>
  <si>
    <t>TraesCS3D01G341600</t>
  </si>
  <si>
    <t>TraesCS3D01G343200</t>
  </si>
  <si>
    <t>TraesCS3D01G343500</t>
  </si>
  <si>
    <t>TraesCS3D01G345600</t>
  </si>
  <si>
    <t>TraesCS3D01G349400</t>
  </si>
  <si>
    <t>TraesCS3D01G355500</t>
  </si>
  <si>
    <t>TraesCS3D01G357400</t>
  </si>
  <si>
    <t>TraesCS3D01G357500</t>
  </si>
  <si>
    <t>TraesCS3D01G358500</t>
  </si>
  <si>
    <t>TraesCS3D01G384300</t>
  </si>
  <si>
    <t>TraesCS3D01G389500</t>
  </si>
  <si>
    <t>TraesCS3D01G395000</t>
  </si>
  <si>
    <t>TraesCS3D01G400400</t>
  </si>
  <si>
    <t>TraesCS3D01G401700</t>
  </si>
  <si>
    <t>TraesCS3D01G402400</t>
  </si>
  <si>
    <t>TraesCS3D01G404500</t>
  </si>
  <si>
    <t>TraesCS3D01G407400</t>
  </si>
  <si>
    <t>TraesCS3D01G411600</t>
  </si>
  <si>
    <t>TraesCS3D01G411700</t>
  </si>
  <si>
    <t>TraesCS3D01G416200</t>
  </si>
  <si>
    <t>TraesCS3D01G420100</t>
  </si>
  <si>
    <t>TraesCS3D01G420200</t>
  </si>
  <si>
    <t>TraesCS3D01G420300</t>
  </si>
  <si>
    <t>TraesCS3D01G431900</t>
  </si>
  <si>
    <t>TraesCS3D01G444100</t>
  </si>
  <si>
    <t>TraesCS3D01G450300</t>
  </si>
  <si>
    <t>TraesCS3D01G450800</t>
  </si>
  <si>
    <t>TraesCS3D01G457700</t>
  </si>
  <si>
    <t>TraesCS3D01G460700</t>
  </si>
  <si>
    <t>TraesCS3D01G466900</t>
  </si>
  <si>
    <t>TraesCS3D01G470100</t>
  </si>
  <si>
    <t>TraesCS3D01G477200</t>
  </si>
  <si>
    <t>TraesCS3D01G485000</t>
  </si>
  <si>
    <t>TraesCS3D01G506300</t>
  </si>
  <si>
    <t>TraesCS3D01G509100</t>
  </si>
  <si>
    <t>TraesCS3D01G529000</t>
  </si>
  <si>
    <t>TraesCS3D01G542100</t>
  </si>
  <si>
    <t>TraesCS4A01G000300</t>
  </si>
  <si>
    <t>TraesCS4A01G001100</t>
  </si>
  <si>
    <t>TraesCS4A01G004000</t>
  </si>
  <si>
    <t>TraesCS4A01G011700</t>
  </si>
  <si>
    <t>TraesCS4A01G017700</t>
  </si>
  <si>
    <t>TraesCS4A01G018100</t>
  </si>
  <si>
    <t>TraesCS4A01G021000</t>
  </si>
  <si>
    <t>TraesCS4A01G021500</t>
  </si>
  <si>
    <t>TraesCS4A01G021800</t>
  </si>
  <si>
    <t>TraesCS4A01G025300</t>
  </si>
  <si>
    <t>TraesCS4A01G028800</t>
  </si>
  <si>
    <t>TraesCS4A01G032000</t>
  </si>
  <si>
    <t>TraesCS4A01G035200</t>
  </si>
  <si>
    <t>TraesCS4A01G040100</t>
  </si>
  <si>
    <t>TraesCS4A01G043400</t>
  </si>
  <si>
    <t>TraesCS4A01G059800</t>
  </si>
  <si>
    <t>TraesCS4A01G061000</t>
  </si>
  <si>
    <t>TraesCS4A01G074700</t>
  </si>
  <si>
    <t>TraesCS4A01G077500</t>
  </si>
  <si>
    <t>TraesCS4A01G080700</t>
  </si>
  <si>
    <t>TraesCS4A01G084500</t>
  </si>
  <si>
    <t>TraesCS4A01G089000</t>
  </si>
  <si>
    <t>TraesCS4A01G092800</t>
  </si>
  <si>
    <t>TraesCS4A01G093200</t>
  </si>
  <si>
    <t>TraesCS4A01G095100</t>
  </si>
  <si>
    <t>TraesCS4A01G096700</t>
  </si>
  <si>
    <t>TraesCS4A01G098400</t>
  </si>
  <si>
    <t>TraesCS4A01G099500</t>
  </si>
  <si>
    <t>TraesCS4A01G102300</t>
  </si>
  <si>
    <t>TraesCS4A01G102500</t>
  </si>
  <si>
    <t>TraesCS4A01G109400</t>
  </si>
  <si>
    <t>TraesCS4A01G111500</t>
  </si>
  <si>
    <t>TraesCS4A01G118900</t>
  </si>
  <si>
    <t>TraesCS4A01G132600</t>
  </si>
  <si>
    <t>TraesCS4A01G143600</t>
  </si>
  <si>
    <t>TraesCS4A01G143800</t>
  </si>
  <si>
    <t>TraesCS4A01G145600</t>
  </si>
  <si>
    <t>TraesCS4A01G150100</t>
  </si>
  <si>
    <t>TraesCS4A01G156700</t>
  </si>
  <si>
    <t>TraesCS4A01G159000</t>
  </si>
  <si>
    <t>TraesCS4A01G165400</t>
  </si>
  <si>
    <t>TraesCS4A01G165500</t>
  </si>
  <si>
    <t>TraesCS4A01G169000</t>
  </si>
  <si>
    <t>TraesCS4A01G169700</t>
  </si>
  <si>
    <t>TraesCS4A01G171100</t>
  </si>
  <si>
    <t>TraesCS4A01G172000</t>
  </si>
  <si>
    <t>TraesCS4A01G172300</t>
  </si>
  <si>
    <t>TraesCS4A01G183600</t>
  </si>
  <si>
    <t>TraesCS4A01G185600</t>
  </si>
  <si>
    <t>TraesCS4A01G187900</t>
  </si>
  <si>
    <t>TraesCS4A01G188300</t>
  </si>
  <si>
    <t>TraesCS4A01G191900</t>
  </si>
  <si>
    <t>TraesCS4A01G193200</t>
  </si>
  <si>
    <t>TraesCS4A01G198500</t>
  </si>
  <si>
    <t>TraesCS4A01G200100</t>
  </si>
  <si>
    <t>TraesCS4A01G200400</t>
  </si>
  <si>
    <t>TraesCS4A01G208800</t>
  </si>
  <si>
    <t>TraesCS4A01G218100</t>
  </si>
  <si>
    <t>TraesCS4A01G221200</t>
  </si>
  <si>
    <t>TraesCS4A01G227200</t>
  </si>
  <si>
    <t>TraesCS4A01G233400</t>
  </si>
  <si>
    <t>TraesCS4A01G234600</t>
  </si>
  <si>
    <t>TraesCS4A01G237200</t>
  </si>
  <si>
    <t>TraesCS4A01G238600</t>
  </si>
  <si>
    <t>TraesCS4A01G245900</t>
  </si>
  <si>
    <t>TraesCS4A01G257600</t>
  </si>
  <si>
    <t>TraesCS4A01G259400</t>
  </si>
  <si>
    <t>TraesCS4A01G262000</t>
  </si>
  <si>
    <t>TraesCS4A01G269400</t>
  </si>
  <si>
    <t>TraesCS4A01G285000</t>
  </si>
  <si>
    <t>TraesCS4A01G290700</t>
  </si>
  <si>
    <t>TraesCS4A01G296500</t>
  </si>
  <si>
    <t>TraesCS4A01G298300</t>
  </si>
  <si>
    <t>TraesCS4A01G313500</t>
  </si>
  <si>
    <t>TraesCS4A01G315400</t>
  </si>
  <si>
    <t>TraesCS4A01G316600</t>
  </si>
  <si>
    <t>TraesCS4A01G322400</t>
  </si>
  <si>
    <t>TraesCS4A01G341200</t>
  </si>
  <si>
    <t>TraesCS4A01G343500</t>
  </si>
  <si>
    <t>TraesCS4A01G352800</t>
  </si>
  <si>
    <t>TraesCS4A01G354400</t>
  </si>
  <si>
    <t>TraesCS4A01G358200</t>
  </si>
  <si>
    <t>TraesCS4A01G365300</t>
  </si>
  <si>
    <t>TraesCS4A01G391900</t>
  </si>
  <si>
    <t>TraesCS4A01G392000</t>
  </si>
  <si>
    <t>TraesCS4A01G399600</t>
  </si>
  <si>
    <t>TraesCS4A01G402600</t>
  </si>
  <si>
    <t>TraesCS4A01G406000</t>
  </si>
  <si>
    <t>TraesCS4A01G407500</t>
  </si>
  <si>
    <t>TraesCS4A01G430200</t>
  </si>
  <si>
    <t>TraesCS4A01G436700</t>
  </si>
  <si>
    <t>TraesCS4A01G441600</t>
  </si>
  <si>
    <t>TraesCS4A01G482300</t>
  </si>
  <si>
    <t>TraesCS4A01G492600</t>
  </si>
  <si>
    <t>TraesCS4B01G000300</t>
  </si>
  <si>
    <t>TraesCS4B01G002300</t>
  </si>
  <si>
    <t>TraesCS4B01G023300</t>
  </si>
  <si>
    <t>TraesCS4B01G030100</t>
  </si>
  <si>
    <t>TraesCS4B01G044700</t>
  </si>
  <si>
    <t>TraesCS4B01G045400</t>
  </si>
  <si>
    <t>TraesCS4B01G046200</t>
  </si>
  <si>
    <t>TraesCS4B01G047000</t>
  </si>
  <si>
    <t>TraesCS4B01G051600</t>
  </si>
  <si>
    <t>TraesCS4B01G052000</t>
  </si>
  <si>
    <t>TraesCS4B01G056900</t>
  </si>
  <si>
    <t>TraesCS4B01G077600</t>
  </si>
  <si>
    <t>TraesCS4B01G078000</t>
  </si>
  <si>
    <t>TraesCS4B01G082700</t>
  </si>
  <si>
    <t>TraesCS4B01G083000</t>
  </si>
  <si>
    <t>TraesCS4B01G088100</t>
  </si>
  <si>
    <t>TraesCS4B01G089100</t>
  </si>
  <si>
    <t>TraesCS4B01G094900</t>
  </si>
  <si>
    <t>TraesCS4B01G096900</t>
  </si>
  <si>
    <t>TraesCS4B01G099600</t>
  </si>
  <si>
    <t>TraesCS4B01G112400</t>
  </si>
  <si>
    <t>TraesCS4B01G114900</t>
  </si>
  <si>
    <t>TraesCS4B01G115200</t>
  </si>
  <si>
    <t>TraesCS4B01G118700</t>
  </si>
  <si>
    <t>TraesCS4B01G121900</t>
  </si>
  <si>
    <t>TraesCS4B01G123500</t>
  </si>
  <si>
    <t>TraesCS4B01G126400</t>
  </si>
  <si>
    <t>TraesCS4B01G127200</t>
  </si>
  <si>
    <t>TraesCS4B01G127600</t>
  </si>
  <si>
    <t>TraesCS4B01G130300</t>
  </si>
  <si>
    <t>TraesCS4B01G131100</t>
  </si>
  <si>
    <t>TraesCS4B01G133100</t>
  </si>
  <si>
    <t>TraesCS4B01G149500</t>
  </si>
  <si>
    <t>TraesCS4B01G150200</t>
  </si>
  <si>
    <t>TraesCS4B01G150400</t>
  </si>
  <si>
    <t>TraesCS4B01G152500</t>
  </si>
  <si>
    <t>TraesCS4B01G152700</t>
  </si>
  <si>
    <t>TraesCS4B01G153800</t>
  </si>
  <si>
    <t>TraesCS4B01G162100</t>
  </si>
  <si>
    <t>TraesCS4B01G162700</t>
  </si>
  <si>
    <t>TraesCS4B01G167500</t>
  </si>
  <si>
    <t>TraesCS4B01G172100</t>
  </si>
  <si>
    <t>TraesCS4B01G187700</t>
  </si>
  <si>
    <t>TraesCS4B01G192300</t>
  </si>
  <si>
    <t>TraesCS4B01G194800</t>
  </si>
  <si>
    <t>TraesCS4B01G195200</t>
  </si>
  <si>
    <t>TraesCS4B01G202100</t>
  </si>
  <si>
    <t>TraesCS4B01G204800</t>
  </si>
  <si>
    <t>TraesCS4B01G205900</t>
  </si>
  <si>
    <t>TraesCS4B01G207400</t>
  </si>
  <si>
    <t>TraesCS4B01G217300</t>
  </si>
  <si>
    <t>TraesCS4B01G219700</t>
  </si>
  <si>
    <t>TraesCS4B01G222600</t>
  </si>
  <si>
    <t>TraesCS4B01G223300</t>
  </si>
  <si>
    <t>TraesCS4B01G233600</t>
  </si>
  <si>
    <t>TraesCS4B01G235400</t>
  </si>
  <si>
    <t>TraesCS4B01G259400</t>
  </si>
  <si>
    <t>TraesCS4B01G267900</t>
  </si>
  <si>
    <t>TraesCS4B01G274000</t>
  </si>
  <si>
    <t>TraesCS4B01G278800</t>
  </si>
  <si>
    <t>TraesCS4B01G281700</t>
  </si>
  <si>
    <t>TraesCS4B01G286400</t>
  </si>
  <si>
    <t>TraesCS4B01G305500</t>
  </si>
  <si>
    <t>TraesCS4B01G307100</t>
  </si>
  <si>
    <t>TraesCS4B01G318000</t>
  </si>
  <si>
    <t>TraesCS4B01G332500</t>
  </si>
  <si>
    <t>TraesCS4B01G338000</t>
  </si>
  <si>
    <t>TraesCS4B01G338200</t>
  </si>
  <si>
    <t>TraesCS4B01G343000</t>
  </si>
  <si>
    <t>TraesCS4B01G344300</t>
  </si>
  <si>
    <t>TraesCS4B01G345500</t>
  </si>
  <si>
    <t>TraesCS4B01G350300</t>
  </si>
  <si>
    <t>TraesCS4B01G352300</t>
  </si>
  <si>
    <t>TraesCS4B01G356300</t>
  </si>
  <si>
    <t>TraesCS4B01G358900</t>
  </si>
  <si>
    <t>TraesCS4B01G363100</t>
  </si>
  <si>
    <t>TraesCS4B01G375300</t>
  </si>
  <si>
    <t>TraesCS4B01G375400</t>
  </si>
  <si>
    <t>TraesCS4B01G387000</t>
  </si>
  <si>
    <t>TraesCS4B01G397500</t>
  </si>
  <si>
    <t>TraesCS4D01G000300</t>
  </si>
  <si>
    <t>TraesCS4D01G003800</t>
  </si>
  <si>
    <t>TraesCS4D01G013400</t>
  </si>
  <si>
    <t>TraesCS4D01G021100</t>
  </si>
  <si>
    <t>TraesCS4D01G024700</t>
  </si>
  <si>
    <t>TraesCS4D01G024800</t>
  </si>
  <si>
    <t>TraesCS4D01G039900</t>
  </si>
  <si>
    <t>TraesCS4D01G042200</t>
  </si>
  <si>
    <t>TraesCS4D01G045300</t>
  </si>
  <si>
    <t>TraesCS4D01G052200</t>
  </si>
  <si>
    <t>TraesCS4D01G053200</t>
  </si>
  <si>
    <t>TraesCS4D01G053500</t>
  </si>
  <si>
    <t>TraesCS4D01G057200</t>
  </si>
  <si>
    <t>TraesCS4D01G074800</t>
  </si>
  <si>
    <t>TraesCS4D01G080800</t>
  </si>
  <si>
    <t>TraesCS4D01G081100</t>
  </si>
  <si>
    <t>TraesCS4D01G085500</t>
  </si>
  <si>
    <t>TraesCS4D01G086800</t>
  </si>
  <si>
    <t>TraesCS4D01G087200</t>
  </si>
  <si>
    <t>TraesCS4D01G093200</t>
  </si>
  <si>
    <t>TraesCS4D01G095600</t>
  </si>
  <si>
    <t>TraesCS4D01G109900</t>
  </si>
  <si>
    <t>TraesCS4D01G111100</t>
  </si>
  <si>
    <t>TraesCS4D01G112400</t>
  </si>
  <si>
    <t>TraesCS4D01G112900</t>
  </si>
  <si>
    <t>TraesCS4D01G116400</t>
  </si>
  <si>
    <t>TraesCS4D01G120000</t>
  </si>
  <si>
    <t>TraesCS4D01G121600</t>
  </si>
  <si>
    <t>TraesCS4D01G125100</t>
  </si>
  <si>
    <t>TraesCS4D01G125500</t>
  </si>
  <si>
    <t>TraesCS4D01G126100</t>
  </si>
  <si>
    <t>TraesCS4D01G128000</t>
  </si>
  <si>
    <t>TraesCS4D01G144800</t>
  </si>
  <si>
    <t>TraesCS4D01G147000</t>
  </si>
  <si>
    <t>TraesCS4D01G157800</t>
  </si>
  <si>
    <t>TraesCS4D01G159100</t>
  </si>
  <si>
    <t>TraesCS4D01G159700</t>
  </si>
  <si>
    <t>TraesCS4D01G161900</t>
  </si>
  <si>
    <t>TraesCS4D01G162300</t>
  </si>
  <si>
    <t>TraesCS4D01G166800</t>
  </si>
  <si>
    <t>TraesCS4D01G169800</t>
  </si>
  <si>
    <t>TraesCS4D01G174100</t>
  </si>
  <si>
    <t>TraesCS4D01G189100</t>
  </si>
  <si>
    <t>TraesCS4D01G193600</t>
  </si>
  <si>
    <t>TraesCS4D01G195800</t>
  </si>
  <si>
    <t>TraesCS4D01G199600</t>
  </si>
  <si>
    <t>TraesCS4D01G202900</t>
  </si>
  <si>
    <t>TraesCS4D01G205700</t>
  </si>
  <si>
    <t>TraesCS4D01G206900</t>
  </si>
  <si>
    <t>TraesCS4D01G208600</t>
  </si>
  <si>
    <t>TraesCS4D01G209200</t>
  </si>
  <si>
    <t>TraesCS4D01G220100</t>
  </si>
  <si>
    <t>TraesCS4D01G220600</t>
  </si>
  <si>
    <t>TraesCS4D01G223100</t>
  </si>
  <si>
    <t>TraesCS4D01G223400</t>
  </si>
  <si>
    <t>TraesCS4D01G223600</t>
  </si>
  <si>
    <t>TraesCS4D01G232000</t>
  </si>
  <si>
    <t>TraesCS4D01G236800</t>
  </si>
  <si>
    <t>TraesCS4D01G272200</t>
  </si>
  <si>
    <t>TraesCS4D01G277300</t>
  </si>
  <si>
    <t>TraesCS4D01G280300</t>
  </si>
  <si>
    <t>TraesCS4D01G281600</t>
  </si>
  <si>
    <t>TraesCS4D01G282000</t>
  </si>
  <si>
    <t>TraesCS4D01G285100</t>
  </si>
  <si>
    <t>TraesCS4D01G295200</t>
  </si>
  <si>
    <t>TraesCS4D01G299600</t>
  </si>
  <si>
    <t>TraesCS4D01G303700</t>
  </si>
  <si>
    <t>TraesCS4D01G305100</t>
  </si>
  <si>
    <t>TraesCS4D01G305300</t>
  </si>
  <si>
    <t>TraesCS4D01G314400</t>
  </si>
  <si>
    <t>TraesCS4D01G319400</t>
  </si>
  <si>
    <t>TraesCS4D01G322100</t>
  </si>
  <si>
    <t>TraesCS4D01G334300</t>
  </si>
  <si>
    <t>TraesCS4D01G334500</t>
  </si>
  <si>
    <t>TraesCS4D01G339400</t>
  </si>
  <si>
    <t>TraesCS4D01G340600</t>
  </si>
  <si>
    <t>TraesCS4D01G346700</t>
  </si>
  <si>
    <t>TraesCS4D01G349400</t>
  </si>
  <si>
    <t>TraesCS4D01G350000</t>
  </si>
  <si>
    <t>TraesCS4D01G351700</t>
  </si>
  <si>
    <t>TraesCS4D01G352400</t>
  </si>
  <si>
    <t>TraesCS4D01G356000</t>
  </si>
  <si>
    <t>TraesCS4D01G361600</t>
  </si>
  <si>
    <t>TraesCS5A01G009900</t>
  </si>
  <si>
    <t>TraesCS5A01G012500</t>
  </si>
  <si>
    <t>TraesCS5A01G012900</t>
  </si>
  <si>
    <t>TraesCS5A01G025700</t>
  </si>
  <si>
    <t>TraesCS5A01G029000</t>
  </si>
  <si>
    <t>TraesCS5A01G031700</t>
  </si>
  <si>
    <t>TraesCS5A01G054700</t>
  </si>
  <si>
    <t>TraesCS5A01G055000</t>
  </si>
  <si>
    <t>TraesCS5A01G056700</t>
  </si>
  <si>
    <t>TraesCS5A01G067400</t>
  </si>
  <si>
    <t>TraesCS5A01G075200</t>
  </si>
  <si>
    <t>TraesCS5A01G076000</t>
  </si>
  <si>
    <t>TraesCS5A01G088000</t>
  </si>
  <si>
    <t>TraesCS5A01G091900</t>
  </si>
  <si>
    <t>TraesCS5A01G102700</t>
  </si>
  <si>
    <t>TraesCS5A01G110100</t>
  </si>
  <si>
    <t>TraesCS5A01G114500</t>
  </si>
  <si>
    <t>TraesCS5A01G122400</t>
  </si>
  <si>
    <t>TraesCS5A01G123300</t>
  </si>
  <si>
    <t>TraesCS5A01G132500</t>
  </si>
  <si>
    <t>TraesCS5A01G138300</t>
  </si>
  <si>
    <t>TraesCS5A01G147100</t>
  </si>
  <si>
    <t>TraesCS5A01G157600</t>
  </si>
  <si>
    <t>TraesCS5A01G158700</t>
  </si>
  <si>
    <t>TraesCS5A01G160000</t>
  </si>
  <si>
    <t>TraesCS5A01G163200</t>
  </si>
  <si>
    <t>TraesCS5A01G169500</t>
  </si>
  <si>
    <t>TraesCS5A01G171200</t>
  </si>
  <si>
    <t>TraesCS5A01G173200</t>
  </si>
  <si>
    <t>TraesCS5A01G173600</t>
  </si>
  <si>
    <t>TraesCS5A01G181000</t>
  </si>
  <si>
    <t>TraesCS5A01G198200</t>
  </si>
  <si>
    <t>TraesCS5A01G202000</t>
  </si>
  <si>
    <t>TraesCS5A01G209500</t>
  </si>
  <si>
    <t>TraesCS5A01G209700</t>
  </si>
  <si>
    <t>TraesCS5A01G216500</t>
  </si>
  <si>
    <t>TraesCS5A01G220200</t>
  </si>
  <si>
    <t>TraesCS5A01G221000</t>
  </si>
  <si>
    <t>TraesCS5A01G223500</t>
  </si>
  <si>
    <t>TraesCS5A01G234300</t>
  </si>
  <si>
    <t>TraesCS5A01G236600</t>
  </si>
  <si>
    <t>TraesCS5A01G238500</t>
  </si>
  <si>
    <t>TraesCS5A01G239500</t>
  </si>
  <si>
    <t>TraesCS5A01G248700</t>
  </si>
  <si>
    <t>TraesCS5A01G263100</t>
  </si>
  <si>
    <t>TraesCS5A01G278100</t>
  </si>
  <si>
    <t>TraesCS5A01G293500</t>
  </si>
  <si>
    <t>TraesCS5A01G295300</t>
  </si>
  <si>
    <t>TraesCS5A01G298500</t>
  </si>
  <si>
    <t>TraesCS5A01G313600</t>
  </si>
  <si>
    <t>TraesCS5A01G317000</t>
  </si>
  <si>
    <t>TraesCS5A01G321800</t>
  </si>
  <si>
    <t>TraesCS5A01G325500</t>
  </si>
  <si>
    <t>TraesCS5A01G329600</t>
  </si>
  <si>
    <t>TraesCS5A01G344600</t>
  </si>
  <si>
    <t>TraesCS5A01G347500</t>
  </si>
  <si>
    <t>TraesCS5A01G361700</t>
  </si>
  <si>
    <t>TraesCS5A01G363400</t>
  </si>
  <si>
    <t>TraesCS5A01G371400</t>
  </si>
  <si>
    <t>TraesCS5A01G374200</t>
  </si>
  <si>
    <t>TraesCS5A01G379200</t>
  </si>
  <si>
    <t>TraesCS5A01G384500</t>
  </si>
  <si>
    <t>TraesCS5A01G401100</t>
  </si>
  <si>
    <t>TraesCS5A01G405700</t>
  </si>
  <si>
    <t>TraesCS5A01G406600</t>
  </si>
  <si>
    <t>TraesCS5A01G411300</t>
  </si>
  <si>
    <t>TraesCS5A01G426800</t>
  </si>
  <si>
    <t>TraesCS5A01G447400</t>
  </si>
  <si>
    <t>TraesCS5A01G450300</t>
  </si>
  <si>
    <t>TraesCS5A01G450600</t>
  </si>
  <si>
    <t>TraesCS5A01G472400</t>
  </si>
  <si>
    <t>TraesCS5A01G484800</t>
  </si>
  <si>
    <t>TraesCS5A01G486000</t>
  </si>
  <si>
    <t>TraesCS5A01G495100</t>
  </si>
  <si>
    <t>TraesCS5A01G497500</t>
  </si>
  <si>
    <t>TraesCS5A01G507900</t>
  </si>
  <si>
    <t>TraesCS5A01G511000</t>
  </si>
  <si>
    <t>TraesCS5A01G513200</t>
  </si>
  <si>
    <t>TraesCS5A01G514600</t>
  </si>
  <si>
    <t>TraesCS5A01G520900</t>
  </si>
  <si>
    <t>TraesCS5A01G525600</t>
  </si>
  <si>
    <t>TraesCS5A01G525700</t>
  </si>
  <si>
    <t>TraesCS5A01G527800</t>
  </si>
  <si>
    <t>TraesCS5A01G551300</t>
  </si>
  <si>
    <t>TraesCS5A01G558300</t>
  </si>
  <si>
    <t>TraesCS5B01G000300</t>
  </si>
  <si>
    <t>TraesCS5B01G003000</t>
  </si>
  <si>
    <t>TraesCS5B01G008100</t>
  </si>
  <si>
    <t>TraesCS5B01G010800</t>
  </si>
  <si>
    <t>TraesCS5B01G011100</t>
  </si>
  <si>
    <t>TraesCS5B01G011200</t>
  </si>
  <si>
    <t>TraesCS5B01G025000</t>
  </si>
  <si>
    <t>TraesCS5B01G032300</t>
  </si>
  <si>
    <t>TraesCS5B01G040800</t>
  </si>
  <si>
    <t>TraesCS5B01G054200</t>
  </si>
  <si>
    <t>TraesCS5B01G061500</t>
  </si>
  <si>
    <t>TraesCS5B01G061800</t>
  </si>
  <si>
    <t>TraesCS5B01G068900</t>
  </si>
  <si>
    <t>TraesCS5B01G081500</t>
  </si>
  <si>
    <t>TraesCS5B01G087300</t>
  </si>
  <si>
    <t>TraesCS5B01G106200</t>
  </si>
  <si>
    <t>TraesCS5B01G106700</t>
  </si>
  <si>
    <t>TraesCS5B01G109300</t>
  </si>
  <si>
    <t>TraesCS5B01G110400</t>
  </si>
  <si>
    <t>TraesCS5B01G112900</t>
  </si>
  <si>
    <t>TraesCS5B01G120700</t>
  </si>
  <si>
    <t>TraesCS5B01G122500</t>
  </si>
  <si>
    <t>TraesCS5B01G126400</t>
  </si>
  <si>
    <t>TraesCS5B01G131600</t>
  </si>
  <si>
    <t>TraesCS5B01G132400</t>
  </si>
  <si>
    <t>TraesCS5B01G137100</t>
  </si>
  <si>
    <t>TraesCS5B01G137600</t>
  </si>
  <si>
    <t>TraesCS5B01G138300</t>
  </si>
  <si>
    <t>TraesCS5B01G156100</t>
  </si>
  <si>
    <t>TraesCS5B01G156600</t>
  </si>
  <si>
    <t>TraesCS5B01G160600</t>
  </si>
  <si>
    <t>TraesCS5B01G166300</t>
  </si>
  <si>
    <t>TraesCS5B01G171000</t>
  </si>
  <si>
    <t>TraesCS5B01G175600</t>
  </si>
  <si>
    <t>TraesCS5B01G178700</t>
  </si>
  <si>
    <t>TraesCS5B01G191200</t>
  </si>
  <si>
    <t>TraesCS5B01G207600</t>
  </si>
  <si>
    <t>TraesCS5B01G215400</t>
  </si>
  <si>
    <t>TraesCS5B01G219800</t>
  </si>
  <si>
    <t>TraesCS5B01G222100</t>
  </si>
  <si>
    <t>TraesCS5B01G226400</t>
  </si>
  <si>
    <t>TraesCS5B01G227500</t>
  </si>
  <si>
    <t>TraesCS5B01G232200</t>
  </si>
  <si>
    <t>TraesCS5B01G232600</t>
  </si>
  <si>
    <t>TraesCS5B01G235100</t>
  </si>
  <si>
    <t>TraesCS5B01G237000</t>
  </si>
  <si>
    <t>TraesCS5B01G242400</t>
  </si>
  <si>
    <t>TraesCS5B01G242800</t>
  </si>
  <si>
    <t>TraesCS5B01G246400</t>
  </si>
  <si>
    <t>TraesCS5B01G256300</t>
  </si>
  <si>
    <t>TraesCS5B01G277500</t>
  </si>
  <si>
    <t>TraesCS5B01G291100</t>
  </si>
  <si>
    <t>TraesCS5B01G292600</t>
  </si>
  <si>
    <t>TraesCS5B01G296700</t>
  </si>
  <si>
    <t>TraesCS5B01G297700</t>
  </si>
  <si>
    <t>TraesCS5B01G305100</t>
  </si>
  <si>
    <t>TraesCS5B01G307800</t>
  </si>
  <si>
    <t>TraesCS5B01G314600</t>
  </si>
  <si>
    <t>TraesCS5B01G317600</t>
  </si>
  <si>
    <t>TraesCS5B01G322500</t>
  </si>
  <si>
    <t>TraesCS5B01G331200</t>
  </si>
  <si>
    <t>TraesCS5B01G351600</t>
  </si>
  <si>
    <t>TraesCS5B01G365500</t>
  </si>
  <si>
    <t>TraesCS5B01G373500</t>
  </si>
  <si>
    <t>TraesCS5B01G376100</t>
  </si>
  <si>
    <t>TraesCS5B01G379300</t>
  </si>
  <si>
    <t>TraesCS5B01G382700</t>
  </si>
  <si>
    <t>TraesCS5B01G386900</t>
  </si>
  <si>
    <t>TraesCS5B01G411600</t>
  </si>
  <si>
    <t>TraesCS5B01G416500</t>
  </si>
  <si>
    <t>TraesCS5B01G418800</t>
  </si>
  <si>
    <t>TraesCS5B01G428600</t>
  </si>
  <si>
    <t>TraesCS5B01G428700</t>
  </si>
  <si>
    <t>TraesCS5B01G441900</t>
  </si>
  <si>
    <t>TraesCS5B01G449700</t>
  </si>
  <si>
    <t>TraesCS5B01G452900</t>
  </si>
  <si>
    <t>TraesCS5B01G455900</t>
  </si>
  <si>
    <t>TraesCS5B01G458900</t>
  </si>
  <si>
    <t>TraesCS5B01G468000</t>
  </si>
  <si>
    <t>TraesCS5B01G481500</t>
  </si>
  <si>
    <t>TraesCS5B01G520000</t>
  </si>
  <si>
    <t>TraesCS5B01G523600</t>
  </si>
  <si>
    <t>TraesCS5B01G524300</t>
  </si>
  <si>
    <t>TraesCS5B01G556000</t>
  </si>
  <si>
    <t>TraesCS5B01G564000</t>
  </si>
  <si>
    <t>TraesCS5B01G572000</t>
  </si>
  <si>
    <t>TraesCS5D01G000200</t>
  </si>
  <si>
    <t>TraesCS5D01G000300</t>
  </si>
  <si>
    <t>TraesCS5D01G000400</t>
  </si>
  <si>
    <t>TraesCS5D01G001000</t>
  </si>
  <si>
    <t>TraesCS5D01G001700</t>
  </si>
  <si>
    <t>TraesCS5D01G015500</t>
  </si>
  <si>
    <t>TraesCS5D01G017700</t>
  </si>
  <si>
    <t>TraesCS5D01G018000</t>
  </si>
  <si>
    <t>TraesCS5D01G033500</t>
  </si>
  <si>
    <t>TraesCS5D01G065900</t>
  </si>
  <si>
    <t>TraesCS5D01G066300</t>
  </si>
  <si>
    <t>TraesCS5D01G081200</t>
  </si>
  <si>
    <t>TraesCS5D01G088700</t>
  </si>
  <si>
    <t>TraesCS5D01G092500</t>
  </si>
  <si>
    <t>TraesCS5D01G093500</t>
  </si>
  <si>
    <t>TraesCS5D01G099300</t>
  </si>
  <si>
    <t>TraesCS5D01G100400</t>
  </si>
  <si>
    <t>TraesCS5D01G104100</t>
  </si>
  <si>
    <t>TraesCS5D01G114100</t>
  </si>
  <si>
    <t>TraesCS5D01G118300</t>
  </si>
  <si>
    <t>TraesCS5D01G124000</t>
  </si>
  <si>
    <t>TraesCS5D01G124900</t>
  </si>
  <si>
    <t>TraesCS5D01G130800</t>
  </si>
  <si>
    <t>TraesCS5D01G140700</t>
  </si>
  <si>
    <t>TraesCS5D01G152400</t>
  </si>
  <si>
    <t>TraesCS5D01G153400</t>
  </si>
  <si>
    <t>TraesCS5D01G153800</t>
  </si>
  <si>
    <t>TraesCS5D01G163000</t>
  </si>
  <si>
    <t>TraesCS5D01G163800</t>
  </si>
  <si>
    <t>TraesCS5D01G165100</t>
  </si>
  <si>
    <t>TraesCS5D01G173900</t>
  </si>
  <si>
    <t>TraesCS5D01G177700</t>
  </si>
  <si>
    <t>TraesCS5D01G178100</t>
  </si>
  <si>
    <t>TraesCS5D01G185400</t>
  </si>
  <si>
    <t>TraesCS5D01G188900</t>
  </si>
  <si>
    <t>TraesCS5D01G199000</t>
  </si>
  <si>
    <t>TraesCS5D01G208300</t>
  </si>
  <si>
    <t>TraesCS5D01G215700</t>
  </si>
  <si>
    <t>TraesCS5D01G219100</t>
  </si>
  <si>
    <t>TraesCS5D01G224600</t>
  </si>
  <si>
    <t>TraesCS5D01G228700</t>
  </si>
  <si>
    <t>TraesCS5D01G231100</t>
  </si>
  <si>
    <t>TraesCS5D01G235700</t>
  </si>
  <si>
    <t>TraesCS5D01G238900</t>
  </si>
  <si>
    <t>TraesCS5D01G240600</t>
  </si>
  <si>
    <t>TraesCS5D01G241100</t>
  </si>
  <si>
    <t>TraesCS5D01G245400</t>
  </si>
  <si>
    <t>TraesCS5D01G251900</t>
  </si>
  <si>
    <t>TraesCS5D01G255800</t>
  </si>
  <si>
    <t>TraesCS5D01G258300</t>
  </si>
  <si>
    <t>TraesCS5D01G261000</t>
  </si>
  <si>
    <t>TraesCS5D01G268200</t>
  </si>
  <si>
    <t>TraesCS5D01G285100</t>
  </si>
  <si>
    <t>TraesCS5D01G288700</t>
  </si>
  <si>
    <t>TraesCS5D01G300100</t>
  </si>
  <si>
    <t>TraesCS5D01G300800</t>
  </si>
  <si>
    <t>TraesCS5D01G304500</t>
  </si>
  <si>
    <t>TraesCS5D01G305200</t>
  </si>
  <si>
    <t>TraesCS5D01G310600</t>
  </si>
  <si>
    <t>TraesCS5D01G319000</t>
  </si>
  <si>
    <t>TraesCS5D01G321300</t>
  </si>
  <si>
    <t>TraesCS5D01G323300</t>
  </si>
  <si>
    <t>TraesCS5D01G324000</t>
  </si>
  <si>
    <t>TraesCS5D01G328700</t>
  </si>
  <si>
    <t>TraesCS5D01G335700</t>
  </si>
  <si>
    <t>TraesCS5D01G346300</t>
  </si>
  <si>
    <t>TraesCS5D01G351700</t>
  </si>
  <si>
    <t>TraesCS5D01G351800</t>
  </si>
  <si>
    <t>TraesCS5D01G353600</t>
  </si>
  <si>
    <t>TraesCS5D01G362300</t>
  </si>
  <si>
    <t>TraesCS5D01G362700</t>
  </si>
  <si>
    <t>TraesCS5D01G372600</t>
  </si>
  <si>
    <t>TraesCS5D01G380800</t>
  </si>
  <si>
    <t>TraesCS5D01G389000</t>
  </si>
  <si>
    <t>TraesCS5D01G393200</t>
  </si>
  <si>
    <t>TraesCS5D01G416600</t>
  </si>
  <si>
    <t>TraesCS5D01G434700</t>
  </si>
  <si>
    <t>TraesCS5D01G434800</t>
  </si>
  <si>
    <t>TraesCS5D01G437000</t>
  </si>
  <si>
    <t>TraesCS5D01G444900</t>
  </si>
  <si>
    <t>TraesCS5D01G446200</t>
  </si>
  <si>
    <t>TraesCS5D01G452700</t>
  </si>
  <si>
    <t>TraesCS5D01G460500</t>
  </si>
  <si>
    <t>TraesCS5D01G465300</t>
  </si>
  <si>
    <t>TraesCS5D01G481800</t>
  </si>
  <si>
    <t>TraesCS5D01G498300</t>
  </si>
  <si>
    <t>TraesCS5D01G508100</t>
  </si>
  <si>
    <t>TraesCS5D01G510800</t>
  </si>
  <si>
    <t>TraesCS5D01G512000</t>
  </si>
  <si>
    <t>TraesCS5D01G517400</t>
  </si>
  <si>
    <t>TraesCS5D01G519300</t>
  </si>
  <si>
    <t>TraesCS5D01G531500</t>
  </si>
  <si>
    <t>TraesCS5D01G536400</t>
  </si>
  <si>
    <t>TraesCS5D01G550600</t>
  </si>
  <si>
    <t>TraesCS5D01G553500</t>
  </si>
  <si>
    <t>TraesCS5D01G560800</t>
  </si>
  <si>
    <t>TraesCS5D01G563000</t>
  </si>
  <si>
    <t>TraesCS6A01G005000</t>
  </si>
  <si>
    <t>TraesCS6A01G021100</t>
  </si>
  <si>
    <t>TraesCS6A01G023100</t>
  </si>
  <si>
    <t>TraesCS6A01G038700</t>
  </si>
  <si>
    <t>TraesCS6A01G043100</t>
  </si>
  <si>
    <t>TraesCS6A01G047000</t>
  </si>
  <si>
    <t>TraesCS6A01G061400</t>
  </si>
  <si>
    <t>TraesCS6A01G063300</t>
  </si>
  <si>
    <t>TraesCS6A01G071200</t>
  </si>
  <si>
    <t>TraesCS6A01G084500</t>
  </si>
  <si>
    <t>TraesCS6A01G088000</t>
  </si>
  <si>
    <t>TraesCS6A01G088600</t>
  </si>
  <si>
    <t>TraesCS6A01G095200</t>
  </si>
  <si>
    <t>TraesCS6A01G097200</t>
  </si>
  <si>
    <t>TraesCS6A01G098500</t>
  </si>
  <si>
    <t>TraesCS6A01G108700</t>
  </si>
  <si>
    <t>TraesCS6A01G121200</t>
  </si>
  <si>
    <t>TraesCS6A01G122700</t>
  </si>
  <si>
    <t>TraesCS6A01G134000</t>
  </si>
  <si>
    <t>TraesCS6A01G136500</t>
  </si>
  <si>
    <t>TraesCS6A01G137800</t>
  </si>
  <si>
    <t>TraesCS6A01G149900</t>
  </si>
  <si>
    <t>TraesCS6A01G150000</t>
  </si>
  <si>
    <t>TraesCS6A01G150200</t>
  </si>
  <si>
    <t>TraesCS6A01G152400</t>
  </si>
  <si>
    <t>TraesCS6A01G154100</t>
  </si>
  <si>
    <t>TraesCS6A01G154900</t>
  </si>
  <si>
    <t>TraesCS6A01G159000</t>
  </si>
  <si>
    <t>TraesCS6A01G160300</t>
  </si>
  <si>
    <t>TraesCS6A01G161700</t>
  </si>
  <si>
    <t>TraesCS6A01G162600</t>
  </si>
  <si>
    <t>TraesCS6A01G174100</t>
  </si>
  <si>
    <t>TraesCS6A01G177500</t>
  </si>
  <si>
    <t>TraesCS6A01G182800</t>
  </si>
  <si>
    <t>TraesCS6A01G192900</t>
  </si>
  <si>
    <t>TraesCS6A01G196000</t>
  </si>
  <si>
    <t>TraesCS6A01G200700</t>
  </si>
  <si>
    <t>TraesCS6A01G200800</t>
  </si>
  <si>
    <t>TraesCS6A01G218900</t>
  </si>
  <si>
    <t>TraesCS6A01G226500</t>
  </si>
  <si>
    <t>TraesCS6A01G227600</t>
  </si>
  <si>
    <t>TraesCS6A01G236900</t>
  </si>
  <si>
    <t>TraesCS6A01G242200</t>
  </si>
  <si>
    <t>TraesCS6A01G242500</t>
  </si>
  <si>
    <t>TraesCS6A01G243100</t>
  </si>
  <si>
    <t>TraesCS6A01G246200</t>
  </si>
  <si>
    <t>TraesCS6A01G247000</t>
  </si>
  <si>
    <t>TraesCS6A01G248800</t>
  </si>
  <si>
    <t>TraesCS6A01G255100</t>
  </si>
  <si>
    <t>TraesCS6A01G258700</t>
  </si>
  <si>
    <t>TraesCS6A01G262000</t>
  </si>
  <si>
    <t>TraesCS6A01G269800</t>
  </si>
  <si>
    <t>TraesCS6A01G280100</t>
  </si>
  <si>
    <t>TraesCS6A01G280200</t>
  </si>
  <si>
    <t>TraesCS6A01G287900</t>
  </si>
  <si>
    <t>TraesCS6A01G288200</t>
  </si>
  <si>
    <t>TraesCS6A01G292400</t>
  </si>
  <si>
    <t>TraesCS6A01G293800</t>
  </si>
  <si>
    <t>TraesCS6A01G301400</t>
  </si>
  <si>
    <t>TraesCS6A01G302300</t>
  </si>
  <si>
    <t>TraesCS6A01G302500</t>
  </si>
  <si>
    <t>TraesCS6A01G302900</t>
  </si>
  <si>
    <t>TraesCS6A01G305600</t>
  </si>
  <si>
    <t>TraesCS6A01G306700</t>
  </si>
  <si>
    <t>TraesCS6A01G308400</t>
  </si>
  <si>
    <t>TraesCS6A01G310700</t>
  </si>
  <si>
    <t>TraesCS6A01G325100</t>
  </si>
  <si>
    <t>TraesCS6A01G325700</t>
  </si>
  <si>
    <t>TraesCS6A01G327900</t>
  </si>
  <si>
    <t>TraesCS6A01G330000</t>
  </si>
  <si>
    <t>TraesCS6A01G339500</t>
  </si>
  <si>
    <t>TraesCS6A01G343800</t>
  </si>
  <si>
    <t>TraesCS6A01G346100</t>
  </si>
  <si>
    <t>TraesCS6A01G347700</t>
  </si>
  <si>
    <t>TraesCS6A01G353500</t>
  </si>
  <si>
    <t>TraesCS6A01G356000</t>
  </si>
  <si>
    <t>TraesCS6A01G359900</t>
  </si>
  <si>
    <t>TraesCS6A01G367600</t>
  </si>
  <si>
    <t>TraesCS6A01G371800</t>
  </si>
  <si>
    <t>TraesCS6A01G373300</t>
  </si>
  <si>
    <t>TraesCS6A01G376200</t>
  </si>
  <si>
    <t>TraesCS6A01G378200</t>
  </si>
  <si>
    <t>TraesCS6A01G386100</t>
  </si>
  <si>
    <t>TraesCS6A01G395000</t>
  </si>
  <si>
    <t>TraesCS6A01G398800</t>
  </si>
  <si>
    <t>TraesCS6A01G402000</t>
  </si>
  <si>
    <t>TraesCS6A01G404600</t>
  </si>
  <si>
    <t>TraesCS6A01G404700</t>
  </si>
  <si>
    <t>TraesCS6A01G412300</t>
  </si>
  <si>
    <t>TraesCS6A01G413200</t>
  </si>
  <si>
    <t>TraesCS6A01G415400</t>
  </si>
  <si>
    <t>TraesCS6A01G418500</t>
  </si>
  <si>
    <t>TraesCS6A01G421000</t>
  </si>
  <si>
    <t>TraesCS6B01G010400</t>
  </si>
  <si>
    <t>TraesCS6B01G013600</t>
  </si>
  <si>
    <t>TraesCS6B01G053300</t>
  </si>
  <si>
    <t>TraesCS6B01G058700</t>
  </si>
  <si>
    <t>TraesCS6B01G084500</t>
  </si>
  <si>
    <t>TraesCS6B01G095600</t>
  </si>
  <si>
    <t>TraesCS6B01G095700</t>
  </si>
  <si>
    <t>TraesCS6B01G110400</t>
  </si>
  <si>
    <t>TraesCS6B01G111000</t>
  </si>
  <si>
    <t>TraesCS6B01G111900</t>
  </si>
  <si>
    <t>TraesCS6B01G117400</t>
  </si>
  <si>
    <t>TraesCS6B01G123200</t>
  </si>
  <si>
    <t>TraesCS6B01G125700</t>
  </si>
  <si>
    <t>TraesCS6B01G128200</t>
  </si>
  <si>
    <t>TraesCS6B01G129900</t>
  </si>
  <si>
    <t>TraesCS6B01G137200</t>
  </si>
  <si>
    <t>TraesCS6B01G149500</t>
  </si>
  <si>
    <t>TraesCS6B01G150900</t>
  </si>
  <si>
    <t>TraesCS6B01G161700</t>
  </si>
  <si>
    <t>TraesCS6B01G162200</t>
  </si>
  <si>
    <t>TraesCS6B01G163200</t>
  </si>
  <si>
    <t>TraesCS6B01G164400</t>
  </si>
  <si>
    <t>TraesCS6B01G165100</t>
  </si>
  <si>
    <t>TraesCS6B01G170600</t>
  </si>
  <si>
    <t>TraesCS6B01G177800</t>
  </si>
  <si>
    <t>TraesCS6B01G178300</t>
  </si>
  <si>
    <t>TraesCS6B01G182900</t>
  </si>
  <si>
    <t>TraesCS6B01G188600</t>
  </si>
  <si>
    <t>TraesCS6B01G189500</t>
  </si>
  <si>
    <t>TraesCS6B01G191100</t>
  </si>
  <si>
    <t>TraesCS6B01G202700</t>
  </si>
  <si>
    <t>TraesCS6B01G213600</t>
  </si>
  <si>
    <t>TraesCS6B01G215900</t>
  </si>
  <si>
    <t>TraesCS6B01G254300</t>
  </si>
  <si>
    <t>TraesCS6B01G263000</t>
  </si>
  <si>
    <t>TraesCS6B01G265100</t>
  </si>
  <si>
    <t>TraesCS6B01G266700</t>
  </si>
  <si>
    <t>TraesCS6B01G270400</t>
  </si>
  <si>
    <t>TraesCS6B01G276000</t>
  </si>
  <si>
    <t>TraesCS6B01G277600</t>
  </si>
  <si>
    <t>TraesCS6B01G278300</t>
  </si>
  <si>
    <t>TraesCS6B01G282100</t>
  </si>
  <si>
    <t>TraesCS6B01G282600</t>
  </si>
  <si>
    <t>TraesCS6B01G284900</t>
  </si>
  <si>
    <t>TraesCS6B01G289100</t>
  </si>
  <si>
    <t>TraesCS6B01G308000</t>
  </si>
  <si>
    <t>TraesCS6B01G314200</t>
  </si>
  <si>
    <t>TraesCS6B01G316300</t>
  </si>
  <si>
    <t>TraesCS6B01G317700</t>
  </si>
  <si>
    <t>TraesCS6B01G321400</t>
  </si>
  <si>
    <t>TraesCS6B01G321600</t>
  </si>
  <si>
    <t>TraesCS6B01G324300</t>
  </si>
  <si>
    <t>TraesCS6B01G330000</t>
  </si>
  <si>
    <t>TraesCS6B01G330600</t>
  </si>
  <si>
    <t>TraesCS6B01G331500</t>
  </si>
  <si>
    <t>TraesCS6B01G332200</t>
  </si>
  <si>
    <t>TraesCS6B01G332900</t>
  </si>
  <si>
    <t>TraesCS6B01G337100</t>
  </si>
  <si>
    <t>TraesCS6B01G353700</t>
  </si>
  <si>
    <t>TraesCS6B01G353800</t>
  </si>
  <si>
    <t>TraesCS6B01G355700</t>
  </si>
  <si>
    <t>TraesCS6B01G355800</t>
  </si>
  <si>
    <t>TraesCS6B01G355900</t>
  </si>
  <si>
    <t>TraesCS6B01G357700</t>
  </si>
  <si>
    <t>TraesCS6B01G363800</t>
  </si>
  <si>
    <t>TraesCS6B01G368300</t>
  </si>
  <si>
    <t>TraesCS6B01G370500</t>
  </si>
  <si>
    <t>TraesCS6B01G386100</t>
  </si>
  <si>
    <t>TraesCS6B01G392900</t>
  </si>
  <si>
    <t>TraesCS6B01G400800</t>
  </si>
  <si>
    <t>TraesCS6B01G400900</t>
  </si>
  <si>
    <t>TraesCS6B01G401100</t>
  </si>
  <si>
    <t>TraesCS6B01G408000</t>
  </si>
  <si>
    <t>TraesCS6B01G409400</t>
  </si>
  <si>
    <t>TraesCS6B01G416000</t>
  </si>
  <si>
    <t>TraesCS6B01G428500</t>
  </si>
  <si>
    <t>TraesCS6B01G434600</t>
  </si>
  <si>
    <t>TraesCS6B01G434900</t>
  </si>
  <si>
    <t>TraesCS6B01G439100</t>
  </si>
  <si>
    <t>TraesCS6B01G444100</t>
  </si>
  <si>
    <t>TraesCS6B01G449800</t>
  </si>
  <si>
    <t>TraesCS6B01G462400</t>
  </si>
  <si>
    <t>TraesCS6B01G466600</t>
  </si>
  <si>
    <t>TraesCS6B01G467300</t>
  </si>
  <si>
    <t>TraesCS6D01G007600</t>
  </si>
  <si>
    <t>TraesCS6D01G011100</t>
  </si>
  <si>
    <t>TraesCS6D01G024100</t>
  </si>
  <si>
    <t>TraesCS6D01G027900</t>
  </si>
  <si>
    <t>TraesCS6D01G044300</t>
  </si>
  <si>
    <t>TraesCS6D01G044500</t>
  </si>
  <si>
    <t>TraesCS6D01G049500</t>
  </si>
  <si>
    <t>TraesCS6D01G061500</t>
  </si>
  <si>
    <t>TraesCS6D01G063200</t>
  </si>
  <si>
    <t>TraesCS6D01G069300</t>
  </si>
  <si>
    <t>TraesCS6D01G075900</t>
  </si>
  <si>
    <t>TraesCS6D01G077900</t>
  </si>
  <si>
    <t>TraesCS6D01G082300</t>
  </si>
  <si>
    <t>TraesCS6D01G085200</t>
  </si>
  <si>
    <t>TraesCS6D01G096100</t>
  </si>
  <si>
    <t>TraesCS6D01G096900</t>
  </si>
  <si>
    <t>TraesCS6D01G098800</t>
  </si>
  <si>
    <t>TraesCS6D01G111300</t>
  </si>
  <si>
    <t>TraesCS6D01G112900</t>
  </si>
  <si>
    <t>TraesCS6D01G122900</t>
  </si>
  <si>
    <t>TraesCS6D01G124300</t>
  </si>
  <si>
    <t>TraesCS6D01G125500</t>
  </si>
  <si>
    <t>TraesCS6D01G126900</t>
  </si>
  <si>
    <t>TraesCS6D01G139200</t>
  </si>
  <si>
    <t>TraesCS6D01G139700</t>
  </si>
  <si>
    <t>TraesCS6D01G139900</t>
  </si>
  <si>
    <t>TraesCS6D01G143700</t>
  </si>
  <si>
    <t>TraesCS6D01G144800</t>
  </si>
  <si>
    <t>TraesCS6D01G149600</t>
  </si>
  <si>
    <t>TraesCS6D01G150500</t>
  </si>
  <si>
    <t>TraesCS6D01G152400</t>
  </si>
  <si>
    <t>TraesCS6D01G163200</t>
  </si>
  <si>
    <t>TraesCS6D01G170500</t>
  </si>
  <si>
    <t>TraesCS6D01G172000</t>
  </si>
  <si>
    <t>TraesCS6D01G177300</t>
  </si>
  <si>
    <t>TraesCS6D01G183300</t>
  </si>
  <si>
    <t>TraesCS6D01G184000</t>
  </si>
  <si>
    <t>TraesCS6D01G186700</t>
  </si>
  <si>
    <t>TraesCS6D01G189200</t>
  </si>
  <si>
    <t>TraesCS6D01G207400</t>
  </si>
  <si>
    <t>TraesCS6D01G208500</t>
  </si>
  <si>
    <t>TraesCS6D01G218700</t>
  </si>
  <si>
    <t>TraesCS6D01G223800</t>
  </si>
  <si>
    <t>TraesCS6D01G224100</t>
  </si>
  <si>
    <t>TraesCS6D01G228600</t>
  </si>
  <si>
    <t>TraesCS6D01G229200</t>
  </si>
  <si>
    <t>TraesCS6D01G230900</t>
  </si>
  <si>
    <t>TraesCS6D01G236400</t>
  </si>
  <si>
    <t>TraesCS6D01G239900</t>
  </si>
  <si>
    <t>TraesCS6D01G249000</t>
  </si>
  <si>
    <t>TraesCS6D01G260500</t>
  </si>
  <si>
    <t>TraesCS6D01G263400</t>
  </si>
  <si>
    <t>TraesCS6D01G266400</t>
  </si>
  <si>
    <t>TraesCS6D01G268600</t>
  </si>
  <si>
    <t>TraesCS6D01G270800</t>
  </si>
  <si>
    <t>TraesCS6D01G274700</t>
  </si>
  <si>
    <t>TraesCS6D01G281800</t>
  </si>
  <si>
    <t>TraesCS6D01G305100</t>
  </si>
  <si>
    <t>TraesCS6D01G307500</t>
  </si>
  <si>
    <t>TraesCS6D01G312500</t>
  </si>
  <si>
    <t>TraesCS6D01G318500</t>
  </si>
  <si>
    <t>TraesCS6D01G320100</t>
  </si>
  <si>
    <t>TraesCS6D01G321700</t>
  </si>
  <si>
    <t>TraesCS6D01G329000</t>
  </si>
  <si>
    <t>TraesCS6D01G333500</t>
  </si>
  <si>
    <t>TraesCS6D01G335800</t>
  </si>
  <si>
    <t>TraesCS6D01G355800</t>
  </si>
  <si>
    <t>TraesCS6D01G380300</t>
  </si>
  <si>
    <t>TraesCS6D01G384400</t>
  </si>
  <si>
    <t>TraesCS6D01G388000</t>
  </si>
  <si>
    <t>TraesCS6D01G389100</t>
  </si>
  <si>
    <t>TraesCS6D01G397200</t>
  </si>
  <si>
    <t>TraesCS6D01G397800</t>
  </si>
  <si>
    <t>TraesCS6D01G403800</t>
  </si>
  <si>
    <t>TraesCS6D01G404800</t>
  </si>
  <si>
    <t>TraesCS7A01G014000</t>
  </si>
  <si>
    <t>TraesCS7A01G050500</t>
  </si>
  <si>
    <t>TraesCS7A01G055000</t>
  </si>
  <si>
    <t>TraesCS7A01G061500</t>
  </si>
  <si>
    <t>TraesCS7A01G068800</t>
  </si>
  <si>
    <t>TraesCS7A01G075600</t>
  </si>
  <si>
    <t>TraesCS7A01G078800</t>
  </si>
  <si>
    <t>TraesCS7A01G100600</t>
  </si>
  <si>
    <t>TraesCS7A01G121300</t>
  </si>
  <si>
    <t>TraesCS7A01G126600</t>
  </si>
  <si>
    <t>TraesCS7A01G136600</t>
  </si>
  <si>
    <t>TraesCS7A01G145400</t>
  </si>
  <si>
    <t>TraesCS7A01G146200</t>
  </si>
  <si>
    <t>TraesCS7A01G152300</t>
  </si>
  <si>
    <t>TraesCS7A01G155200</t>
  </si>
  <si>
    <t>TraesCS7A01G155300</t>
  </si>
  <si>
    <t>TraesCS7A01G156500</t>
  </si>
  <si>
    <t>TraesCS7A01G161400</t>
  </si>
  <si>
    <t>TraesCS7A01G163700</t>
  </si>
  <si>
    <t>TraesCS7A01G171100</t>
  </si>
  <si>
    <t>TraesCS7A01G175200</t>
  </si>
  <si>
    <t>TraesCS7A01G178400</t>
  </si>
  <si>
    <t>TraesCS7A01G181500</t>
  </si>
  <si>
    <t>TraesCS7A01G185400</t>
  </si>
  <si>
    <t>TraesCS7A01G195200</t>
  </si>
  <si>
    <t>TraesCS7A01G200200</t>
  </si>
  <si>
    <t>TraesCS7A01G203900</t>
  </si>
  <si>
    <t>TraesCS7A01G204500</t>
  </si>
  <si>
    <t>TraesCS7A01G219100</t>
  </si>
  <si>
    <t>TraesCS7A01G220900</t>
  </si>
  <si>
    <t>TraesCS7A01G221900</t>
  </si>
  <si>
    <t>TraesCS7A01G224600</t>
  </si>
  <si>
    <t>TraesCS7A01G227700</t>
  </si>
  <si>
    <t>TraesCS7A01G234000</t>
  </si>
  <si>
    <t>TraesCS7A01G246800</t>
  </si>
  <si>
    <t>TraesCS7A01G247900</t>
  </si>
  <si>
    <t>TraesCS7A01G256200</t>
  </si>
  <si>
    <t>TraesCS7A01G258300</t>
  </si>
  <si>
    <t>TraesCS7A01G260500</t>
  </si>
  <si>
    <t>TraesCS7A01G263700</t>
  </si>
  <si>
    <t>TraesCS7A01G266400</t>
  </si>
  <si>
    <t>TraesCS7A01G267000</t>
  </si>
  <si>
    <t>TraesCS7A01G271700</t>
  </si>
  <si>
    <t>TraesCS7A01G272100</t>
  </si>
  <si>
    <t>TraesCS7A01G285400</t>
  </si>
  <si>
    <t>TraesCS7A01G293900</t>
  </si>
  <si>
    <t>TraesCS7A01G297200</t>
  </si>
  <si>
    <t>TraesCS7A01G298100</t>
  </si>
  <si>
    <t>TraesCS7A01G298200</t>
  </si>
  <si>
    <t>TraesCS7A01G306000</t>
  </si>
  <si>
    <t>TraesCS7A01G310600</t>
  </si>
  <si>
    <t>TraesCS7A01G331500</t>
  </si>
  <si>
    <t>TraesCS7A01G335600</t>
  </si>
  <si>
    <t>TraesCS7A01G357800</t>
  </si>
  <si>
    <t>TraesCS7A01G365700</t>
  </si>
  <si>
    <t>TraesCS7A01G368400</t>
  </si>
  <si>
    <t>TraesCS7A01G378700</t>
  </si>
  <si>
    <t>TraesCS7A01G378900</t>
  </si>
  <si>
    <t>TraesCS7A01G381800</t>
  </si>
  <si>
    <t>TraesCS7A01G383300</t>
  </si>
  <si>
    <t>TraesCS7A01G385800</t>
  </si>
  <si>
    <t>TraesCS7A01G406300</t>
  </si>
  <si>
    <t>TraesCS7A01G416100</t>
  </si>
  <si>
    <t>TraesCS7A01G416400</t>
  </si>
  <si>
    <t>TraesCS7A01G417900</t>
  </si>
  <si>
    <t>TraesCS7A01G423900</t>
  </si>
  <si>
    <t>TraesCS7A01G424800</t>
  </si>
  <si>
    <t>TraesCS7A01G426100</t>
  </si>
  <si>
    <t>TraesCS7A01G426600</t>
  </si>
  <si>
    <t>TraesCS7A01G426900</t>
  </si>
  <si>
    <t>TraesCS7A01G427000</t>
  </si>
  <si>
    <t>TraesCS7A01G427900</t>
  </si>
  <si>
    <t>TraesCS7A01G441900</t>
  </si>
  <si>
    <t>TraesCS7A01G442100</t>
  </si>
  <si>
    <t>TraesCS7A01G444200</t>
  </si>
  <si>
    <t>TraesCS7A01G453100</t>
  </si>
  <si>
    <t>TraesCS7A01G453400</t>
  </si>
  <si>
    <t>TraesCS7A01G454300</t>
  </si>
  <si>
    <t>TraesCS7A01G458700</t>
  </si>
  <si>
    <t>TraesCS7A01G465200</t>
  </si>
  <si>
    <t>TraesCS7A01G471500</t>
  </si>
  <si>
    <t>TraesCS7A01G479100</t>
  </si>
  <si>
    <t>TraesCS7A01G488800</t>
  </si>
  <si>
    <t>TraesCS7A01G490500</t>
  </si>
  <si>
    <t>TraesCS7A01G495600</t>
  </si>
  <si>
    <t>TraesCS7A01G499500</t>
  </si>
  <si>
    <t>TraesCS7A01G505100</t>
  </si>
  <si>
    <t>TraesCS7A01G515200</t>
  </si>
  <si>
    <t>TraesCS7A01G520500</t>
  </si>
  <si>
    <t>TraesCS7A01G532800</t>
  </si>
  <si>
    <t>TraesCS7A01G538700</t>
  </si>
  <si>
    <t>TraesCS7A01G545200</t>
  </si>
  <si>
    <t>TraesCS7A01G549700</t>
  </si>
  <si>
    <t>TraesCS7A01G553800</t>
  </si>
  <si>
    <t>TraesCS7A01G555300</t>
  </si>
  <si>
    <t>TraesCS7A01G557400</t>
  </si>
  <si>
    <t>TraesCS7A01G557700</t>
  </si>
  <si>
    <t>TraesCS7A01G557900</t>
  </si>
  <si>
    <t>TraesCS7A01G561600</t>
  </si>
  <si>
    <t>TraesCS7A01G569400</t>
  </si>
  <si>
    <t>TraesCS7B01G000900</t>
  </si>
  <si>
    <t>TraesCS7B01G026000</t>
  </si>
  <si>
    <t>TraesCS7B01G034400</t>
  </si>
  <si>
    <t>TraesCS7B01G042300</t>
  </si>
  <si>
    <t>TraesCS7B01G047600</t>
  </si>
  <si>
    <t>TraesCS7B01G048700</t>
  </si>
  <si>
    <t>TraesCS7B01G059300</t>
  </si>
  <si>
    <t>TraesCS7B01G059400</t>
  </si>
  <si>
    <t>TraesCS7B01G066500</t>
  </si>
  <si>
    <t>TraesCS7B01G076200</t>
  </si>
  <si>
    <t>TraesCS7B01G077100</t>
  </si>
  <si>
    <t>TraesCS7B01G080300</t>
  </si>
  <si>
    <t>TraesCS7B01G084100</t>
  </si>
  <si>
    <t>TraesCS7B01G086400</t>
  </si>
  <si>
    <t>TraesCS7B01G094100</t>
  </si>
  <si>
    <t>TraesCS7B01G094200</t>
  </si>
  <si>
    <t>TraesCS7B01G106900</t>
  </si>
  <si>
    <t>TraesCS7B01G111700</t>
  </si>
  <si>
    <t>TraesCS7B01G131000</t>
  </si>
  <si>
    <t>TraesCS7B01G132400</t>
  </si>
  <si>
    <t>TraesCS7B01G142500</t>
  </si>
  <si>
    <t>TraesCS7B01G143600</t>
  </si>
  <si>
    <t>TraesCS7B01G155700</t>
  </si>
  <si>
    <t>TraesCS7B01G156400</t>
  </si>
  <si>
    <t>TraesCS7B01G158500</t>
  </si>
  <si>
    <t>TraesCS7B01G161700</t>
  </si>
  <si>
    <t>TraesCS7B01G161800</t>
  </si>
  <si>
    <t>TraesCS7B01G163700</t>
  </si>
  <si>
    <t>TraesCS7B01G165200</t>
  </si>
  <si>
    <t>TraesCS7B01G167700</t>
  </si>
  <si>
    <t>TraesCS7B01G168800</t>
  </si>
  <si>
    <t>TraesCS7B01G170300</t>
  </si>
  <si>
    <t>TraesCS7B01G186600</t>
  </si>
  <si>
    <t>TraesCS7B01G191200</t>
  </si>
  <si>
    <t>TraesCS7B01G191800</t>
  </si>
  <si>
    <t>TraesCS7B01G197100</t>
  </si>
  <si>
    <t>TraesCS7B01G199800</t>
  </si>
  <si>
    <t>TraesCS7B01G206200</t>
  </si>
  <si>
    <t>TraesCS7B01G210400</t>
  </si>
  <si>
    <t>TraesCS7B01G220900</t>
  </si>
  <si>
    <t>TraesCS7B01G243000</t>
  </si>
  <si>
    <t>TraesCS7B01G253100</t>
  </si>
  <si>
    <t>TraesCS7B01G260100</t>
  </si>
  <si>
    <t>TraesCS7B01G261700</t>
  </si>
  <si>
    <t>TraesCS7B01G262500</t>
  </si>
  <si>
    <t>TraesCS7B01G264600</t>
  </si>
  <si>
    <t>TraesCS7B01G280500</t>
  </si>
  <si>
    <t>TraesCS7B01G280800</t>
  </si>
  <si>
    <t>TraesCS7B01G284300</t>
  </si>
  <si>
    <t>TraesCS7B01G286200</t>
  </si>
  <si>
    <t>TraesCS7B01G286300</t>
  </si>
  <si>
    <t>TraesCS7B01G291100</t>
  </si>
  <si>
    <t>TraesCS7B01G293200</t>
  </si>
  <si>
    <t>TraesCS7B01G304400</t>
  </si>
  <si>
    <t>TraesCS7B01G304500</t>
  </si>
  <si>
    <t>TraesCS7B01G305000</t>
  </si>
  <si>
    <t>TraesCS7B01G316100</t>
  </si>
  <si>
    <t>TraesCS7B01G316600</t>
  </si>
  <si>
    <t>TraesCS7B01G317100</t>
  </si>
  <si>
    <t>TraesCS7B01G318000</t>
  </si>
  <si>
    <t>TraesCS7B01G325100</t>
  </si>
  <si>
    <t>TraesCS7B01G326200</t>
  </si>
  <si>
    <t>TraesCS7B01G326900</t>
  </si>
  <si>
    <t>TraesCS7B01G328100</t>
  </si>
  <si>
    <t>TraesCS7B01G340500</t>
  </si>
  <si>
    <t>TraesCS7B01G350300</t>
  </si>
  <si>
    <t>TraesCS7B01G353600</t>
  </si>
  <si>
    <t>TraesCS7B01G354800</t>
  </si>
  <si>
    <t>TraesCS7B01G361900</t>
  </si>
  <si>
    <t>TraesCS7B01G366400</t>
  </si>
  <si>
    <t>TraesCS7B01G374500</t>
  </si>
  <si>
    <t>TraesCS7B01G376800</t>
  </si>
  <si>
    <t>TraesCS7B01G381500</t>
  </si>
  <si>
    <t>TraesCS7B01G392000</t>
  </si>
  <si>
    <t>TraesCS7B01G401700</t>
  </si>
  <si>
    <t>TraesCS7B01G412600</t>
  </si>
  <si>
    <t>TraesCS7B01G424600</t>
  </si>
  <si>
    <t>TraesCS7B01G431900</t>
  </si>
  <si>
    <t>TraesCS7B01G436900</t>
  </si>
  <si>
    <t>TraesCS7B01G444700</t>
  </si>
  <si>
    <t>TraesCS7B01G445500</t>
  </si>
  <si>
    <t>TraesCS7B01G450800</t>
  </si>
  <si>
    <t>TraesCS7B01G478200</t>
  </si>
  <si>
    <t>TraesCS7B01G481200</t>
  </si>
  <si>
    <t>TraesCS7B01G482100</t>
  </si>
  <si>
    <t>TraesCS7B01G482300</t>
  </si>
  <si>
    <t>TraesCS7B01G488900</t>
  </si>
  <si>
    <t>TraesCS7B01G489300</t>
  </si>
  <si>
    <t>TraesCS7B01G492000</t>
  </si>
  <si>
    <t>TraesCS7D01G011200</t>
  </si>
  <si>
    <t>TraesCS7D01G030600</t>
  </si>
  <si>
    <t>TraesCS7D01G045800</t>
  </si>
  <si>
    <t>TraesCS7D01G050100</t>
  </si>
  <si>
    <t>TraesCS7D01G053100</t>
  </si>
  <si>
    <t>TraesCS7D01G056400</t>
  </si>
  <si>
    <t>TraesCS7D01G097900</t>
  </si>
  <si>
    <t>TraesCS7D01G103500</t>
  </si>
  <si>
    <t>TraesCS7D01G124500</t>
  </si>
  <si>
    <t>TraesCS7D01G136200</t>
  </si>
  <si>
    <t>TraesCS7D01G136500</t>
  </si>
  <si>
    <t>TraesCS7D01G146700</t>
  </si>
  <si>
    <t>TraesCS7D01G147700</t>
  </si>
  <si>
    <t>TraesCS7D01G155500</t>
  </si>
  <si>
    <t>TraesCS7D01G155600</t>
  </si>
  <si>
    <t>TraesCS7D01G162700</t>
  </si>
  <si>
    <t>TraesCS7D01G165800</t>
  </si>
  <si>
    <t>TraesCS7D01G171900</t>
  </si>
  <si>
    <t>TraesCS7D01G183100</t>
  </si>
  <si>
    <t>TraesCS7D01G186000</t>
  </si>
  <si>
    <t>TraesCS7D01G196700</t>
  </si>
  <si>
    <t>TraesCS7D01G202900</t>
  </si>
  <si>
    <t>TraesCS7D01G203200</t>
  </si>
  <si>
    <t>TraesCS7D01G207600</t>
  </si>
  <si>
    <t>TraesCS7D01G215800</t>
  </si>
  <si>
    <t>TraesCS7D01G226100</t>
  </si>
  <si>
    <t>TraesCS7D01G226700</t>
  </si>
  <si>
    <t>TraesCS7D01G227100</t>
  </si>
  <si>
    <t>TraesCS7D01G232700</t>
  </si>
  <si>
    <t>TraesCS7D01G233100</t>
  </si>
  <si>
    <t>TraesCS7D01G234300</t>
  </si>
  <si>
    <t>TraesCS7D01G241800</t>
  </si>
  <si>
    <t>TraesCS7D01G246700</t>
  </si>
  <si>
    <t>TraesCS7D01G257000</t>
  </si>
  <si>
    <t>TraesCS7D01G259800</t>
  </si>
  <si>
    <t>TraesCS7D01G261500</t>
  </si>
  <si>
    <t>TraesCS7D01G264600</t>
  </si>
  <si>
    <t>TraesCS7D01G264700</t>
  </si>
  <si>
    <t>TraesCS7D01G267700</t>
  </si>
  <si>
    <t>TraesCS7D01G271100</t>
  </si>
  <si>
    <t>TraesCS7D01G272000</t>
  </si>
  <si>
    <t>TraesCS7D01G272400</t>
  </si>
  <si>
    <t>TraesCS7D01G272600</t>
  </si>
  <si>
    <t>TraesCS7D01G282800</t>
  </si>
  <si>
    <t>TraesCS7D01G284000</t>
  </si>
  <si>
    <t>TraesCS7D01G289800</t>
  </si>
  <si>
    <t>TraesCS7D01G291600</t>
  </si>
  <si>
    <t>TraesCS7D01G294000</t>
  </si>
  <si>
    <t>TraesCS7D01G302700</t>
  </si>
  <si>
    <t>TraesCS7D01G307100</t>
  </si>
  <si>
    <t>TraesCS7D01G313600</t>
  </si>
  <si>
    <t>TraesCS7D01G332400</t>
  </si>
  <si>
    <t>TraesCS7D01G344700</t>
  </si>
  <si>
    <t>TraesCS7D01G351000</t>
  </si>
  <si>
    <t>TraesCS7D01G354500</t>
  </si>
  <si>
    <t>TraesCS7D01G357700</t>
  </si>
  <si>
    <t>TraesCS7D01G359800</t>
  </si>
  <si>
    <t>TraesCS7D01G359900</t>
  </si>
  <si>
    <t>TraesCS7D01G366100</t>
  </si>
  <si>
    <t>TraesCS7D01G371800</t>
  </si>
  <si>
    <t>TraesCS7D01G375600</t>
  </si>
  <si>
    <t>TraesCS7D01G375800</t>
  </si>
  <si>
    <t>TraesCS7D01G378300</t>
  </si>
  <si>
    <t>TraesCS7D01G379800</t>
  </si>
  <si>
    <t>TraesCS7D01G380100</t>
  </si>
  <si>
    <t>TraesCS7D01G382400</t>
  </si>
  <si>
    <t>TraesCS7D01G387000</t>
  </si>
  <si>
    <t>TraesCS7D01G409400</t>
  </si>
  <si>
    <t>TraesCS7D01G409700</t>
  </si>
  <si>
    <t>TraesCS7D01G410900</t>
  </si>
  <si>
    <t>TraesCS7D01G414900</t>
  </si>
  <si>
    <t>TraesCS7D01G416800</t>
  </si>
  <si>
    <t>TraesCS7D01G417600</t>
  </si>
  <si>
    <t>TraesCS7D01G418700</t>
  </si>
  <si>
    <t>TraesCS7D01G418900</t>
  </si>
  <si>
    <t>TraesCS7D01G419000</t>
  </si>
  <si>
    <t>TraesCS7D01G419100</t>
  </si>
  <si>
    <t>TraesCS7D01G421200</t>
  </si>
  <si>
    <t>TraesCS7D01G431100</t>
  </si>
  <si>
    <t>TraesCS7D01G431200</t>
  </si>
  <si>
    <t>TraesCS7D01G431300</t>
  </si>
  <si>
    <t>TraesCS7D01G442500</t>
  </si>
  <si>
    <t>TraesCS7D01G443400</t>
  </si>
  <si>
    <t>TraesCS7D01G447300</t>
  </si>
  <si>
    <t>TraesCS7D01G452900</t>
  </si>
  <si>
    <t>TraesCS7D01G460200</t>
  </si>
  <si>
    <t>TraesCS7D01G462800</t>
  </si>
  <si>
    <t>TraesCS7D01G462900</t>
  </si>
  <si>
    <t>TraesCS7D01G466400</t>
  </si>
  <si>
    <t>TraesCS7D01G475200</t>
  </si>
  <si>
    <t>TraesCS7D01G476900</t>
  </si>
  <si>
    <t>TraesCS7D01G482900</t>
  </si>
  <si>
    <t>TraesCS7D01G488800</t>
  </si>
  <si>
    <t>TraesCS7D01G492700</t>
  </si>
  <si>
    <t>TraesCS7D01G505600</t>
  </si>
  <si>
    <t>TraesCS7D01G510200</t>
  </si>
  <si>
    <t>TraesCS7D01G516600</t>
  </si>
  <si>
    <t>TraesCS7D01G521000</t>
  </si>
  <si>
    <t>TraesCS7D01G536300</t>
  </si>
  <si>
    <t>TraesCS7D01G540700</t>
  </si>
  <si>
    <t>TraesCS7D01G543200</t>
  </si>
  <si>
    <t>TraesCS7D01G552500</t>
  </si>
  <si>
    <t>TraesCS7D01G552700</t>
  </si>
  <si>
    <t>TraesCS7D01G553000</t>
  </si>
  <si>
    <t>TraesCSU01G016800</t>
  </si>
  <si>
    <t>TraesCSU01G018400</t>
  </si>
  <si>
    <t>TraesCSU01G021600</t>
  </si>
  <si>
    <t>TraesCSU01G025200</t>
  </si>
  <si>
    <t>TraesCSU01G038600</t>
  </si>
  <si>
    <t>TraesCSU01G059600</t>
  </si>
  <si>
    <t>TraesCSU01G069000</t>
  </si>
  <si>
    <t>TraesCSU01G077500</t>
  </si>
  <si>
    <t>TraesCSU01G082000</t>
  </si>
  <si>
    <t>TraesCSU01G084800</t>
  </si>
  <si>
    <t>TraesCSU01G088700</t>
  </si>
  <si>
    <t>TraesCSU01G102200</t>
  </si>
  <si>
    <t>TraesCSU01G106900</t>
  </si>
  <si>
    <t>TraesCSU01G126200</t>
  </si>
  <si>
    <t>TraesCSU01G142300</t>
  </si>
  <si>
    <t>TraesCSU01G182900</t>
  </si>
  <si>
    <t>Fg_down &amp; GA_down</t>
  </si>
  <si>
    <t>Gene list (1815)</t>
  </si>
  <si>
    <t>TraesCS1A01G036700</t>
  </si>
  <si>
    <t>TraesCS1A01G040900</t>
  </si>
  <si>
    <t>TraesCS1A01G050400</t>
  </si>
  <si>
    <t>TraesCS1A01G066400</t>
  </si>
  <si>
    <t>TraesCS2A01G067100;TraesCS2A01G067200;TraesCS2A01G067000;TraesCS5D01G169900;TraesCS5A01G165400;TraesCS2A01G067300;TraesCS5D01G169600;TraesCS2A01G066800;TraesCS2A01G066900;TraesCS2A01G066700;TraesCS2B01G079500;TraesCS2D01G065600;TraesCS5A01G165700;TraesCS2D01G065400;TraesCS2D01G065500;TraesCS2D01G065200;TraesCS2D01G065300;TraesCS2D01G065100;TraesCS2B01G079400;TraesCS2B01G079100;TraesCS5B01G162800</t>
  </si>
  <si>
    <t>TraesCS7B01G375600;TraesCS2A01G565700;TraesCS2A01G091000;TraesCS6D01G222000;TraesCS6A01G325600;TraesCS2A01G551300;TraesCS4B01G135900;TraesCS5D01G244700;TraesCS5A01G165700;TraesCS2D01G035500;TraesCS7D01G028900;TraesCS1D01G417400;TraesCS3B01G568600;TraesCS4B01G232800;TraesCS1A01G290700;TraesCS6A01G239600;TraesCS6D01G323500;TraesCS2B01G284900;TraesCS2D01G002800;TraesCS4B01G385600;TraesCS7D01G442300;TraesCS2A01G067000;TraesCS2B01G035600;TraesCS6D01G258300;TraesCS5A01G056600;TraesCS7B01G273800;TraesCS2A01G015800;TraesCS2D01G065600;TraesCS3D01G505600;TraesCS6A01G081800;TraesCS2B01G615800;TraesCS3A01G180300;TraesCS1A01G392600;TraesCS6D01G054600;TraesCS2A01G066700;TraesCS1D01G038300;TraesCSU01G032500;TraesCS1D01G021100;TraesCS3A01G332200;TraesCS4D01G130700;TraesCS5B01G202800;TraesCS2A01G067100;TraesCS5D01G370600;TraesCS6A01G309900;TraesCS2D01G015000;TraesCS5D01G169600;TraesCS7A01G411700;TraesCS3B01G256400;TraesCS1B01G300000;TraesCS4B01G342000;TraesCS3D01G354200;TraesCS7A01G374800;TraesCS2A01G571500;TraesCS2B01G079400;TraesCS2B01G615700;TraesCS5D01G309100;TraesCS5A01G094500;TraesCS2A01G066800;TraesCS6B01G018700;TraesCS2B01G001100;TraesCS6B01G339700;TraesCS2B01G592100;TraesCS7B01G388200;TraesCS4D01G170600;TraesCS1A01G036700;TraesCS2A01G385100;TraesCS7D01G511500;TraesCS3D01G183400;TraesCS5B01G162800;TraesCS7A01G278500;TraesCS2D01G583000;TraesCS5A01G362400;TraesCS2A01G067200;TraesCS7D01G142100;TraesCS5A01G165400;TraesCS5B01G334000;TraesCS2A01G044900;TraesCS2B01G574800;TraesCS3B01G371800;TraesCS2B01G106400;TraesCS2B01G604800;TraesCS5A01G348100;TraesCS2A01G036600;TraesCS3A01G354200;TraesCS6A01G372100;TraesCS4B01G268900;TraesCS1A01G066400;TraesCS5A01G287700;TraesCS2A01G254200;TraesCS2B01G006900;TraesCS2B01G079100;TraesCS2B01G615600;TraesCS6A01G012600;TraesCS7B01G459300;TraesCS2A01G066900;TraesCS1A01G317900;TraesCS3B01G350200;TraesCS5B01G147200;TraesCS2D01G165300;TraesCS5B01G235900;TraesCS2A01G572900;TraesCS1D01G067500;TraesCS4A01G136600;TraesCS4B01G358500;TraesCSU01G012200;TraesCS2D01G583100;TraesCS3B01G497700;TraesCS3B01G392700;TraesCS5A01G234200;TraesCS2A01G067300;TraesCS4A01G445600;TraesCS4A01G182700;TraesCS2D01G375300;TraesCS7A01G522200;TraesCS6A01G081900;TraesCS6D01G267900;TraesCS4D01G359200;TraesCS2D01G065100;TraesCS3A01G316500;TraesCS3B01G393000;TraesCS4A01G020500;TraesCS3B01G362200;TraesCS6B01G047100;TraesCS1B01G177900;TraesCS7B01G176400;TraesCS4A01G076700;TraesCS1B01G047400;TraesCS2B01G078600;TraesCS6B01G203300;TraesCS5D01G131500;TraesCS2B01G057100;TraesCS2A01G591600;TraesCS2B01G005900;TraesCS2B01G412900;TraesCS2A01G002900;TraesCS2B01G582500;TraesCS3D01G364300;TraesCS3A01G360400;TraesCS1B01G084700;TraesCS1D01G400800;TraesCS5D01G006800;TraesCS5A01G237000;TraesCS4D01G005600;TraesCS7B01G272200;TraesCS2D01G065200;TraesCS4B01G344800;TraesCS7D01G472000;TraesCS2A01G015400;TraesCS5B01G364300;TraesCS1D01G366700;TraesCSU01G073000;TraesCS2A01G070000;TraesCS1D01G079800;TraesCS2D01G265100;TraesCS7B01G012900;TraesCS2A01G045600;TraesCS6A01G136900;TraesCS7B01G145200;TraesCS6B01G018800;TraesCS2B01G057800;TraesCS2A01G014900;TraesCS7D01G511600;TraesCS6A01G277800;TraesCS5D01G118500;TraesCS5B01G414400;TraesCS2D01G002500;TraesCS2B01G396000;TraesCS2D01G552300;TraesCS6D01G163800;TraesCS2D01G065300;TraesCS5D01G354300;TraesCS5A01G549200;TraesCS2A01G573400;TraesCS5B01G364200;TraesCS4B01G342400;TraesCS1B01G095800;TraesCS2B01G090400;TraesCS4D01G234000;TraesCS3B01G272600;TraesCS3B01G016200;TraesCS1B01G286300;TraesCS3A01G457600;TraesCS2B01G124900;TraesCS3A01G360600;TraesCS1D01G426600;TraesCS2B01G049400;TraesCS1D01G147800;TraesCS7D01G024500;TraesCS7A01G054500;TraesCS4B01G213800;TraesCS3B01G438700;TraesCS6A01G082000;TraesCS6D01G289300;TraesCS6A01G206600;TraesCS5A01G236800;TraesCS7A01G308100;TraesCS4A01G235800;TraesCS5A01G123600;TraesCS4A01G036100;TraesCS5D01G169900;TraesCS1A01G078100;TraesCS6B01G356200;TraesCS7D01G375700;TraesCS2D01G562600;TraesCS6D01G015100;TraesCS4D01G214500;TraesCS1B01G330400;TraesCS4D01G329200;TraesCS2A01G015600;TraesCS2B01G079500;TraesCSU01G134000;TraesCS2D01G065400;TraesCS3D01G077400;TraesCS4A01G326700;TraesCS5B01G123200;TraesCS4D01G078600;TraesCS7D01G367400;TraesCS5B01G238300;TraesCS3A01G077300;TraesCS5B01G349200;TraesCS1D01G289300;TraesCS2D01G016000;TraesCS7D01G007300;TraesCS4B01G009700;TraesCS2D01G043500;TraesCS7B01G310900;TraesCS3A01G457500;TraesCS4B01G005900;TraesCS3D01G325700;TraesCS4D01G268200;TraesCS6A01G287100;TraesCS1D01G317700;TraesCS2D01G381800;TraesCS7A01G484600;TraesCS5D01G548700;TraesCS4D01G338000;TraesCS6D01G038900;TraesCS5A01G503600;TraesCS7D01G278300;TraesCS4A01G388600;TraesCS7B01G273900;TraesCS1D01G123400;TraesCS2B01G006600;TraesCS2D01G065500;TraesCS7D01G369000;TraesCS7A01G353800;TraesCS2B01G186100;TraesCS3D01G314700</t>
  </si>
  <si>
    <t>TraesCS1A01G081200</t>
  </si>
  <si>
    <t>TraesCS7D01G195900;TraesCS7B01G243200;TraesCS2A01G215300;TraesCS3D01G478300;TraesCS5D01G552900;TraesCS7B01G327000;TraesCS5A01G317400;TraesCS1A01G266600;TraesCS3B01G461800;TraesCS6A01G337300;TraesCS3B01G369000;TraesCS5A01G165700;TraesCS3B01G354300;TraesCS3B01G398000;TraesCS4A01G172100;TraesCS2D01G562400;TraesCS7D01G010000;TraesCS7D01G339800;TraesCS7D01G228500;TraesCS5A01G330900;TraesCS2A01G384600;TraesCS3D01G440200;TraesCS7A01G560100;TraesCS7B01G169700;TraesCS1A01G203700;TraesCS7B01G010100;TraesCS1D01G357000;TraesCSU01G021800;TraesCS4A01G129900;TraesCS5B01G331300;TraesCS3B01G333100;TraesCS2A01G584800;TraesCS7B01G304100;TraesCS3D01G359200;TraesCS4A01G485900;TraesCS4B01G242300;TraesCS5B01G394000;TraesCS6B01G118000;TraesCS6D01G350300;TraesCS5B01G319700;TraesCS3A01G038200;TraesCS4B01G267200;TraesCS3A01G447500;TraesCS7A01G404900;TraesCS6A01G367300;TraesCS7A01G272400;TraesCS3A01G208600;TraesCS5B01G294700;TraesCS2A01G344000;TraesCS2B01G341500;TraesCS4A01G321800;TraesCS7D01G549800;TraesCS1A01G353200;TraesCS1D01G404300;TraesCS3D01G041700;TraesCS4A01G038500;TraesCS4A01G484800;TraesCS5D01G169600;TraesCS1D01G370700;TraesCS3B01G483500;TraesCS4A01G116700;TraesCS7B01G193600;TraesCS1B01G277500;TraesCS3B01G045600;TraesCS5D01G323700;TraesCS7D01G363100;TraesCS2B01G079400;TraesCS5D01G302900;TraesCS5A01G281600;TraesCS7A01G359700;TraesCS7D01G036600;TraesCS3D01G323900;TraesCS6D01G360200;TraesCS3D01G403500;TraesCS7A01G040900;TraesCS1B01G368600;TraesCS5D01G319700;TraesCS6B01G349500;TraesCS7D01G399000;TraesCS3A01G239200;TraesCS2B01G550300;TraesCS5D01G122700;TraesCS2A01G521000;TraesCS6D01G318100;TraesCS3D01G359300;TraesCS2B01G024500;TraesCS3B01G562700;TraesCS4D01G241900;TraesCS5B01G556600;TraesCS1A01G365200;TraesCS5B01G162800;TraesCS2A01G591900;TraesCS3B01G529700;TraesCS3B01G598100;TraesCS4D01G176600;TraesCS3A01G366300;TraesCS4A01G321700;TraesCS2A01G210100;TraesCS2D01G522700;TraesCS5A01G165400;TraesCS7A01G194300;TraesCS7A01G337000;TraesCS7D01G397900;TraesCS5D01G398300;TraesCS2D01G065400;TraesCS3D01G331000;TraesCS2B01G599800;TraesCS2D01G332500;TraesCS3B01G397900;TraesCS7B01G153600;TraesCS5B01G309300;TraesCS7A01G405000;TraesCS7B01G096600;TraesCS6A01G337600;TraesCS1A01G396200;TraesCS2D01G322300;TraesCS4A01G173100;TraesCS5D01G336700;TraesCS4A01G078900;TraesCS2B01G591900;TraesCS4D01G085600;TraesCS3B01G530000;TraesCS3D01G298600;TraesCS3A01G330500;TraesCS5D01G194800;TraesCS6B01G368000;TraesCS7A01G404700;TraesCS7A01G010200;TraesCS4A01G206400;TraesCS2D01G522600;TraesCS2A01G067300;TraesCS3A01G366400;TraesCS1B01G382700;TraesCS2B01G144900;TraesCS7A01G226000;TraesCS7D01G398900;TraesCS2D01G065500;TraesCS2D01G510500;TraesCS7D01G419200;TraesCS4B01G143900;TraesCS7A01G426700</t>
  </si>
  <si>
    <t>TraesCS7B01G375600;TraesCS2A01G565700;TraesCS2A01G091000;TraesCS6D01G222000;TraesCS6A01G325600;TraesCS4B01G135900;TraesCS5D01G244700;TraesCS5A01G165700;TraesCS2D01G035500;TraesCS7D01G028900;TraesCS3B01G568600;TraesCS4B01G232800;TraesCS1A01G290700;TraesCS6A01G239600;TraesCS2B01G284900;TraesCS2D01G002800;TraesCS4B01G385600;TraesCS7D01G442300;TraesCS2A01G067000;TraesCS2B01G035600;TraesCS6D01G258300;TraesCS5A01G056600;TraesCS7B01G273800;TraesCS2A01G015800;TraesCS2D01G065600;TraesCS3D01G505600;TraesCS6A01G081800;TraesCS2B01G615800;TraesCS3A01G180300;TraesCS1A01G392600;TraesCS6D01G054600;TraesCS2A01G066700;TraesCS1D01G038300;TraesCSU01G032500;TraesCS1D01G021100;TraesCS3A01G332200;TraesCS4D01G130700;TraesCS5B01G202800;TraesCS2A01G067100;TraesCS5D01G370600;TraesCS6A01G309900;TraesCS2D01G015000;TraesCS5D01G169600;TraesCS7A01G411700;TraesCS3B01G256400;TraesCS1B01G300000;TraesCS4B01G342000;TraesCS3D01G354200;TraesCS7A01G374800;TraesCS2A01G571500;TraesCS2B01G079400;TraesCS2B01G615700;TraesCS5D01G309100;TraesCS5A01G094500;TraesCS2A01G066800;TraesCS6B01G018700;TraesCS2B01G001100;TraesCS6B01G339700;TraesCS2B01G592100;TraesCS7B01G388200;TraesCS4D01G170600;TraesCS1A01G036700;TraesCS2A01G385100;TraesCS7D01G511500;TraesCS5B01G162800;TraesCS7A01G278500;TraesCS2D01G583000;TraesCS5A01G362400;TraesCS2A01G067200;TraesCS7D01G142100;TraesCS5A01G165400;TraesCS5B01G334000;TraesCS2A01G044900;TraesCS2B01G574800;TraesCS3B01G371800;TraesCS2B01G106400;TraesCS2B01G604800;TraesCS5A01G348100;TraesCS2A01G036600;TraesCS3A01G354200;TraesCS6A01G372100;TraesCS4B01G268900;TraesCS1A01G066400;TraesCS5A01G287700;TraesCS3A01G243300;TraesCS2A01G254200;TraesCS2B01G006900;TraesCS2B01G079100;TraesCS2B01G615600;TraesCS6A01G012600;TraesCS7B01G459300;TraesCS2A01G066900;TraesCS1A01G317900;TraesCS3B01G350200;TraesCS5B01G147200;TraesCS2D01G165300;TraesCS5B01G235900;TraesCS2A01G572900;TraesCS1D01G067500;TraesCS4A01G136600;TraesCS4B01G358500;TraesCSU01G012200;TraesCS2D01G583100;TraesCS3B01G392700;TraesCS5A01G234200;TraesCS2A01G067300;TraesCS4A01G445600;TraesCS4A01G182700;TraesCS2D01G375300;TraesCS7A01G522200;TraesCS6A01G081900;TraesCS4D01G359200;TraesCS3A01G316500;TraesCS3B01G393000;TraesCS4A01G020500;TraesCS3B01G362200;TraesCS6B01G047100;TraesCS1B01G177900;TraesCS7B01G176400;TraesCS4A01G076700;TraesCS1B01G047400;TraesCS2B01G078600;TraesCS6B01G203300;TraesCS5D01G131500;TraesCS2B01G057100;TraesCS2A01G591600;TraesCS2B01G005900;TraesCS2B01G412900;TraesCS2A01G002900;TraesCS3D01G364300;TraesCS3A01G360400;TraesCS1B01G084700;TraesCS1D01G400800;TraesCS5D01G006800;TraesCS5A01G237000;TraesCS4D01G005600;TraesCS2D01G065200;TraesCS4B01G344800;TraesCS7D01G472000;TraesCS2A01G015400;TraesCS5B01G364300;TraesCS1D01G366700;TraesCSU01G073000;TraesCS2A01G070000;TraesCS1D01G079800;TraesCS2D01G265100;TraesCS2A01G045600;TraesCS7B01G145200;TraesCS6B01G018800;TraesCS2B01G057800;TraesCS2A01G014900;TraesCS7D01G511600;TraesCS6A01G277800;TraesCS5D01G118500;TraesCS5B01G414400;TraesCS2D01G002500;TraesCS2B01G396000;TraesCS6D01G163800;TraesCS2D01G065300;TraesCS5D01G354300;TraesCS5A01G549200;TraesCS2A01G573400;TraesCS5B01G364200;TraesCS4B01G342400;TraesCS1B01G095800;TraesCS2B01G090400;TraesCS4D01G234000;TraesCS3B01G016200;TraesCS1B01G286300;TraesCS2B01G124900;TraesCS3A01G360600;TraesCS1D01G426600;TraesCS2B01G049400;TraesCS1D01G147800;TraesCS7D01G024500;TraesCS7A01G054500;TraesCS4B01G213800;TraesCS3B01G438700;TraesCS6A01G082000;TraesCS6D01G289300;TraesCS6A01G206600;TraesCS5A01G236800;TraesCS4A01G235800;TraesCS5A01G123600;TraesCS4A01G036100;TraesCS1A01G078100;TraesCS6B01G356200;TraesCS7D01G375700;TraesCS2D01G562600;TraesCS6D01G015100;TraesCS4D01G214500;TraesCS1B01G330400;TraesCS4D01G329200;TraesCS2A01G015600;TraesCS2B01G079500;TraesCSU01G134000;TraesCS2D01G065400;TraesCS3D01G077400;TraesCS4A01G326700;TraesCS5B01G123200;TraesCS4D01G078600;TraesCS5B01G238300;TraesCS3A01G077300;TraesCS5B01G349200;TraesCS1D01G289300;TraesCS2D01G016000;TraesCS4B01G009700;TraesCS2D01G043500;TraesCS7B01G310900;TraesCS4B01G005900;TraesCS3D01G325700;TraesCS4D01G268200;TraesCS1D01G317700;TraesCS2D01G381800;TraesCS7A01G484600;TraesCS5D01G548700;TraesCS4D01G338000;TraesCS6D01G038900;TraesCS5A01G503600;TraesCS7D01G278300;TraesCS4A01G388600;TraesCS7B01G273900;TraesCS1D01G123400;TraesCS2B01G006600;TraesCS2D01G065500;TraesCS7D01G369000;TraesCS7A01G353800;TraesCS2B01G186100;TraesCS3D01G314700</t>
  </si>
  <si>
    <t>TraesCS7B01G291400;TraesCS2D01G582400;TraesCS6B01G133500;TraesCS3B01G104300;TraesCS7A01G206000;TraesCS6A01G002700;TraesCS4B01G135900;TraesCS5D01G244700;TraesCS4D01G215000;TraesCS2A01G507700;TraesCS1A01G034600;TraesCS1A01G369600;TraesCS7A01G389600;TraesCS2D01G016300;TraesCS5D01G131500;TraesCS5B01G187900;TraesCS6D01G321600;TraesCS2B01G297300;TraesCS6D01G258300;TraesCS7B01G250700;TraesCS1B01G388700;TraesCS1D01G116700;TraesCS6A01G026800;TraesCS7A01G107500;TraesCS1A01G339400;TraesCS5A01G237000;TraesCS1D01G357000;TraesCS7B01G113100;TraesCS4A01G089900;TraesCS3D01G331600;TraesCS5A01G195500;TraesCS3B01G488500;TraesCS7D01G208600;TraesCS7A01G206100;TraesCS7B01G006100;TraesCS5A01G076500;TraesCS2D01G278500;TraesCS2D01G546200;TraesCS6D01G008900;TraesCS6D01G002800;TraesCS2B01G156800;TraesCS4B01G267200;TraesCS7A01G389500;TraesCS3A01G351000;TraesCS4D01G335600;TraesCS6A01G277800;TraesCS7D01G385500;TraesCS4A01G445000;TraesCS4D01G130700;TraesCS3D01G345100;TraesCS7A01G113600;TraesCS1A01G353200;TraesCS4A01G038500;TraesCS3B01G313800;TraesCS3D01G117300;TraesCS1A01G439000;TraesCS1D01G127400;TraesCS7B01G113000;TraesCS6A01G104300;TraesCS5D01G566700;TraesCS1D01G375600;TraesCS2B01G090400;TraesCS3A01G451100;TraesCS1B01G368600;TraesCS4A01G316500;TraesCS7B01G006200;TraesCS2D01G135300;TraesCS3D01G225000;TraesCS5A01G047000;TraesCS1D01G147800;TraesCS2B01G007200;TraesCS4A01G398600;TraesCS1A01G126100;TraesCS2A01G385100;TraesCS3D01G279300;TraesCS5A01G236800;TraesCS5A01G123600;TraesCS1B01G048000;TraesCS1A01G040900;TraesCS4D01G329200;TraesCS2A01G279600;TraesCS2D01G332500;TraesCS6D01G093000;TraesCS4A01G326700;TraesCS7B01G113300;TraesCS7D01G101900;TraesCS5B01G123200;TraesCS6B01G372900;TraesCS1B01G093600;TraesCS1D01G266300;TraesCS1D01G375500;TraesCS5D01G017000;TraesCS7B01G291300;TraesCS1A01G115300;TraesCS7B01G006300;TraesCS7B01G459300;TraesCS2D01G165300;TraesCS5B01G235900;TraesCS6A01G025200;TraesCS2D01G381800;TraesCS3A01G227000;TraesCS1B01G050600;TraesCS1A01G382200;TraesCS2A01G467900;TraesCS4B01G286000;TraesCS5D01G548700;TraesCS7D01G385700;TraesCS4A01G426300;TraesCS5A01G503600;TraesCS7D01G111200;TraesCS4A01G182700;TraesCS1D01G389900;TraesCS1B01G135200;TraesCS7D01G346700;TraesCS4A01G301600;TraesCS6B01G273200;TraesCS7B01G113200;TraesCS6A01G341400;TraesCS4A01G020500</t>
  </si>
  <si>
    <t>TraesCS1A01G101600</t>
  </si>
  <si>
    <t>TraesCS3A01G451100;TraesCS1B01G280400;TraesCS2A01G429000;TraesCS2B01G038700;TraesCS2D01G016100;TraesCS6D01G358400;TraesCS7B01G006200;TraesCS2B01G007000;TraesCS2D01G135300;TraesCS7A01G206000;TraesCS3B01G257000;TraesCS2A01G014800;TraesCS3A01G251800;TraesCS2A01G507700;TraesCS2B01G007200;TraesCS1A01G034600;TraesCS2D01G016300;TraesCS5B01G187900;TraesCS2D01G530600;TraesCS6D01G321600;TraesCS1B01G098800;TraesCS3D01G279300;TraesCS1D01G164900;TraesCS3B01G139000;TraesCS5D01G299300;TraesCS4A01G361400;TraesCSU01G033700;TraesCS1B01G048000;TraesCS1A01G040900;TraesCS2B01G006700;TraesCS2D01G015700;TraesCS6A01G026800;TraesCS7A01G107500;TraesCS7D01G076700;TraesCS2B01G006300;TraesCS3D01G121700;TraesCS5A01G379500;TraesCS1A01G270000;TraesCS7B01G113100;TraesCS2D01G426800;TraesCS7B01G113300;TraesCS7D01G101900;TraesCS6B01G372900;TraesCS5A01G195500;TraesCS6B01G030300;TraesCS5B01G570400;TraesCS6B01G030800;TraesCS5D01G017000;TraesCS2B01G558400;TraesCS3B01G488500;TraesCS7A01G082200;TraesCS7D01G208600;TraesCS7B01G006300;TraesCS7A01G206100;TraesCS7B01G006100;TraesCS1D01G165000;TraesCSU01G069100;TraesCS5A01G076500;TraesCS2D01G035000;TraesCS6A01G025200;TraesCS2D01G016200;TraesCS1B01G050600;TraesCS2B01G156800;TraesCS7A01G148300;TraesCS2D01G027900;TraesCS5B01G202800;TraesCS2A01G025700;TraesCS6B01G411800;TraesCS2B01G006000;TraesCS5D01G329000;TraesCS7D01G111200;TraesCS3B01G313800;TraesCS7D01G352300;TraesCS2A01G015900;TraesCS2B01G006800;TraesCS1B01G190600;TraesCS2A01G527700;TraesCS5B01G511500;TraesCS2A01G015700;TraesCS1A01G439000;TraesCS3D01G333200;TraesCS7B01G113000;TraesCS1A01G081200;TraesCS7B01G113200;TraesCS6A01G341400</t>
  </si>
  <si>
    <t>TraesCS3B01G385400;TraesCS7A01G359700;TraesCS7D01G195900;TraesCS3A01G508000;TraesCS3D01G323900;TraesCS6D01G360200;TraesCS3D01G346700;TraesCS6B01G349500;TraesCS7D01G399000;TraesCS2A01G215300;TraesCS3A01G239200;TraesCS3D01G478300;TraesCS5D01G552900;TraesCS2B01G550300;TraesCS7B01G327000;TraesCS5A01G317400;TraesCS2A01G521000;TraesCS6A01G337300;TraesCS3B01G369000;TraesCS6D01G318100;TraesCS3B01G562700;TraesCS4D01G241900;TraesCS5B01G556600;TraesCS1A01G365200;TraesCS2A01G591900;TraesCS3B01G529700;TraesCS4A01G321700;TraesCS2D01G562400;TraesCS7D01G010000;TraesCS2D01G522700;TraesCS7A01G194300;TraesCS7D01G397900;TraesCS5A01G330900;TraesCS2A01G384600;TraesCS3D01G440200;TraesCS5D01G398300;TraesCS7B01G169700;TraesCS1A01G203700;TraesCS3D01G331000;TraesCS2B01G599800;TraesCS7B01G153600;TraesCS5B01G309300;TraesCS7A01G405000;TraesCSU01G021800;TraesCS3A01G352700;TraesCS6A01G337600;TraesCS1A01G396200;TraesCS4A01G173100;TraesCS5B01G331300;TraesCS5D01G336700;TraesCS2A01G584800;TraesCS7B01G304100;TraesCS4A01G485900;TraesCS4B01G242300;TraesCS5B01G394000;TraesCS6B01G118000;TraesCS2B01G591900;TraesCS4D01G085600;TraesCS3B01G530000;TraesCS6D01G350300;TraesCS3A01G330500;TraesCS5B01G319700;TraesCS3A01G038200;TraesCS5D01G194800;TraesCS6B01G368000;TraesCS3A01G447500;TraesCS7A01G404900;TraesCS6A01G367300;TraesCS7A01G272400;TraesCS7A01G404700;TraesCS3A01G208600;TraesCS5B01G294700;TraesCS7A01G010200;TraesCS4A01G321800;TraesCS2D01G522600;TraesCS1D01G404300;TraesCS3D01G041700;TraesCS4A01G484800;TraesCS2D01G338300;TraesCS1B01G382700;TraesCS1D01G370700;TraesCS7D01G398900;TraesCS3B01G483500;TraesCS3B01G045600;TraesCS5D01G323700;TraesCS2D01G510500;TraesCS7D01G363100;TraesCS7D01G419200;TraesCS4B01G143900;TraesCS5D01G302900;TraesCS7A01G426700</t>
  </si>
  <si>
    <t>TraesCS7A01G359700;TraesCS7D01G195900;TraesCS3D01G323900;TraesCS6D01G360200;TraesCS6B01G349500;TraesCS7D01G399000;TraesCS2A01G215300;TraesCS3A01G239200;TraesCS3D01G478300;TraesCS5D01G552900;TraesCS2B01G550300;TraesCS7B01G327000;TraesCS5A01G317400;TraesCS2A01G521000;TraesCS6A01G337300;TraesCS3B01G369000;TraesCS6D01G318100;TraesCS3B01G562700;TraesCS4D01G241900;TraesCS5B01G556600;TraesCS1A01G365200;TraesCS2A01G591900;TraesCS3B01G529700;TraesCS4A01G321700;TraesCS2D01G562400;TraesCS7D01G010000;TraesCS2D01G522700;TraesCS7A01G194300;TraesCS7D01G397900;TraesCS5A01G330900;TraesCS2A01G384600;TraesCS3D01G440200;TraesCS5D01G398300;TraesCS7B01G169700;TraesCS1A01G203700;TraesCS3D01G331000;TraesCS2B01G599800;TraesCS7B01G153600;TraesCS5B01G309300;TraesCS7A01G405000;TraesCSU01G021800;TraesCS6A01G337600;TraesCS1A01G396200;TraesCS4A01G173100;TraesCS5B01G331300;TraesCS5D01G336700;TraesCS2A01G584800;TraesCS7B01G304100;TraesCS4A01G485900;TraesCS4B01G242300;TraesCS5B01G394000;TraesCS6B01G118000;TraesCS2B01G591900;TraesCS4D01G085600;TraesCS3B01G530000;TraesCS3A01G330500;TraesCS5B01G319700;TraesCS3A01G038200;TraesCS5D01G194800;TraesCS6B01G368000;TraesCS3A01G447500;TraesCS7A01G404900;TraesCS7A01G272400;TraesCS7A01G404700;TraesCS3A01G208600;TraesCS5B01G294700;TraesCS7A01G010200;TraesCS4A01G321800;TraesCS2D01G522600;TraesCS1D01G404300;TraesCS3D01G041700;TraesCS4A01G484800;TraesCS1B01G382700;TraesCS1D01G370700;TraesCS7D01G398900;TraesCS3B01G483500;TraesCS3B01G045600;TraesCS5D01G323700;TraesCS2D01G510500;TraesCS7D01G363100;TraesCS7D01G419200;TraesCS4B01G143900;TraesCS5D01G302900;TraesCS7A01G426700</t>
  </si>
  <si>
    <t>TraesCS3A01G451100;TraesCS1B01G280400;TraesCS2A01G429000;TraesCS2B01G038700;TraesCS2D01G016100;TraesCS6D01G358400;TraesCS7B01G006200;TraesCS2B01G007000;TraesCS2D01G135300;TraesCS7A01G206000;TraesCS2A01G014800;TraesCS3A01G251800;TraesCS2A01G507700;TraesCS2B01G007200;TraesCS1A01G034600;TraesCS2D01G016300;TraesCS5B01G187900;TraesCS6D01G321600;TraesCS1B01G098800;TraesCS3D01G279300;TraesCS1D01G164900;TraesCS3B01G139000;TraesCS5D01G299300;TraesCS1B01G048000;TraesCS1A01G040900;TraesCS2B01G006700;TraesCS2D01G015700;TraesCS6A01G026800;TraesCS7A01G107500;TraesCS7D01G076700;TraesCS2B01G006300;TraesCS3D01G121700;TraesCS5A01G379500;TraesCS1A01G270000;TraesCS7B01G113100;TraesCS2D01G426800;TraesCS7B01G113300;TraesCS7D01G101900;TraesCS6B01G372900;TraesCS5A01G195500;TraesCS6B01G030300;TraesCS5B01G570400;TraesCS6B01G030800;TraesCS5D01G017000;TraesCS2B01G558400;TraesCS3B01G488500;TraesCS7A01G082200;TraesCS7D01G208600;TraesCS7B01G006300;TraesCS7A01G206100;TraesCS7B01G006100;TraesCS1D01G165000;TraesCS5A01G076500;TraesCS2D01G035000;TraesCS6A01G025200;TraesCS2D01G016200;TraesCS1B01G050600;TraesCS2B01G156800;TraesCS7A01G148300;TraesCS2D01G027900;TraesCS5B01G202800;TraesCS2A01G025700;TraesCS6B01G411800;TraesCS2B01G006000;TraesCS5D01G329000;TraesCS7D01G111200;TraesCS3B01G313800;TraesCS7D01G352300;TraesCS2A01G015900;TraesCS2B01G006800;TraesCS1B01G190600;TraesCS2A01G527700;TraesCS1A01G439000;TraesCS7B01G113000;TraesCS1A01G081200;TraesCS7B01G113200;TraesCS6A01G341400</t>
  </si>
  <si>
    <t>TraesCS3A01G451100;TraesCS5D01G017000;TraesCS3B01G488500;TraesCS7B01G006200;TraesCS7D01G208600;TraesCS7B01G006300;TraesCS7A01G206100;TraesCS2D01G135300;TraesCS7B01G006100;TraesCS7A01G206000;TraesCS5A01G076500;TraesCS1D01G147800;TraesCS2D01G165300;TraesCS6A01G025200;TraesCS2A01G507700;TraesCS2D01G381800;TraesCS2B01G156800;TraesCS5D01G131500;TraesCS5B01G187900;TraesCS2A01G385100;TraesCS5D01G548700;TraesCS6D01G321600;TraesCS3D01G279300;TraesCS5A01G503600;TraesCS5A01G123600;TraesCS1B01G048000;TraesCS1A01G040900;TraesCS3B01G313800;TraesCS4D01G329200;TraesCS6A01G026800;TraesCS7A01G107500;TraesCS1A01G439000;TraesCS7B01G113000;TraesCS7B01G113100;TraesCS4A01G326700;TraesCS7B01G113200;TraesCS7B01G113300;TraesCS6A01G341400;TraesCS7D01G101900;TraesCS5B01G123200;TraesCS6B01G372900;TraesCS5A01G195500</t>
  </si>
  <si>
    <t>TraesCS1A01G120700</t>
  </si>
  <si>
    <t>TraesCS5B01G220000;TraesCS3B01G425300;TraesCS2A01G066800;TraesCS2A01G066900;TraesCS2A01G066700;TraesCS5A01G165700;TraesCS5A01G221200;TraesCS5B01G162800;TraesCS2A01G067100;TraesCS2A01G067200;TraesCS2A01G067000;TraesCS5D01G169900;TraesCS5A01G165400;TraesCS2A01G067300;TraesCS5D01G169600;TraesCS2B01G079500;TraesCS2D01G065600;TraesCS2D01G065400;TraesCS2D01G313500;TraesCS2B01G333700;TraesCS2D01G065500;TraesCS2D01G065200;TraesCS5D01G228900;TraesCS2D01G065300;TraesCS2A01G315300;TraesCS2D01G065100;TraesCS3D01G519600;TraesCS4D01G359400;TraesCS2A01G552200;TraesCS2B01G079400;TraesCS2B01G079100</t>
  </si>
  <si>
    <t>TraesCS1A01G124700</t>
  </si>
  <si>
    <t>TraesCS2B01G090400;TraesCS3A01G451100;TraesCS5D01G017000;TraesCS3B01G488500;TraesCS7B01G006200;TraesCS7D01G208600;TraesCS7B01G006300;TraesCS7A01G206100;TraesCS2D01G135300;TraesCS7B01G006100;TraesCS7A01G206000;TraesCS5A01G076500;TraesCS5D01G244700;TraesCS1D01G147800;TraesCS2D01G165300;TraesCS5B01G235900;TraesCS6A01G025200;TraesCS2A01G507700;TraesCS2D01G381800;TraesCS2B01G156800;TraesCS5D01G131500;TraesCS5B01G187900;TraesCS2A01G385100;TraesCS5D01G548700;TraesCS6D01G321600;TraesCS3D01G279300;TraesCS5A01G236800;TraesCS5A01G503600;TraesCS5A01G123600;TraesCS1B01G048000;TraesCS1A01G040900;TraesCS3B01G313800;TraesCS4D01G329200;TraesCS6A01G026800;TraesCS7A01G107500;TraesCS1A01G439000;TraesCS5A01G237000;TraesCS7B01G113000;TraesCS7B01G113100;TraesCS4A01G326700;TraesCS7B01G113200;TraesCS7B01G113300;TraesCS6A01G341400;TraesCS7D01G101900;TraesCS5B01G123200;TraesCS6B01G372900;TraesCS5A01G195500;TraesCS1B01G093600</t>
  </si>
  <si>
    <t>TraesCS5B01G220000;TraesCS3B01G425300;TraesCS5D01G122700;TraesCS2A01G066800;TraesCS2A01G066900;TraesCS2A01G066700;TraesCS5A01G165700;TraesCS5A01G221200;TraesCS5B01G162800;TraesCS2A01G067100;TraesCS4A01G206400;TraesCS2A01G067200;TraesCS2A01G067000;TraesCS5D01G169900;TraesCS5A01G165400;TraesCS2A01G067300;TraesCS5D01G169600;TraesCS2B01G079500;TraesCS2D01G065600;TraesCS2D01G065400;TraesCS2D01G313500;TraesCS2B01G333700;TraesCS2D01G065500;TraesCS2D01G065200;TraesCS5D01G228900;TraesCS2D01G065300;TraesCS2A01G315300;TraesCS2D01G065100;TraesCS3D01G519600;TraesCS4D01G359400;TraesCS2A01G552200;TraesCS2B01G079400;TraesCS2B01G079100</t>
  </si>
  <si>
    <t>TraesCS1A01G141100</t>
  </si>
  <si>
    <t>TraesCS7B01G375600;TraesCS2A01G565700;TraesCS3B01G362200;TraesCS1B01G177900;TraesCS4A01G076700;TraesCS1B01G433300;TraesCS2D01G035500;TraesCS6B01G203300;TraesCS7D01G028900;TraesCS2B01G057100;TraesCS4B01G232800;TraesCS2B01G005900;TraesCS2B01G284900;TraesCS2A01G002900;TraesCS2D01G002800;TraesCS7D01G442300;TraesCS3D01G364300;TraesCS7D01G276300;TraesCS2B01G035600;TraesCS5A01G056600;TraesCS5D01G006800;TraesCS2A01G015800;TraesCS3D01G505600;TraesCS6A01G081800;TraesCS2A01G015400;TraesCS5B01G364300;TraesCS1D01G366700;TraesCSU01G073000;TraesCS1D01G079800;TraesCS2B01G615800;TraesCS2D01G265100;TraesCS3A01G180300;TraesCS6D01G054600;TraesCS2A01G045600;TraesCS6B01G018800;TraesCS2B01G057800;TraesCS2A01G014900;TraesCSU01G032500;TraesCS7D01G511600;TraesCS3A01G332200;TraesCS5B01G414400;TraesCS5D01G370600;TraesCS6A01G309900;TraesCS2D01G015000;TraesCS7A01G411700;TraesCS3B01G256400;TraesCS2D01G002500;TraesCS4B01G342000;TraesCS6D01G163800;TraesCS2A01G571500;TraesCS2A01G573400;TraesCS5B01G364200;TraesCS4B01G342400;TraesCS1B01G095800;TraesCS2B01G615700;TraesCS4D01G234000;TraesCS1B01G286300;TraesCS2B01G124900;TraesCS2B01G001100;TraesCS6B01G339700;TraesCS2B01G049400;TraesCS7D01G024500;TraesCS4D01G170600;TraesCS1A01G403800;TraesCS7D01G511500;TraesCS3B01G438700;TraesCS6A01G082000;TraesCS6D01G289300;TraesCS2D01G583000;TraesCS5A01G362400;TraesCS4A01G235800;TraesCS4A01G036100;TraesCS1A01G078100;TraesCS5B01G334000;TraesCS2A01G044900;TraesCS1B01G330400;TraesCS2A01G036600;TraesCS2A01G015600;TraesCS4B01G268900;TraesCSU01G134000;TraesCS3D01G077400;TraesCS5A01G287700;TraesCS2B01G006900;TraesCS3A01G077300;TraesCS1D01G411600;TraesCS2B01G615600;TraesCS6A01G012600;TraesCS2D01G016000;TraesCS4B01G009700;TraesCS2D01G043500;TraesCS7B01G310900;TraesCS4B01G005900;TraesCS3D01G325700;TraesCS4D01G268200;TraesCS1D01G317700;TraesCS1A01G317900;TraesCS5B01G147200;TraesCS6B01G264900;TraesCS4A01G136600;TraesCS4D01G338000;TraesCSU01G012200;TraesCS2D01G583100;TraesCS4A01G445600;TraesCS7A01G522200;TraesCS2B01G006600;TraesCS6A01G081900;TraesCS2B01G186100</t>
  </si>
  <si>
    <t>TraesCS1A01G173000</t>
  </si>
  <si>
    <t>TraesCS7B01G375600;TraesCS2A01G565700;TraesCS3B01G362200;TraesCS1B01G177900;TraesCS4A01G076700;TraesCS2D01G035500;TraesCS6B01G203300;TraesCS7D01G028900;TraesCS2B01G057100;TraesCS4B01G232800;TraesCS2B01G005900;TraesCS2B01G284900;TraesCS2A01G002900;TraesCS2D01G002800;TraesCS7D01G442300;TraesCS3D01G364300;TraesCS2B01G035600;TraesCS5A01G056600;TraesCS5D01G006800;TraesCS2A01G015800;TraesCS3D01G505600;TraesCS6A01G081800;TraesCS2A01G015400;TraesCS5B01G364300;TraesCS1D01G366700;TraesCSU01G073000;TraesCS1D01G079800;TraesCS2B01G615800;TraesCS2D01G265100;TraesCS3A01G180300;TraesCS6D01G054600;TraesCS2A01G045600;TraesCS6B01G018800;TraesCS2B01G057800;TraesCS2A01G014900;TraesCSU01G032500;TraesCS7D01G511600;TraesCS3A01G332200;TraesCS5B01G414400;TraesCS5D01G370600;TraesCS6A01G309900;TraesCS2D01G015000;TraesCS7A01G411700;TraesCS3B01G256400;TraesCS2D01G002500;TraesCS4B01G342000;TraesCS6D01G163800;TraesCS2A01G571500;TraesCS2A01G573400;TraesCS5B01G364200;TraesCS4B01G342400;TraesCS1B01G095800;TraesCS2B01G615700;TraesCS4D01G234000;TraesCS1B01G286300;TraesCS2B01G124900;TraesCS2B01G001100;TraesCS6B01G339700;TraesCS2B01G049400;TraesCS7D01G024500;TraesCS4D01G170600;TraesCS7D01G511500;TraesCS3B01G438700;TraesCS6A01G082000;TraesCS6D01G289300;TraesCS2D01G583000;TraesCS5A01G362400;TraesCS4A01G235800;TraesCS4A01G036100;TraesCS1A01G078100;TraesCS5B01G334000;TraesCS2A01G044900;TraesCS1B01G330400;TraesCS2A01G036600;TraesCS2A01G015600;TraesCS4B01G268900;TraesCSU01G134000;TraesCS3D01G077400;TraesCS5A01G287700;TraesCS2B01G006900;TraesCS3A01G077300;TraesCS2B01G615600;TraesCS6A01G012600;TraesCS2D01G016000;TraesCS4B01G009700;TraesCS2D01G043500;TraesCS7B01G310900;TraesCS4B01G005900;TraesCS3D01G325700;TraesCS4D01G268200;TraesCS1D01G317700;TraesCS1A01G317900;TraesCS5B01G147200;TraesCS6B01G264900;TraesCS4A01G136600;TraesCS4D01G338000;TraesCSU01G012200;TraesCS2D01G583100;TraesCS4A01G445600;TraesCS7A01G522200;TraesCS2B01G006600;TraesCS6A01G081900;TraesCS2B01G186100</t>
  </si>
  <si>
    <t>TraesCS2A01G565700;TraesCS2A01G066800;TraesCS2B01G049400;TraesCS5A01G165700;TraesCS2D01G035500;TraesCS7D01G028900;TraesCS2B01G057100;TraesCS7D01G511500;TraesCS5B01G162800;TraesCS2D01G002800;TraesCS5A01G362400;TraesCS2A01G067200;TraesCS2A01G067000;TraesCS2B01G035600;TraesCS5D01G169900;TraesCS5A01G165400;TraesCS5B01G334000;TraesCS5A01G056600;TraesCS5A01G348100;TraesCS5D01G006800;TraesCS2A01G015800;TraesCS2A01G036600;TraesCS2A01G015600;TraesCS2B01G079500;TraesCS2D01G065600;TraesCS2D01G065400;TraesCS2D01G065200;TraesCS2A01G015400;TraesCS5B01G364300;TraesCS2B01G079100;TraesCS5B01G349200;TraesCS4B01G009700;TraesCS4B01G005900;TraesCS2A01G066900;TraesCS2A01G066700;TraesCS2B01G057800;TraesCS7D01G511600;TraesCSU01G012200;TraesCS2A01G067100;TraesCS5D01G370600;TraesCS2A01G067300;TraesCS5D01G169600;TraesCS4A01G445600;TraesCS2D01G002500;TraesCS7A01G522200;TraesCS2B01G006600;TraesCS6D01G163800;TraesCS2D01G065500;TraesCS2D01G065300;TraesCS2D01G065100;TraesCS5D01G354300;TraesCS2B01G079400;TraesCS5B01G364200</t>
  </si>
  <si>
    <t>oxidoreductase activity, acting on paired donors, with incorporation or reduction of molecular oxygen</t>
  </si>
  <si>
    <t>TraesCS2B01G090400;TraesCS2A01G565700;TraesCS3B01G362200;TraesCS1B01G177900;TraesCS1B01G286300;TraesCS2B01G001100;TraesCS4B01G135900;TraesCS5D01G244700;TraesCS2B01G049400;TraesCS2D01G035500;TraesCS6B01G203300;TraesCS7D01G028900;TraesCS7D01G024500;TraesCS5D01G131500;TraesCS2B01G057100;TraesCS7D01G511500;TraesCS2B01G005900;TraesCS2B01G412900;TraesCS6A01G082000;TraesCS2A01G002900;TraesCS2D01G002800;TraesCS5A01G236800;TraesCS5A01G362400;TraesCS3D01G364300;TraesCS5A01G123600;TraesCS7D01G142100;TraesCS2B01G035600;TraesCS5B01G334000;TraesCS2A01G044900;TraesCS5A01G056600;TraesCS5A01G348100;TraesCS5D01G006800;TraesCS2A01G015800;TraesCS2A01G036600;TraesCS2A01G015600;TraesCS5A01G237000;TraesCS4D01G005600;TraesCSU01G134000;TraesCS3D01G505600;TraesCS6A01G081800;TraesCS3D01G077400;TraesCS4A01G326700;TraesCS5A01G287700;TraesCS4B01G344800;TraesCS5B01G123200;TraesCS2A01G015400;TraesCS5B01G364300;TraesCS1D01G366700;TraesCSU01G073000;TraesCS2B01G006900;TraesCS3A01G077300;TraesCS5B01G349200;TraesCS6A01G012600;TraesCS2D01G016000;TraesCS4B01G009700;TraesCS2D01G043500;TraesCS7B01G310900;TraesCS4B01G005900;TraesCS3D01G325700;TraesCS2A01G045600;TraesCS6B01G018800;TraesCS2B01G057800;TraesCS5B01G235900;TraesCS2A01G014900;TraesCSU01G032500;TraesCS7D01G511600;TraesCS5D01G548700;TraesCS3A01G332200;TraesCS4D01G338000;TraesCS5B01G414400;TraesCSU01G012200;TraesCS4D01G130700;TraesCS5D01G370600;TraesCS2D01G015000;TraesCS7A01G411700;TraesCS3B01G256400;TraesCS4A01G445600;TraesCS2D01G002500;TraesCS4A01G182700;TraesCS7A01G522200;TraesCS2B01G396000;TraesCS2B01G006600;TraesCS4B01G342000;TraesCS6A01G081900;TraesCS6D01G163800;TraesCS2B01G186100;TraesCS5D01G354300;TraesCS5B01G364200;TraesCS4B01G342400</t>
  </si>
  <si>
    <t>TraesCS4D01G129800;TraesCS7D01G195900;TraesCS3A01G508000;TraesCS3D01G346700;TraesCS5D01G558600;TraesCS1D01G161500;TraesCS5B01G566200;TraesCS6A01G188600;TraesCS7D01G462600;TraesCS6B01G133500;TraesCS5A01G317400;TraesCS6A01G245600;TraesCS1A01G231500;TraesCS3B01G369000;TraesCS7D01G211000;TraesCS6D01G264200;TraesCS7A01G211600;TraesCS3B01G354300;TraesCS7A01G389600;TraesCS4B01G135100;TraesCS7D01G108900;TraesCS3A01G393500;TraesCS4A01G172100;TraesCS2D01G562400;TraesCS7D01G010000;TraesCS5B01G382900;TraesCS2B01G297300;TraesCS5B01G076600;TraesCS7B01G250700;TraesCS5A01G263700;TraesCS1D01G116700;TraesCS5B01G024600;TraesCS3D01G440200;TraesCS1A01G339400;TraesCS7B01G169700;TraesCS1A01G203700;TraesCS1D01G357000;TraesCS7A01G510800;TraesCS1D01G309600;TraesCS2B01G427200;TraesCS4B01G363700;TraesCS2D01G015900;TraesCS5B01G331300;TraesCS7A01G489300;TraesCS7D01G271200;TraesCS2A01G584800;TraesCS2B01G007100;TraesCS5B01G394000;TraesCS6B01G118000;TraesCS6D01G350300;TraesCS5B01G015000;TraesCS6A01G351900;TraesCS6B01G278800;TraesCS7A01G389500;TraesCS6D01G228000;TraesCS4D01G335600;TraesCS7A01G272400;TraesCS3A01G208600;TraesCS5B01G294700;TraesCS4A01G046800;TraesCS4A01G321800;TraesCS4A01G445000;TraesCS4B01G060600;TraesCS3D01G534400;TraesCS6A01G351000;TraesCS7A01G113600;TraesCS1D01G404300;TraesCS1A01G020700;TraesCS1D01G370700;TraesCS3B01G483500;TraesCS7B01G421700;TraesCS5A01G434700;TraesCS5D01G323700;TraesCS6A01G104300;TraesCS5D01G566700;TraesCS5D01G302900;TraesCS3B01G385400;TraesCS3D01G323900;TraesCS7D01G500200;TraesCS1B01G368600;TraesCS3D01G235600;TraesCS6B01G349500;TraesCS7D01G399000;TraesCS4A01G316500;TraesCS4A01G308200;TraesCS3D01G225000;TraesCS2A01G521000;TraesCS1B01G354200;TraesCS5D01G322200;TraesCS2A01G364400;TraesCS3B01G562700;TraesCS7B01G118600;TraesCS5D01G248700;TraesCS3B01G529700;TraesCS3B01G598100;TraesCS6B01G383700;TraesCS7A01G194300;TraesCS3A01G232300;TraesCS2A01G279600;TraesCS7A01G074500;TraesCS2B01G382900;TraesCS2D01G332500;TraesCS6B01G449000;TraesCS4D01G143100;TraesCS7B01G153600;TraesCS7A01G405000;TraesCS3A01G352700;TraesCS3D01G220900;TraesCS6A01G337600;TraesCS1A01G396200;TraesCS4A01G173100;TraesCS5D01G336700;TraesCS4A01G316400;TraesCS1A01G115300;TraesCS5A01G017000;TraesCS2B01G591900;TraesCS5B01G006600;TraesCS3B01G530000;TraesCS6B01G312000;TraesCS5D01G194800;TraesCS6B01G368000;TraesCS7A01G404700;TraesCS1A01G403700;TraesCS7A01G010200;TraesCS2A01G153000;TraesCS2B01G612200;TraesCS7A01G381400;TraesCS4B01G117000;TraesCS6A01G007000;TraesCS3B01G359800;TraesCS4A01G426300;TraesCS5B01G458500;TraesCS5B01G227600;TraesCS6A01G283700;TraesCS1D01G389900;TraesCS5A01G138700;TraesCS6A01G161600;TraesCS6B01G393400;TraesCS7B01G283300;TraesCS1D01G020200;TraesCS4A01G133100;TraesCS4D01G114700;TraesCS7A01G426700;TraesCS7B01G291400;TraesCS2A01G408900;TraesCS3A01G529100;TraesCS2A01G215300;TraesCS3D01G478300;TraesCS1D01G249500;TraesCS5D01G552900;TraesCS2D01G582400;TraesCS2A01G507300;TraesCS3B01G104300;TraesCS4A01G253600;TraesCS7B01G327000;TraesCS3D01G008400;TraesCS6A01G337300;TraesCS3D01G275700;TraesCS6A01G002700;TraesCSU01G114300;TraesCS2A01G574700;TraesCS5A01G532400;TraesCS5A01G330900;TraesCS7B01G467200;TraesCS2A01G384600;TraesCS1B01G407300;TraesCSU01G021800;TraesCS6D01G135300;TraesCS7D01G069500;TraesCS2D01G074800;TraesCS7B01G304100;TraesCS4A01G485900;TraesCS4B01G242300;TraesCS3A01G235500;TraesCS5B01G507400;TraesCS2D01G278500;TraesCS6D01G008900;TraesCS6D01G002800;TraesCS5B01G319700;TraesCS3A01G038200;TraesCS1D01G451500;TraesCS3A01G447500;TraesCS7A01G404900;TraesCS3A01G351000;TraesCS6A01G367300;TraesCS7D01G385500;TraesCS2B01G091000;TraesCS3D01G345100;TraesCS5A01G316000;TraesCS1A01G353200;TraesCS3D01G041700;TraesCS4A01G484800;TraesCS1B01G321200;TraesCS7B01G467100;TraesCS1D01G092700;TraesCS4A01G116700;TraesCS1D01G127400;TraesCS3B01G045600;TraesCS7D01G363100;TraesCS1D01G234700;TraesCS7A01G359700;TraesCS7A01G489400;TraesCS6D01G360200;TraesCS3A01G239200;TraesCS4A01G469600;TraesCS2B01G550300;TraesCS6D01G318100;TraesCS4A01G398600;TraesCS1A01G126100;TraesCS2D01G362300;TraesCS4D01G241900;TraesCS5B01G556600;TraesCS1A01G365200;TraesCS2A01G591900;TraesCS4A01G321700;TraesCS2D01G522700;TraesCS5D01G033200;TraesCS7D01G397900;TraesCS1B01G246400;TraesCS5D01G398300;TraesCS2B01G273900;TraesCS5B01G236800;TraesCS3D01G331000;TraesCS2B01G599800;TraesCS6D01G093000;TraesCS1B01G407500;TraesCS5B01G309300;TraesCS1B01G477900;TraesCS1D01G266300;TraesCS4A01G469500;TraesCS3B01G383600;TraesCS7B01G291300;TraesCS2D01G542200;TraesCS4A01G183500;TraesCS3B01G163700;TraesCS4D01G085600;TraesCS4D01G257900;TraesCS5A01G164000;TraesCS5B01G562700;TraesCS3B01G136800;TraesCS3A01G330500;TraesCS1A01G237900;TraesCS3A01G227000;TraesCS1A01G382200;TraesCS3B01G004200;TraesCS7D01G385700;TraesCS5D01G169000;TraesCS4A01G426700;TraesCS7D01G190300;TraesCS1D01G441900;TraesCSU01G014100;TraesCS2A01G510400;TraesCS2D01G522600;TraesCS5D01G104300;TraesCS2D01G338300;TraesCS1B01G382700;TraesCS7D01G398900;TraesCS1B01G135200;TraesCS7D01G346700;TraesCS4B01G258000;TraesCS5A01G071000;TraesCS4B01G136700;TraesCS7D01G095900;TraesCS1B01G181300;TraesCS2D01G510500;TraesCS6B01G273200;TraesCS7D01G419200;TraesCS4B01G143900;TraesCS4B01G363800</t>
  </si>
  <si>
    <t>TraesCS3A01G451100;TraesCS7B01G006200;TraesCS2D01G135300;TraesCS5D01G122700;TraesCS7A01G206000;TraesCS1D01G147800;TraesCS2A01G507700;TraesCS5D01G131500;TraesCS5B01G187900;TraesCS2A01G385100;TraesCS6D01G321600;TraesCS3D01G279300;TraesCS4D01G176600;TraesCS5A01G123600;TraesCS1B01G048000;TraesCS1A01G040900;TraesCS7D01G228500;TraesCS4D01G329200;TraesCS6A01G026800;TraesCS7A01G107500;TraesCS7B01G113100;TraesCS4A01G326700;TraesCS7B01G113300;TraesCS7D01G101900;TraesCS5B01G123200;TraesCS6B01G372900;TraesCS5A01G195500;TraesCS4A01G129900;TraesCS5D01G017000;TraesCS3B01G488500;TraesCS7D01G208600;TraesCS7B01G006300;TraesCS7A01G206100;TraesCS7B01G006100;TraesCS5A01G076500;TraesCS2D01G165300;TraesCS6A01G025200;TraesCS2D01G381800;TraesCS2B01G156800;TraesCS5D01G548700;TraesCS4A01G206400;TraesCS5A01G503600;TraesCS3B01G313800;TraesCS7A01G226000;TraesCS1A01G439000;TraesCS7B01G193600;TraesCS7B01G113000;TraesCS7B01G113200;TraesCS6A01G341400</t>
  </si>
  <si>
    <t>cofactor binding</t>
  </si>
  <si>
    <t>TraesCS7B01G375600;TraesCS2A01G565700;TraesCS3B01G362200;TraesCS1B01G177900;TraesCS3B01G425300;TraesCS4A01G076700;TraesCS1B01G433300;TraesCS2D01G035500;TraesCS6B01G203300;TraesCS7D01G028900;TraesCS2B01G057100;TraesCS4B01G232800;TraesCS2A01G591600;TraesCS3B01G398000;TraesCS6D01G323500;TraesCS2B01G005900;TraesCS2B01G284900;TraesCS1D01G114800;TraesCS2A01G002900;TraesCS2D01G002800;TraesCS7D01G442300;TraesCS3D01G364300;TraesCS7D01G276300;TraesCS2B01G035600;TraesCS6D01G258300;TraesCS5A01G056600;TraesCS1B01G084700;TraesCS7B01G273800;TraesCS5D01G006800;TraesCS2A01G015800;TraesCS3D01G505600;TraesCS6A01G081800;TraesCS2B01G333700;TraesCS3D01G519600;TraesCS7D01G472000;TraesCS2A01G015400;TraesCS5B01G364300;TraesCS1D01G366700;TraesCSU01G073000;TraesCS1D01G079800;TraesCS2B01G615800;TraesCS2D01G265100;TraesCS3A01G180300;TraesCS3D01G359200;TraesCS6D01G054600;TraesCS2A01G045600;TraesCS6B01G018800;TraesCS2B01G057800;TraesCS2A01G014900;TraesCSU01G032500;TraesCS7D01G511600;TraesCS6A01G277800;TraesCS3A01G332200;TraesCS5B01G414400;TraesCS5D01G370600;TraesCS6A01G309900;TraesCS2D01G015000;TraesCS7A01G411700;TraesCS3B01G256400;TraesCS2D01G002500;TraesCS4B01G342000;TraesCS6D01G163800;TraesCS2D01G313500;TraesCS1B01G133500;TraesCS2A01G571500;TraesCS2A01G315300;TraesCS4D01G359400;TraesCS5D01G354300;TraesCS2A01G552200;TraesCS2A01G573400;TraesCS5B01G364200;TraesCS4B01G342400;TraesCS1B01G095800;TraesCS5A01G281600;TraesCS2B01G615700;TraesCS5D01G309100;TraesCS4D01G234000;TraesCS1B01G286300;TraesCS2B01G124900;TraesCS2B01G001100;TraesCS6B01G339700;TraesCS1D01G426600;TraesCS2B01G049400;TraesCS2B01G592100;TraesCS3D01G359300;TraesCS7B01G388200;TraesCS7D01G024500;TraesCS4D01G170600;TraesCS6A01G380800;TraesCS1A01G403800;TraesCS7D01G511500;TraesCS3B01G438700;TraesCS6A01G082000;TraesCS6D01G289300;TraesCS2D01G583000;TraesCS3A01G366300;TraesCS5A01G362400;TraesCS4A01G235800;TraesCS4A01G036100;TraesCS1A01G078100;TraesCS5B01G334000;TraesCS2A01G044900;TraesCS2D01G562600;TraesCS1B01G330400;TraesCS5A01G348100;TraesCS2A01G036600;TraesCS2A01G015600;TraesCS4B01G268900;TraesCS1A01G066400;TraesCSU01G134000;TraesCS3B01G397900;TraesCS3D01G077400;TraesCS5A01G287700;TraesCS2B01G006900;TraesCS3A01G077300;TraesCS5B01G349200;TraesCS1D01G411600;TraesCS2B01G615600;TraesCS5B01G268100;TraesCS6A01G012600;TraesCS2D01G016000;TraesCS4B01G009700;TraesCS2D01G043500;TraesCS7B01G310900;TraesCS4B01G005900;TraesCS1A01G113400;TraesCS3D01G325700;TraesCS4D01G268200;TraesCS1D01G317700;TraesCS1A01G317900;TraesCS5B01G147200;TraesCS6B01G264900;TraesCS7A01G484600;TraesCS1D01G067500;TraesCS4A01G136600;TraesCS4D01G338000;TraesCSU01G012200;TraesCS2D01G583100;TraesCS4A01G445600;TraesCS7B01G273900;TraesCS3A01G366400;TraesCS7A01G522200;TraesCS1D01G123400;TraesCS2B01G006600;TraesCS5A01G268300;TraesCS6A01G081900;TraesCS7D01G369000;TraesCS7A01G353800;TraesCS2B01G186100;TraesCS3A01G316500</t>
  </si>
  <si>
    <t>TraesCS1A01G231500</t>
  </si>
  <si>
    <t>TraesCS2B01G090400;TraesCS4D01G130700;TraesCS5A01G236800;TraesCS5A01G123600;TraesCS4A01G182700;TraesCS4B01G135900;TraesCS5D01G244700;TraesCS5A01G237000;TraesCS5B01G235900;TraesCS4A01G326700;TraesCS5D01G131500;TraesCS5B01G123200;TraesCS5D01G548700</t>
  </si>
  <si>
    <t>TraesCS4D01G129800;TraesCS7B01G291400;TraesCS1B01G368600;TraesCS3A01G529100;TraesCS3D01G235600;TraesCS4A01G316500;TraesCS2D01G582400;TraesCS6B01G133500;TraesCS2A01G507300;TraesCS3B01G104300;TraesCS1A01G231500;TraesCS6A01G002700;TraesCS2A01G364400;TraesCS3B01G354300;TraesCS7A01G389600;TraesCS4A01G398600;TraesCS4B01G135100;TraesCS1A01G126100;TraesCS2D01G362300;TraesCS7D01G108900;TraesCS3B01G598100;TraesCS4A01G172100;TraesCS5A01G532400;TraesCS6B01G383700;TraesCS2B01G297300;TraesCS7B01G250700;TraesCS1D01G116700;TraesCS7B01G467200;TraesCS5B01G236800;TraesCS1A01G339400;TraesCS2A01G279600;TraesCS2B01G382900;TraesCS1D01G357000;TraesCS2D01G332500;TraesCS6D01G093000;TraesCS1B01G407500;TraesCS4D01G143100;TraesCS1B01G407300;TraesCS6D01G135300;TraesCS1B01G477900;TraesCS1D01G266300;TraesCS3B01G383600;TraesCS4A01G316400;TraesCS7B01G291300;TraesCS1A01G115300;TraesCS4A01G183500;TraesCS3B01G163700;TraesCS3A01G235500;TraesCS5B01G507400;TraesCS5A01G164000;TraesCS5B01G562700;TraesCS2D01G278500;TraesCS6D01G008900;TraesCS6D01G002800;TraesCS6A01G351900;TraesCS7A01G389500;TraesCS1D01G451500;TraesCS1A01G382200;TraesCS3A01G351000;TraesCS4D01G335600;TraesCS7D01G385500;TraesCS1A01G403700;TraesCS7D01G385700;TraesCS5D01G169000;TraesCS4A01G426700;TraesCS4A01G445000;TraesCS3D01G534400;TraesCS6A01G007000;TraesCS3D01G345100;TraesCS3B01G359800;TraesCS4A01G426300;TraesCS5B01G458500;TraesCS6A01G351000;TraesCS7A01G113600;TraesCS1A01G353200;TraesCS1A01G020700;TraesCS1D01G389900;TraesCS7B01G467100;TraesCS1B01G135200;TraesCS7D01G346700;TraesCS4A01G116700;TraesCS5A01G434700;TraesCS7D01G095900;TraesCS1D01G127400;TraesCS1D01G020200;TraesCS6B01G273200;TraesCS4A01G133100;TraesCS6A01G104300;TraesCS4B01G363800;TraesCS5D01G566700</t>
  </si>
  <si>
    <t>TraesCS2A01G565700;TraesCS3B01G362200;TraesCS1B01G177900;TraesCS1B01G286300;TraesCS6B01G018700;TraesCS2B01G001100;TraesCS2B01G049400;TraesCS1D01G147800;TraesCS2D01G035500;TraesCS6B01G203300;TraesCS7D01G028900;TraesCS7D01G024500;TraesCS2B01G057100;TraesCS2A01G385100;TraesCS7D01G511500;TraesCS2B01G005900;TraesCS6A01G082000;TraesCS2A01G002900;TraesCS2D01G002800;TraesCS5A01G362400;TraesCS3D01G364300;TraesCS7D01G142100;TraesCS2B01G035600;TraesCS5B01G334000;TraesCS2A01G044900;TraesCS5A01G056600;TraesCS6D01G015100;TraesCS5D01G006800;TraesCS2A01G015800;TraesCS2A01G036600;TraesCS4D01G329200;TraesCS2A01G015600;TraesCSU01G134000;TraesCS3D01G505600;TraesCS6A01G081800;TraesCS3D01G077400;TraesCS5A01G287700;TraesCS2A01G015400;TraesCS5B01G364300;TraesCS1D01G366700;TraesCSU01G073000;TraesCS2B01G006900;TraesCS3A01G077300;TraesCS6A01G012600;TraesCS2D01G016000;TraesCS4B01G009700;TraesCS2D01G043500;TraesCS7B01G310900;TraesCS4B01G005900;TraesCS3D01G325700;TraesCS2A01G045600;TraesCS6B01G018800;TraesCS2B01G057800;TraesCS2D01G165300;TraesCS2A01G014900;TraesCSU01G032500;TraesCS2D01G381800;TraesCS7D01G511600;TraesCS3A01G332200;TraesCS4D01G338000;TraesCS5B01G414400;TraesCSU01G012200;TraesCS5A01G503600;TraesCS5D01G370600;TraesCS2D01G015000;TraesCS7A01G411700;TraesCS3B01G256400;TraesCS4A01G445600;TraesCS2D01G002500;TraesCS7A01G522200;TraesCS2B01G006600;TraesCS4B01G342000;TraesCS6A01G081900;TraesCS6D01G163800;TraesCS2B01G186100;TraesCS5B01G364200;TraesCS4B01G342400</t>
  </si>
  <si>
    <t>TraesCS1A01G256500</t>
  </si>
  <si>
    <t>TraesCS2B01G090400;TraesCS5D01G244700;TraesCS5A01G236800;TraesCS5A01G237000;TraesCS5B01G235900;TraesCS5A01G123600;TraesCS4A01G326700;TraesCS5D01G131500;TraesCS5B01G123200;TraesCS5D01G548700</t>
  </si>
  <si>
    <t>TraesCS5A01G165700;TraesCS2D01G065400;TraesCS2D01G065500;TraesCS5A01G165400;TraesCS2A01G067300;TraesCS5D01G169600;TraesCS2B01G079400;TraesCS5B01G162800</t>
  </si>
  <si>
    <t>TraesCS1A01G270000</t>
  </si>
  <si>
    <t>TraesCS1B01G314100;TraesCS4D01G091700;TraesCS7B01G295600;TraesCS4A01G216700;TraesCS3A01G257700;TraesCS5D01G383700;TraesCS7A01G199900;TraesCS7A01G469300;TraesCS1B01G307100;TraesCS3B01G498200;TraesCS6D01G290000;TraesCS2D01G523600;TraesCS3B01G521800;TraesCS7A01G393600;TraesCS5B01G149200;TraesCS7D01G456900;TraesCS3D01G257700;TraesCS3D01G443400;TraesCS5D01G002400;TraesCS7D01G388900</t>
  </si>
  <si>
    <t>TraesCS1A01G270100</t>
  </si>
  <si>
    <t>TraesCS5B01G220000;TraesCS5D01G447800;TraesCS3B01G425300;TraesCS5D01G122700;TraesCS1A01G113400;TraesCS2A01G066800;TraesCS2A01G066900;TraesCS4D01G215800;TraesCS3B01G259300;TraesCS2A01G066700;TraesCS4B01G215300;TraesCS1D01G207200;TraesCS5A01G165700;TraesCS5A01G221200;TraesCS3D01G223300;TraesCS6D01G065100;TraesCS2B01G024500;TraesCS2D01G423500;TraesCS5B01G162800;TraesCS1D01G114800;TraesCS2A01G067100;TraesCS4A01G206400;TraesCS2A01G067200;TraesCS2A01G067000;TraesCS5D01G169900;TraesCS5A01G165400;TraesCS2A01G067300;TraesCS5D01G169600;TraesCS3A01G230000;TraesCS2B01G079500;TraesCS2D01G065600;TraesCS2D01G065400;TraesCS2D01G313500;TraesCS2B01G333700;TraesCS2D01G065500;TraesCS6A01G184500;TraesCS1B01G133500;TraesCS2D01G065200;TraesCS5D01G228900;TraesCS2D01G065300;TraesCS2A01G315300;TraesCS2D01G065100;TraesCS3D01G519600;TraesCS4D01G359400;TraesCS2A01G552200;TraesCS2B01G079400;TraesCS5B01G014900;TraesCS2B01G079100</t>
  </si>
  <si>
    <t>TraesCS1B01G314100;TraesCS3A01G390100;TraesCS4D01G091700;TraesCS7B01G295600;TraesCS2A01G521800;TraesCS5D01G447300;TraesCS1D01G161500;TraesCS5D01G235100;TraesCS7A01G199900;TraesCS3B01G016200;TraesCS3B01G362000;TraesCS5A01G227600;TraesCS3B01G498200;TraesCS2D01G058700;TraesCS2A01G385500;TraesCS5B01G149200;TraesCS7B01G032300;TraesCS3D01G443400;TraesCS5D01G001600;TraesCS1A01G303800;TraesCS3A01G393500;TraesCS6A01G420400;TraesCS2B01G551300;TraesCS4A01G216700;TraesCS2D01G422000;TraesCS3A01G257700;TraesCS5D01G383700;TraesCS7A01G469300;TraesCS6D01G290000;TraesCS6B01G360800;TraesCS3D01G488300;TraesCS2B01G273900;TraesCS3B01G372100;TraesCS5A01G512200;TraesCS7A01G393600;TraesCS3A01G331900;TraesCS5A01G069100;TraesCS1D01G343200;TraesCS1D01G309600;TraesCS7A01G556800;TraesCS1D01G087900;TraesCS5D01G002400;TraesCS7D01G476400;TraesCS2D01G369400;TraesCS1B01G104700;TraesCS3A01G019600;TraesCS3B01G144700;TraesCS3D01G027300;TraesCS5A01G017000;TraesCS2D01G523600;TraesCS4D01G257900;TraesCS6B01G340700;TraesCS6A01G136900;TraesCS3B01G136800;TraesCS1A01G086300;TraesCS5B01G015000;TraesCS7D01G456900;TraesCS1A01G426300;TraesCS6B01G201300;TraesCS7D01G553900;TraesCS4A01G046800;TraesCS5A01G312200;TraesCS4B01G333700;TraesCS4D01G344800;TraesCS7A01G490000;TraesCSU01G014100;TraesCS7B01G393200;TraesCS1B01G307100;TraesCS7A01G411700;TraesCS4D01G365800;TraesCS1B01G321200;TraesCS4B01G339600;TraesCS5A01G440100;TraesCS6D01G330500;TraesCS4A01G294300;TraesCS6B01G258700;TraesCS3B01G026700;TraesCS4B01G258000;TraesCS1A01G310300;TraesCS3B01G521800;TraesCS3D01G379600;TraesCSU01G108000;TraesCS1B01G181300;TraesCS3D01G257700;TraesCS1A01G341100;TraesCS1B01G353800;TraesCS2B01G390300;TraesCS7D01G388900</t>
  </si>
  <si>
    <t>TraesCS1A01G301800</t>
  </si>
  <si>
    <t>TraesCS3A01G366300;TraesCS3D01G359300;TraesCS3B01G397900;TraesCS3D01G359200;TraesCS3A01G366400;TraesCS3B01G398000</t>
  </si>
  <si>
    <t>TraesCS1D01G375600;TraesCS3A01G451100;TraesCS7B01G006200;TraesCS2D01G135300;TraesCS7A01G206000;TraesCS1D01G147800;TraesCS4D01G215000;TraesCS2A01G507700;TraesCS2B01G007200;TraesCS1A01G369600;TraesCS2D01G016300;TraesCS5D01G131500;TraesCS5B01G187900;TraesCS2A01G385100;TraesCS6D01G321600;TraesCS3D01G279300;TraesCS5A01G123600;TraesCS6D01G258300;TraesCS1B01G388700;TraesCS1B01G048000;TraesCS1A01G040900;TraesCS4D01G329200;TraesCS6A01G026800;TraesCS7A01G107500;TraesCS7B01G113100;TraesCS4A01G089900;TraesCS4A01G326700;TraesCS7B01G113300;TraesCS7D01G101900;TraesCS5B01G123200;TraesCS6B01G372900;TraesCS5A01G195500;TraesCS1D01G375500;TraesCS5D01G017000;TraesCS3B01G488500;TraesCS7D01G208600;TraesCS7B01G006300;TraesCS7A01G206100;TraesCS7B01G006100;TraesCS7B01G459300;TraesCS5A01G076500;TraesCS2D01G165300;TraesCS6A01G025200;TraesCS2D01G381800;TraesCS2B01G156800;TraesCS4B01G267200;TraesCS2A01G467900;TraesCS5D01G548700;TraesCS6A01G277800;TraesCS5A01G503600;TraesCS4A01G038500;TraesCS7D01G111200;TraesCS3B01G313800;TraesCS1A01G439000;TraesCS7B01G113000;TraesCS4A01G301600;TraesCS7B01G113200;TraesCS6A01G341400</t>
  </si>
  <si>
    <t>TraesCS1A01G307900</t>
  </si>
  <si>
    <t>TraesCS2B01G013000;TraesCS4D01G129800;TraesCS2A01G565700;TraesCS5D01G447300;TraesCS1D01G161500;TraesCS4B01G015200;TraesCS1B01G433300;TraesCS7A01G206000;TraesCS4D01G215000;TraesCS4B01G135100;TraesCS1A01G290700;TraesCS2D01G002800;TraesCS3A01G393500;TraesCS5A01G039000;TraesCS3B01G336200;TraesCS4A01G216700;TraesCS7D01G276300;TraesCS6D01G258300;TraesCS5B01G288600;TraesCS3D01G440200;TraesCS5A01G069100;TraesCS5D01G304300;TraesCS7A01G510800;TraesCS7B01G113100;TraesCS1D01G309600;TraesCS7A01G556800;TraesCS3B01G286400;TraesCS1B01G104700;TraesCS3B01G488500;TraesCS3D01G027300;TraesCS2D01G523600;TraesCS6B01G340700;TraesCS4A01G046800;TraesCS4D01G130700;TraesCS4B01G333700;TraesCS7B01G410700;TraesCS1D01G059800;TraesCS1A01G301800;TraesCS4D01G365800;TraesCS1B01G300000;TraesCS2D01G015800;TraesCS4A01G294300;TraesCS5A01G115800;TraesCS7B01G421700;TraesCS4A01G081200;TraesCS1B01G311800;TraesCS3B01G449100;TraesCS6D01G009600;TraesCS2B01G390300;TraesCS7D01G500200;TraesCS3B01G169300;TraesCS2A01G521800;TraesCS2D01G181200;TraesCS4D01G150200;TraesCS5D01G030200;TraesCS2D01G058700;TraesCS1A01G403800;TraesCS2A01G572200;TraesCS4A01G136500;TraesCS7B01G185600;TraesCS2D01G396200;TraesCS6D01G206100;TraesCS2D01G422000;TraesCS6D01G290000;TraesCS1B01G321500;TraesCS2B01G457100;TraesCS3B01G372100;TraesCS2A01G279600;TraesCS3A01G331900;TraesCS7A01G533900;TraesCS3A01G243300;TraesCS5D01G002400;TraesCS5A01G289200;TraesCS4B01G279900;TraesCS3A01G019600;TraesCS5D01G017000;TraesCS1B01G066900;TraesCS1D01G002900;TraesCS5B01G081900;TraesCS7A01G156600;TraesCS4D01G302000;TraesCS1B01G077000;TraesCS2A01G572900;TraesCS2B01G416600;TraesCS4D01G170700;TraesCS5D01G091100;TraesCS4B01G192200;TraesCS2B01G612200;TraesCS7B01G393200;TraesCS1B01G307100;TraesCS4A01G182700;TraesCS6D01G330500;TraesCS2A01G363900;TraesCS5B01G318300;TraesCS6B01G393400;TraesCS6D01G267900;TraesCS1D01G020200;TraesCS7D01G157000;TraesCS4A01G301600;TraesCS7A01G189300;TraesCS1B01G314100;TraesCS1A01G050400;TraesCS4D01G278300;TraesCS3B01G429900;TraesCS3B01G551200;TraesCS2B01G057100;TraesCS5B01G552200;TraesCS6D01G321600;TraesCS5A01G081500;TraesCS5B01G539900;TraesCS1D01G114800;TraesCS5B01G296500;TraesCS2B01G551300;TraesCS7A01G503200;TraesCS2B01G251700;TraesCS3D01G381300;TraesCS1A01G058700;TraesCS4A01G089900;TraesCS1D01G087900;TraesCS6D01G267200;TraesCS2D01G369400;TraesCS5B01G440500;TraesCS3A01G388200;TraesCS4A01G404100;TraesCS7D01G521400;TraesCS2A01G045600;TraesCS2B01G179200;TraesCS2A01G316900;TraesCS6A01G277800;TraesCS7D01G553900;TraesCS6B01G381900;TraesCS7A01G490000;TraesCS1B01G321200;TraesCS3B01G026700;TraesCS2B01G335500;TraesCS1A01G341100;TraesCS1B01G353800;TraesCS6B01G015300;TraesCS7D01G388900;TraesCS4D01G091700;TraesCS3B01G362000;TraesCS7B01G451200;TraesCS3B01G264300;TraesCS7B01G060400;TraesCS2A01G385500;TraesCS5B01G149200;TraesCS4A01G111600;TraesCS6D01G006500;TraesCS4A01G023700;TraesCS5D01G001600;TraesCS2B01G615300;TraesCS3D01G022500;TraesCS6A01G009000;TraesCS1A01G303800;TraesCS6A01G420400;TraesCS6B01G360800;TraesCS4D01G214500;TraesCSU01G066200;TraesCS3D01G488300;TraesCS4D01G329200;TraesCS5B01G150200;TraesCS5A01G512200;TraesCS1D01G343200;TraesCS7D01G476400;TraesCS1D01G411600;TraesCS4D01G150500;TraesCS1D01G289300;TraesCS4B01G009700;TraesCS2A01G380500;TraesCS4A01G183500;TraesCS2A01G284100;TraesCS4D01G257900;TraesCS2D01G314800;TraesCS3B01G136800;TraesCS6A01G287100;TraesCS4A01G058700;TraesCS1A01G086300;TraesCS1A01G426300;TraesCS2D01G381800;TraesCS6B01G201300;TraesCS4B01G194100;TraesCS5B01G084900;TraesCS3B01G420500;TraesCS4D01G344800;TraesCS6A01G166100;TraesCS1D01G441900;TraesCSU01G014100;TraesCS5D01G297100;TraesCS2A01G398700;TraesCS2D01G522600;TraesCS2B01G012600;TraesCS4B01G339600;TraesCS5A01G440100;TraesCS4B01G258000;TraesCS1A01G310300;TraesCS5B01G215900;TraesCS1B01G181300;TraesCS2A01G391500</t>
  </si>
  <si>
    <t>TraesCS1D01G375600;TraesCS2B01G090400;TraesCS3A01G451100;TraesCS7B01G006200;TraesCS2D01G135300;TraesCS7A01G206000;TraesCS5D01G244700;TraesCS1D01G147800;TraesCS2A01G507700;TraesCS2B01G007200;TraesCS1A01G369600;TraesCS2D01G016300;TraesCS5D01G131500;TraesCS5B01G187900;TraesCS2A01G385100;TraesCS6D01G321600;TraesCS3D01G279300;TraesCS5A01G236800;TraesCS5A01G123600;TraesCS6D01G258300;TraesCS1B01G388700;TraesCS1B01G048000;TraesCS1D01G116700;TraesCS1A01G040900;TraesCS4D01G329200;TraesCS6A01G026800;TraesCS7A01G107500;TraesCS5A01G237000;TraesCS7B01G113100;TraesCS4A01G326700;TraesCS7B01G113300;TraesCS7D01G101900;TraesCS3D01G331600;TraesCS5B01G123200;TraesCS6B01G372900;TraesCS5A01G195500;TraesCS1B01G093600;TraesCS1D01G375500;TraesCS5D01G017000;TraesCS3B01G488500;TraesCS1A01G115300;TraesCS7D01G208600;TraesCS7B01G006300;TraesCS7A01G206100;TraesCS7B01G006100;TraesCS5A01G076500;TraesCS2D01G546200;TraesCS2D01G165300;TraesCS5B01G235900;TraesCS6A01G025200;TraesCS2D01G381800;TraesCS2B01G156800;TraesCS4B01G267200;TraesCS2A01G467900;TraesCS5D01G548700;TraesCS6A01G277800;TraesCS5A01G503600;TraesCS4A01G038500;TraesCS7D01G111200;TraesCS3B01G313800;TraesCS1B01G135200;TraesCS3D01G117300;TraesCS1A01G439000;TraesCS7B01G113000;TraesCS4A01G301600;TraesCS7B01G113200;TraesCS6A01G341400</t>
  </si>
  <si>
    <t>TraesCS1B01G477900;TraesCS3B01G598100;TraesCS4A01G172100;TraesCS3D01G534400;TraesCS6A01G007000;TraesCS3A01G529100;TraesCS6B01G383700;TraesCS5B01G458500;TraesCS6A01G351000;TraesCS5B01G507400;TraesCS1A01G231500;TraesCS4A01G116700;TraesCS5A01G434700;TraesCS3B01G354300;TraesCS4D01G143100;TraesCS1D01G451500;TraesCS1A01G403700</t>
  </si>
  <si>
    <t>TraesCS1A01G335600</t>
  </si>
  <si>
    <t>TraesCS2B01G013000;TraesCS4D01G129800;TraesCS2A01G565700;TraesCS5D01G447300;TraesCS1D01G161500;TraesCS4B01G015200;TraesCS1B01G433300;TraesCS7A01G206000;TraesCS4B01G135100;TraesCS1A01G290700;TraesCS2D01G002800;TraesCS3A01G393500;TraesCS5A01G039000;TraesCS3B01G336200;TraesCS4A01G216700;TraesCS7D01G276300;TraesCS6D01G258300;TraesCS5B01G288600;TraesCS3D01G440200;TraesCS5A01G069100;TraesCS5D01G304300;TraesCS7A01G510800;TraesCS7B01G113100;TraesCS1D01G309600;TraesCS7A01G556800;TraesCS3B01G286400;TraesCS1B01G104700;TraesCS3B01G488500;TraesCS3D01G027300;TraesCS2D01G523600;TraesCS6B01G340700;TraesCS4A01G046800;TraesCS4D01G130700;TraesCS4B01G333700;TraesCS7B01G410700;TraesCS1D01G059800;TraesCS1A01G301800;TraesCS4D01G365800;TraesCS1B01G300000;TraesCS2D01G015800;TraesCS4A01G294300;TraesCS5A01G115800;TraesCS7B01G421700;TraesCS4A01G081200;TraesCS1B01G311800;TraesCS3B01G449100;TraesCS6D01G009600;TraesCS2B01G390300;TraesCS7D01G500200;TraesCS3B01G169300;TraesCS2A01G521800;TraesCS2D01G181200;TraesCS4D01G150200;TraesCS5D01G030200;TraesCS2D01G058700;TraesCS1A01G403800;TraesCS2A01G572200;TraesCS4A01G136500;TraesCS7B01G185600;TraesCS2D01G396200;TraesCS6D01G206100;TraesCS2D01G422000;TraesCS6D01G290000;TraesCS1B01G321500;TraesCS2B01G457100;TraesCS3B01G372100;TraesCS2A01G279600;TraesCS3A01G331900;TraesCS7A01G533900;TraesCS3A01G243300;TraesCS5D01G002400;TraesCS5A01G289200;TraesCS4B01G279900;TraesCS3A01G019600;TraesCS5D01G017000;TraesCS1B01G066900;TraesCS1D01G002900;TraesCS5B01G081900;TraesCS7A01G156600;TraesCS4D01G302000;TraesCS1B01G077000;TraesCS2A01G572900;TraesCS2B01G416600;TraesCS4D01G170700;TraesCS5D01G091100;TraesCS4B01G192200;TraesCS2B01G612200;TraesCS7B01G393200;TraesCS1B01G307100;TraesCS4A01G182700;TraesCS6D01G330500;TraesCS2A01G363900;TraesCS5B01G318300;TraesCS6B01G393400;TraesCS1D01G020200;TraesCS7D01G157000;TraesCS4A01G301600;TraesCS7A01G189300;TraesCS1B01G314100;TraesCS1A01G050400;TraesCS4D01G278300;TraesCS3B01G429900;TraesCS3B01G551200;TraesCS2B01G057100;TraesCS5B01G552200;TraesCS6D01G321600;TraesCS5A01G081500;TraesCS5B01G539900;TraesCS1D01G114800;TraesCS5B01G296500;TraesCS2B01G551300;TraesCS7A01G503200;TraesCS2B01G251700;TraesCS3D01G381300;TraesCS1A01G058700;TraesCS1D01G087900;TraesCS6D01G267200;TraesCS2D01G369400;TraesCS5B01G440500;TraesCS3A01G388200;TraesCS4A01G404100;TraesCS7D01G521400;TraesCS2A01G045600;TraesCS2B01G179200;TraesCS2A01G316900;TraesCS6A01G277800;TraesCS7D01G553900;TraesCS6B01G381900;TraesCS7A01G490000;TraesCS1B01G321200;TraesCS3B01G026700;TraesCS2B01G335500;TraesCS1A01G341100;TraesCS1B01G353800;TraesCS6B01G015300;TraesCS7D01G388900;TraesCS4D01G091700;TraesCS3B01G362000;TraesCS7B01G451200;TraesCS3B01G264300;TraesCS7B01G060400;TraesCS2A01G385500;TraesCS5B01G149200;TraesCS4A01G111600;TraesCS6D01G006500;TraesCS4A01G023700;TraesCS5D01G001600;TraesCS2B01G615300;TraesCS3D01G022500;TraesCS6A01G009000;TraesCS1A01G303800;TraesCS6A01G420400;TraesCS6B01G360800;TraesCS4D01G214500;TraesCSU01G066200;TraesCS3D01G488300;TraesCS4D01G329200;TraesCS5B01G150200;TraesCS5A01G512200;TraesCS1D01G343200;TraesCS7D01G476400;TraesCS1D01G411600;TraesCS4D01G150500;TraesCS1D01G289300;TraesCS4B01G009700;TraesCS2A01G380500;TraesCS4A01G183500;TraesCS2A01G284100;TraesCS4D01G257900;TraesCS2D01G314800;TraesCS3B01G136800;TraesCS4A01G058700;TraesCS1A01G086300;TraesCS1A01G426300;TraesCS2D01G381800;TraesCS6B01G201300;TraesCS4B01G194100;TraesCS5B01G084900;TraesCS3B01G420500;TraesCS4D01G344800;TraesCS6A01G166100;TraesCS1D01G441900;TraesCSU01G014100;TraesCS5D01G297100;TraesCS2A01G398700;TraesCS2D01G522600;TraesCS2B01G012600;TraesCS4B01G339600;TraesCS5A01G440100;TraesCS4B01G258000;TraesCS1A01G310300;TraesCS5B01G215900;TraesCS1B01G181300;TraesCS2A01G391500</t>
  </si>
  <si>
    <t>TraesCS1B01G314100;TraesCS3A01G390100;TraesCS4D01G091700;TraesCS7B01G295600;TraesCS2A01G521800;TraesCS1D01G161500;TraesCS5D01G235100;TraesCS7A01G199900;TraesCS3B01G016200;TraesCS5A01G227600;TraesCS3B01G498200;TraesCS2D01G058700;TraesCS5B01G149200;TraesCS3D01G443400;TraesCS1A01G303800;TraesCS2B01G551300;TraesCS4A01G216700;TraesCS2D01G422000;TraesCS3A01G257700;TraesCS5D01G383700;TraesCS7A01G469300;TraesCS6D01G290000;TraesCS2B01G273900;TraesCS3B01G372100;TraesCS5A01G512200;TraesCS7A01G393600;TraesCS5A01G069100;TraesCS1D01G087900;TraesCS5D01G002400;TraesCS1B01G104700;TraesCS3B01G144700;TraesCS5A01G017000;TraesCS2D01G523600;TraesCS4D01G257900;TraesCS6B01G340700;TraesCS6A01G136900;TraesCS1A01G086300;TraesCS5B01G015000;TraesCS7D01G456900;TraesCS6B01G201300;TraesCS4A01G046800;TraesCS4B01G333700;TraesCS4D01G344800;TraesCS1B01G307100;TraesCS6D01G330500;TraesCS4A01G294300;TraesCS6B01G258700;TraesCS4B01G258000;TraesCS3B01G521800;TraesCS3D01G379600;TraesCSU01G108000;TraesCS1B01G181300;TraesCS3D01G257700;TraesCS7D01G388900</t>
  </si>
  <si>
    <t>TraesCS1B01G477900;TraesCS6A01G337600;TraesCS7D01G195900;TraesCS1A01G396200;TraesCS3A01G529100;TraesCS5D01G319700;TraesCS7D01G399000;TraesCS4A01G078900;TraesCS7A01G399100;TraesCS7B01G327000;TraesCS1A01G266600;TraesCS1A01G231500;TraesCS4B01G215300;TraesCS3B01G354300;TraesCS1D01G451500;TraesCS6B01G350600;TraesCS7A01G404700;TraesCS3B01G598100;TraesCS4A01G172100;TraesCS4A01G321800;TraesCS3D01G534400;TraesCS6B01G383700;TraesCS7D01G549800;TraesCS6A01G351000;TraesCS1D01G404300;TraesCS7A01G194300;TraesCS2D01G396800;TraesCS7D01G397900;TraesCS7D01G398900;TraesCS7A01G560100;TraesCS4A01G116700;TraesCS5A01G434700;TraesCS1A01G203700;TraesCS7B01G010100;TraesCS7B01G299700;TraesCS1B01G277500;TraesCS2D01G510500;TraesCS4D01G143100;TraesCS7A01G405000;TraesCS7D01G419200;TraesCS5D01G002400;TraesCS7A01G426700;TraesCS7B01G096600;TraesCS7D01G380300</t>
  </si>
  <si>
    <t>TraesCS1A01G303800;TraesCS1B01G314100;TraesCS2B01G551300;TraesCS2A01G521800;TraesCS1B01G307100;TraesCS6D01G290000;TraesCS2D01G523600;TraesCS6B01G340700;TraesCS3B01G372100;TraesCS5A01G512200;TraesCS5A01G069100;TraesCS5B01G149200;TraesCS5D01G002400</t>
  </si>
  <si>
    <t>TraesCS1B01G477900;TraesCS3B01G598100;TraesCS4A01G172100;TraesCS3D01G534400;TraesCS3A01G529100;TraesCS6B01G383700;TraesCS6A01G351000;TraesCS1A01G231500;TraesCS4A01G116700;TraesCS4B01G215300;TraesCS5A01G434700;TraesCS3B01G354300;TraesCS4D01G143100;TraesCS1D01G451500;TraesCS5D01G002400;TraesCS7D01G380300</t>
  </si>
  <si>
    <t>TraesCS1A01G365200</t>
  </si>
  <si>
    <t>TraesCS1B01G095800;TraesCS2B01G615600;TraesCS7B01G375600;TraesCS1D01G079800;TraesCS2B01G615800;TraesCS1D01G289300;TraesCS2B01G615700;TraesCS2D01G265100;TraesCS3A01G180300;TraesCS4D01G234000;TraesCS4A01G076700;TraesCS2B01G124900;TraesCS6D01G054600;TraesCS4D01G268200;TraesCS1D01G317700;TraesCS1A01G317900;TraesCS6B01G339700;TraesCS5B01G147200;TraesCS4D01G170600;TraesCS4A01G136600;TraesCS4B01G232800;TraesCS1A01G290700;TraesCS6D01G289300;TraesCS2B01G284900;TraesCS2D01G583000;TraesCS7D01G442300;TraesCS2D01G583100;TraesCS4A01G235800;TraesCS4A01G036100;TraesCS6A01G309900;TraesCS1A01G078100;TraesCS1B01G300000;TraesCS1B01G330400;TraesCS2B01G604800;TraesCS3A01G354200;TraesCS4B01G268900;TraesCS2A01G571500;TraesCS2A01G573400</t>
  </si>
  <si>
    <t>TraesCS2B01G090400;TraesCS3A01G451100;TraesCS7B01G006200;TraesCS2D01G135300;TraesCS5D01G122700;TraesCS7A01G206000;TraesCS5D01G244700;TraesCS1D01G147800;TraesCS2A01G507700;TraesCS5D01G131500;TraesCS5B01G187900;TraesCS2A01G385100;TraesCS6D01G321600;TraesCS3D01G279300;TraesCS4D01G176600;TraesCS5A01G236800;TraesCS5A01G123600;TraesCS1B01G048000;TraesCS1A01G040900;TraesCS7D01G228500;TraesCS4D01G329200;TraesCS6A01G026800;TraesCS7A01G107500;TraesCS5A01G237000;TraesCS7B01G113100;TraesCS4A01G326700;TraesCS7B01G113300;TraesCS7D01G101900;TraesCS5B01G123200;TraesCS6B01G372900;TraesCS5A01G195500;TraesCS1B01G093600;TraesCS4A01G129900;TraesCS5D01G017000;TraesCS3B01G488500;TraesCS7D01G208600;TraesCS7B01G006300;TraesCS7A01G206100;TraesCS7B01G006100;TraesCS5A01G076500;TraesCS2D01G165300;TraesCS5B01G235900;TraesCS6A01G025200;TraesCS2D01G381800;TraesCS2B01G156800;TraesCS5D01G548700;TraesCS4A01G206400;TraesCS5A01G503600;TraesCS3B01G313800;TraesCS7A01G226000;TraesCS1A01G439000;TraesCS7B01G193600;TraesCS7B01G113000;TraesCS4A01G301600;TraesCS7B01G113200;TraesCS6A01G341400</t>
  </si>
  <si>
    <t>TraesCS1B01G314100;TraesCS4D01G091700;TraesCS7B01G295600;TraesCS2A01G521800;TraesCS5A01G017000;TraesCS7A01G199900;TraesCS3B01G016200;TraesCS3B01G498200;TraesCS2D01G523600;TraesCS6B01G340700;TraesCS6A01G136900;TraesCS5B01G015000;TraesCS5B01G149200;TraesCS7D01G456900;TraesCS3D01G443400;TraesCS1A01G303800;TraesCS2B01G551300;TraesCS4A01G216700;TraesCS3A01G257700;TraesCS5D01G383700;TraesCS7A01G469300;TraesCS1B01G307100;TraesCS6D01G290000;TraesCS2B01G273900;TraesCS3B01G372100;TraesCS3B01G521800;TraesCS5A01G512200;TraesCS7A01G393600;TraesCS5A01G069100;TraesCS3D01G257700;TraesCS5D01G002400;TraesCS7D01G388900</t>
  </si>
  <si>
    <t>TraesCS1B01G314100;TraesCS7A01G166500;TraesCS5A01G256800;TraesCS3A01G390100;TraesCS4D01G091700;TraesCS7B01G295600;TraesCS2A01G521800;TraesCS5D01G447300;TraesCS2B01G069800;TraesCS5D01G235100;TraesCS7A01G199900;TraesCS5A01G227600;TraesCS3B01G498200;TraesCS4B01G015200;TraesCS5D01G030200;TraesCS2D01G058700;TraesCS2A01G385500;TraesCS5B01G149200;TraesCS7B01G032300;TraesCS3D01G443400;TraesCS5D01G265400;TraesCS5D01G001600;TraesCS1A01G303800;TraesCS3A01G393500;TraesCS6A01G420400;TraesCS2B01G551300;TraesCS4A01G216700;TraesCS2D01G422000;TraesCS3A01G257700;TraesCS5D01G383700;TraesCS7A01G469300;TraesCS2D01G373100;TraesCS6D01G290000;TraesCS2B01G273900;TraesCS2D01G443600;TraesCS3B01G372100;TraesCS5D01G455100;TraesCS5A01G512200;TraesCS7A01G393600;TraesCS5A01G069100;TraesCS6B01G059100;TraesCS1D01G343200;TraesCS1D01G309600;TraesCS7A01G556800;TraesCS1D01G087900;TraesCS5D01G002400;TraesCS2D01G369400;TraesCS1B01G104700;TraesCS3B01G144700;TraesCS6B01G292900;TraesCS5A01G017000;TraesCS2D01G523600;TraesCS4D01G257900;TraesCS6B01G340700;TraesCS6A01G136900;TraesCS3B01G136800;TraesCS4A01G058700;TraesCS1A01G086300;TraesCS5B01G015000;TraesCS7D01G456900;TraesCS1A01G426300;TraesCS6B01G201300;TraesCS7D01G553900;TraesCS4A01G046800;TraesCS5A01G312200;TraesCS4B01G333700;TraesCS4D01G344800;TraesCSU01G014100;TraesCS1B01G307100;TraesCS7A01G411700;TraesCS4D01G365800;TraesCS1B01G321200;TraesCS4B01G339600;TraesCS5A01G440100;TraesCS4A01G294300;TraesCS6B01G258700;TraesCS7D01G048400;TraesCS4B01G258000;TraesCS3B01G521800;TraesCS3D01G379600;TraesCS3D01G257700;TraesCS1A01G341100;TraesCS1B01G353800;TraesCS2B01G390300;TraesCS7D01G388900</t>
  </si>
  <si>
    <t>TraesCS1B01G314100;TraesCS3A01G390100;TraesCS4D01G091700;TraesCS7B01G295600;TraesCS2A01G521800;TraesCS1D01G161500;TraesCS5D01G235100;TraesCS7A01G199900;TraesCS3B01G016200;TraesCS5A01G227600;TraesCS3B01G498200;TraesCS2D01G058700;TraesCS5B01G149200;TraesCS3D01G443400;TraesCS1A01G303800;TraesCS2B01G551300;TraesCS4A01G216700;TraesCS2D01G422000;TraesCS3A01G257700;TraesCS5D01G383700;TraesCS7A01G469300;TraesCS6D01G290000;TraesCS2B01G273900;TraesCS3B01G372100;TraesCS5A01G512200;TraesCS7A01G393600;TraesCS5A01G069100;TraesCS1D01G087900;TraesCS5D01G002400;TraesCS1B01G104700;TraesCS3B01G144700;TraesCS5A01G017000;TraesCS2D01G523600;TraesCS4D01G257900;TraesCS6B01G340700;TraesCS6A01G136900;TraesCS1A01G086300;TraesCS5B01G015000;TraesCS7D01G456900;TraesCS6B01G201300;TraesCS4A01G046800;TraesCS4D01G344800;TraesCS1B01G307100;TraesCS6D01G330500;TraesCS4A01G294300;TraesCS6B01G258700;TraesCS4B01G258000;TraesCS3B01G521800;TraesCS3D01G379600;TraesCSU01G108000;TraesCS1B01G181300;TraesCS3D01G257700;TraesCS7D01G388900</t>
  </si>
  <si>
    <t>TraesCS1B01G314100;TraesCS4D01G091700;TraesCS7B01G295600;TraesCS2A01G521800;TraesCS5A01G017000;TraesCS7A01G199900;TraesCS3B01G016200;TraesCS3B01G498200;TraesCS2D01G523600;TraesCS4D01G257900;TraesCS6B01G340700;TraesCS6A01G136900;TraesCS2D01G058700;TraesCS5B01G015000;TraesCS5B01G149200;TraesCS7D01G456900;TraesCS6B01G201300;TraesCS3D01G443400;TraesCS1A01G303800;TraesCS4A01G046800;TraesCS2B01G551300;TraesCS4A01G216700;TraesCS2D01G422000;TraesCS3A01G257700;TraesCS5D01G383700;TraesCS7A01G469300;TraesCS1B01G307100;TraesCS6D01G290000;TraesCS4A01G294300;TraesCS2B01G273900;TraesCS3B01G372100;TraesCS4B01G258000;TraesCS3B01G521800;TraesCS5A01G512200;TraesCS7A01G393600;TraesCS5A01G069100;TraesCS3D01G257700;TraesCS5D01G002400;TraesCS7D01G388900</t>
  </si>
  <si>
    <t>TraesCS1B01G477900;TraesCS6A01G337600;TraesCS7D01G195900;TraesCS1A01G396200;TraesCS3A01G529100;TraesCS7B01G327000;TraesCS1A01G231500;TraesCS3B01G354300;TraesCS1D01G451500;TraesCS6A01G367300;TraesCS3B01G598100;TraesCS4A01G172100;TraesCS4A01G321800;TraesCS3D01G534400;TraesCS6B01G383700;TraesCS6A01G351000;TraesCS1D01G404300;TraesCS7A01G194300;TraesCS7A01G239800;TraesCS4A01G116700;TraesCS5A01G434700;TraesCS7B01G299700;TraesCS4D01G143100;TraesCS7D01G419200;TraesCS7A01G426700</t>
  </si>
  <si>
    <t>TraesCS4D01G091700;TraesCS7B01G295600;TraesCS4A01G216700;TraesCS3A01G257700;TraesCS5D01G383700;TraesCS7A01G199900;TraesCS7A01G469300;TraesCS3B01G498200;TraesCS3B01G521800;TraesCS7A01G393600;TraesCS7D01G456900;TraesCS3D01G257700;TraesCS3D01G443400;TraesCS7D01G388900</t>
  </si>
  <si>
    <t>TraesCS1A01G439000</t>
  </si>
  <si>
    <t>TraesCS6A01G337600;TraesCS7D01G195900;TraesCS1A01G396200;TraesCS4A01G321800;TraesCS5D01G319700;TraesCS7D01G549800;TraesCS1D01G404300;TraesCS4A01G078900;TraesCS7A01G194300;TraesCS7B01G327000;TraesCS1A01G266600;TraesCS7A01G560100;TraesCS7B01G010100;TraesCS1B01G277500;TraesCS2D01G510500;TraesCS7D01G419200;TraesCS7A01G426700;TraesCS7B01G096600</t>
  </si>
  <si>
    <t>TraesCS1A01G444000</t>
  </si>
  <si>
    <t>TraesCS1B01G477900;TraesCS3B01G598100;TraesCS6A01G337600;TraesCS7D01G195900;TraesCS1A01G396200;TraesCS4A01G172100;TraesCS4A01G321800;TraesCS3D01G534400;TraesCS3A01G529100;TraesCS6B01G383700;TraesCS6A01G351000;TraesCS1D01G404300;TraesCS7A01G194300;TraesCS7B01G327000;TraesCS1A01G231500;TraesCS4A01G116700;TraesCS5A01G434700;TraesCS7B01G299700;TraesCS3B01G354300;TraesCS4D01G143100;TraesCS7D01G419200;TraesCS1D01G451500;TraesCS6A01G367300;TraesCS7A01G426700</t>
  </si>
  <si>
    <t>TraesCS1B01G003200</t>
  </si>
  <si>
    <t>TraesCS2B01G013000;TraesCS4D01G129800;TraesCS2A01G565700;TraesCS5D01G447300;TraesCS1D01G161500;TraesCS4B01G015200;TraesCS1B01G433300;TraesCS7A01G206000;TraesCS4D01G215000;TraesCS4B01G135100;TraesCS1A01G290700;TraesCS2D01G002800;TraesCS3A01G393500;TraesCS5A01G039000;TraesCS3B01G336200;TraesCS4A01G216700;TraesCS7D01G276300;TraesCS6D01G258300;TraesCS5B01G288600;TraesCS3D01G440200;TraesCS5A01G069100;TraesCS5D01G304300;TraesCS7A01G510800;TraesCS7B01G113100;TraesCS1D01G309600;TraesCS7A01G556800;TraesCS3B01G286400;TraesCS1B01G104700;TraesCS3B01G488500;TraesCS3D01G027300;TraesCS2D01G523600;TraesCS6B01G340700;TraesCS5B01G015000;TraesCS4A01G046800;TraesCS4D01G130700;TraesCS4B01G333700;TraesCS7B01G410700;TraesCS1D01G059800;TraesCS1A01G301800;TraesCS4D01G365800;TraesCS1B01G300000;TraesCS2D01G015800;TraesCS4A01G294300;TraesCS5A01G115800;TraesCS7B01G421700;TraesCS4A01G081200;TraesCS1B01G311800;TraesCS3B01G449100;TraesCS6D01G009600;TraesCS2B01G390300;TraesCS7D01G500200;TraesCS3B01G169300;TraesCS2A01G521800;TraesCS2D01G181200;TraesCS4D01G150200;TraesCS5D01G030200;TraesCS2D01G058700;TraesCS1A01G403800;TraesCS2A01G572200;TraesCS4A01G136500;TraesCS7B01G185600;TraesCS2D01G396200;TraesCS6D01G206100;TraesCS2D01G422000;TraesCS6D01G290000;TraesCS1B01G321500;TraesCS2B01G457100;TraesCS3B01G372100;TraesCS2A01G279600;TraesCS3A01G331900;TraesCS7A01G533900;TraesCS3A01G243300;TraesCS5D01G002400;TraesCS5A01G289200;TraesCS4B01G279900;TraesCS3A01G019600;TraesCS5D01G017000;TraesCS5A01G017000;TraesCS1B01G066900;TraesCS1D01G002900;TraesCS5B01G081900;TraesCS7A01G156600;TraesCS4D01G302000;TraesCS1B01G077000;TraesCS2A01G572900;TraesCS2B01G416600;TraesCS4D01G170700;TraesCS5D01G091100;TraesCS4B01G192200;TraesCS2B01G612200;TraesCS7B01G393200;TraesCS1B01G307100;TraesCS4A01G182700;TraesCS6D01G330500;TraesCS2A01G363900;TraesCS5B01G318300;TraesCS6B01G393400;TraesCS6D01G267900;TraesCS1D01G020200;TraesCS7D01G157000;TraesCS4A01G301600;TraesCS7A01G189300;TraesCS1B01G314100;TraesCS1A01G050400;TraesCS4D01G278300;TraesCS3B01G429900;TraesCS3B01G551200;TraesCS2B01G057100;TraesCS5B01G552200;TraesCS6D01G321600;TraesCS5A01G081500;TraesCS5B01G539900;TraesCS1D01G114800;TraesCS5B01G296500;TraesCS2B01G551300;TraesCS7A01G503200;TraesCS2B01G251700;TraesCS3D01G381300;TraesCS1A01G058700;TraesCS4A01G089900;TraesCS1D01G087900;TraesCS6D01G267200;TraesCS2D01G369400;TraesCS5B01G440500;TraesCS3A01G388200;TraesCS4A01G404100;TraesCS7D01G521400;TraesCS2A01G045600;TraesCS6A01G136900;TraesCS2B01G179200;TraesCS2A01G316900;TraesCS6A01G277800;TraesCS7D01G553900;TraesCS6B01G381900;TraesCS7A01G490000;TraesCS1B01G321200;TraesCS3B01G026700;TraesCS2B01G335500;TraesCS1A01G341100;TraesCS1B01G353800;TraesCS6B01G015300;TraesCS7D01G388900;TraesCS4D01G045400;TraesCS4D01G091700;TraesCS3B01G362000;TraesCS7B01G451200;TraesCS3B01G264300;TraesCS7B01G060400;TraesCS2A01G385500;TraesCS5B01G149200;TraesCS4A01G111600;TraesCS6D01G006500;TraesCS4A01G023700;TraesCS3B01G438700;TraesCS5D01G001600;TraesCS2B01G615300;TraesCS3D01G022500;TraesCS6A01G009000;TraesCS1A01G303800;TraesCS6A01G420400;TraesCS6A01G206600;TraesCS6B01G360800;TraesCS4D01G214500;TraesCSU01G066200;TraesCS3D01G488300;TraesCS2B01G273900;TraesCS4D01G329200;TraesCS5B01G150200;TraesCS5A01G512200;TraesCS1D01G343200;TraesCS7D01G476400;TraesCS1D01G411600;TraesCS4D01G150500;TraesCS1D01G289300;TraesCS4B01G009700;TraesCS2A01G380500;TraesCS4A01G183500;TraesCS2A01G284100;TraesCS4D01G257900;TraesCS2D01G314800;TraesCS3B01G136800;TraesCS6A01G287100;TraesCS4A01G058700;TraesCS1A01G086300;TraesCS1A01G426300;TraesCS2D01G381800;TraesCS6B01G201300;TraesCS4B01G194100;TraesCS5B01G084900;TraesCS3B01G420500;TraesCS4D01G344800;TraesCS6A01G166100;TraesCS1D01G441900;TraesCSU01G014100;TraesCS5D01G297100;TraesCS2A01G398700;TraesCS2D01G522600;TraesCS2B01G012600;TraesCS6D01G187800;TraesCS4B01G339600;TraesCS5A01G440100;TraesCS4B01G258000;TraesCS1A01G310300;TraesCS5B01G215900;TraesCS1B01G181300;TraesCS2A01G391500</t>
  </si>
  <si>
    <t>TraesCS1B01G003300</t>
  </si>
  <si>
    <t>TraesCS1B01G477900;TraesCS1A01G396200;TraesCS3A01G529100;TraesCS7D01G399000;TraesCS7A01G399100;TraesCS1A01G231500;TraesCS4B01G215300;TraesCS3B01G354300;TraesCS1D01G451500;TraesCS7A01G404700;TraesCS3B01G598100;TraesCS4A01G172100;TraesCS4A01G321800;TraesCS3D01G534400;TraesCS3D01G496100;TraesCS6B01G383700;TraesCS6A01G351000;TraesCS1D01G404300;TraesCS7D01G397900;TraesCS7D01G398900;TraesCS4A01G116700;TraesCS5A01G434700;TraesCS7B01G299700;TraesCS4D01G143100;TraesCS7A01G405000;TraesCS7D01G419200;TraesCS5D01G002400;TraesCS7D01G380300;TraesCS4A01G020500</t>
  </si>
  <si>
    <t>TraesCS1B01G003400</t>
  </si>
  <si>
    <t>TraesCS1B01G022500</t>
  </si>
  <si>
    <t>TraesCS3A01G451100;TraesCS7B01G006200;TraesCS2D01G135300;TraesCS5D01G122700;TraesCS7A01G206000;TraesCS1D01G147800;TraesCS2A01G507700;TraesCS5D01G131500;TraesCS5B01G187900;TraesCS2A01G385100;TraesCS6D01G321600;TraesCS3D01G279300;TraesCS4D01G176600;TraesCS5A01G123600;TraesCS1B01G048000;TraesCS1A01G040900;TraesCS7D01G228500;TraesCS4D01G329200;TraesCS6A01G026800;TraesCS7A01G107500;TraesCS7B01G113100;TraesCS4A01G326700;TraesCS7B01G113300;TraesCS7D01G101900;TraesCS5B01G123200;TraesCS6B01G372900;TraesCS5A01G195500;TraesCS2B01G520500;TraesCS4A01G129900;TraesCS5D01G447800;TraesCS5D01G017000;TraesCS3B01G488500;TraesCS7D01G208600;TraesCS7B01G006300;TraesCS7A01G206100;TraesCS7B01G006100;TraesCS5A01G076500;TraesCS2A01G492300;TraesCS2D01G165300;TraesCS6A01G025200;TraesCS2D01G381800;TraesCS2B01G156800;TraesCS2A01G467900;TraesCS5D01G548700;TraesCS4A01G206400;TraesCS5A01G503600;TraesCS3B01G313800;TraesCS7A01G226000;TraesCS1A01G439000;TraesCS7B01G193600;TraesCS7B01G113000;TraesCS7B01G113200;TraesCS6A01G341400</t>
  </si>
  <si>
    <t>TraesCS1B01G048000</t>
  </si>
  <si>
    <t>TraesCS1D01G375500;TraesCS1D01G375600;TraesCS1A01G369600;TraesCS1B01G388700</t>
  </si>
  <si>
    <t>TraesCS1B01G477900;TraesCS1A01G396200;TraesCS3A01G529100;TraesCS7D01G399000;TraesCS7A01G399100;TraesCS1A01G231500;TraesCS4B01G215300;TraesCS3B01G354300;TraesCS1D01G451500;TraesCS7A01G404700;TraesCS3B01G598100;TraesCS4A01G172100;TraesCS4A01G321800;TraesCS3D01G534400;TraesCS6B01G383700;TraesCS6A01G351000;TraesCS1D01G404300;TraesCS7D01G397900;TraesCS7D01G398900;TraesCS4A01G116700;TraesCS5A01G434700;TraesCS7B01G299700;TraesCS4D01G143100;TraesCS7A01G405000;TraesCS7D01G419200;TraesCS5D01G002400;TraesCS7D01G380300</t>
  </si>
  <si>
    <t>TraesCS1B01G059400</t>
  </si>
  <si>
    <t>TraesCS6A01G337600;TraesCS7D01G195900;TraesCS1A01G396200;TraesCS5D01G319700;TraesCS7B01G243200;TraesCS2A01G215300;TraesCS3A01G239200;TraesCS3B01G333100;TraesCS4A01G078900;TraesCS7B01G327000;TraesCS5A01G317400;TraesCS1A01G266600;TraesCS6A01G337300;TraesCS3D01G298600;TraesCS3B01G354300;TraesCS2B01G024500;TraesCS3B01G598100;TraesCS4A01G172100;TraesCS4A01G321800;TraesCS2A01G210100;TraesCS7D01G549800;TraesCS1D01G404300;TraesCS7A01G194300;TraesCS7A01G337000;TraesCS7D01G339800;TraesCS2B01G144900;TraesCS7A01G560100;TraesCS4A01G116700;TraesCS7B01G010100;TraesCS1B01G277500;TraesCS5D01G323700;TraesCS2D01G510500;TraesCS7D01G419200;TraesCS7A01G426700;TraesCS7B01G096600</t>
  </si>
  <si>
    <t>TraesCS1B01G066900</t>
  </si>
  <si>
    <t>TraesCS1B01G104700;TraesCS3A01G390100;TraesCS3B01G144700;TraesCS4D01G091700;TraesCS4A01G216700;TraesCS5D01G235100;TraesCS3A01G257700;TraesCS5D01G383700;TraesCS7A01G199900;TraesCS5A01G227600;TraesCS6D01G330500;TraesCS6B01G258700;TraesCS1A01G086300;TraesCS3D01G379600;TraesCSU01G108000;TraesCS3D01G257700;TraesCS1D01G087900</t>
  </si>
  <si>
    <t>TraesCS1B01G095800;TraesCS2B01G284900;TraesCS1D01G079800;TraesCS7D01G442300;TraesCS4A01G036100;TraesCS1A01G078100;TraesCS2B01G124900;TraesCS1B01G330400;TraesCS4D01G268200;TraesCS1D01G317700;TraesCS4B01G268900;TraesCS5B01G147200;TraesCS4D01G170600;TraesCS2A01G467900;TraesCS4A01G136600</t>
  </si>
  <si>
    <t>TraesCS1B01G084700</t>
  </si>
  <si>
    <t>TraesCS1B01G095800;TraesCS2B01G284900;TraesCS3B01G598100;TraesCS1D01G079800;TraesCS4A01G172100;TraesCS7D01G442300;TraesCS3A01G239200;TraesCS4A01G036100;TraesCS1A01G078100;TraesCS2B01G124900;TraesCS1B01G330400;TraesCS4D01G268200;TraesCS1D01G317700;TraesCS4A01G116700;TraesCS4B01G268900;TraesCS5B01G147200;TraesCS2B01G490900;TraesCS1A01G203700;TraesCS3B01G354300;TraesCS4D01G170600;TraesCS2B01G024500;TraesCS2A01G467900;TraesCS4A01G136600</t>
  </si>
  <si>
    <t>TraesCS3B01G598100;TraesCS4A01G172100;TraesCS4A01G116700;TraesCS2A01G215300;TraesCS3A01G239200;TraesCS3B01G354300;TraesCS5D01G323700;TraesCS2D01G510500;TraesCS2B01G024500;TraesCS5A01G317400;TraesCS6A01G337300</t>
  </si>
  <si>
    <t>TraesCS1B01G098800</t>
  </si>
  <si>
    <t>TraesCS3B01G521800;TraesCS7B01G295600;TraesCS7A01G393600;TraesCS4A01G216700;TraesCS7D01G456900;TraesCS3D01G257700;TraesCS3A01G257700;TraesCS7A01G469300;TraesCS3B01G498200;TraesCS3D01G443400;TraesCS7D01G388900</t>
  </si>
  <si>
    <t>TraesCS1B01G104700</t>
  </si>
  <si>
    <t>TraesCS1B01G095800;TraesCS2B01G284900;TraesCS1D01G079800;TraesCS7D01G442300;TraesCS3A01G239200;TraesCS4A01G036100;TraesCS1A01G078100;TraesCS2B01G124900;TraesCS1B01G330400;TraesCS4D01G268200;TraesCS1D01G317700;TraesCS4B01G268900;TraesCS5B01G147200;TraesCS4D01G170600;TraesCS2A01G467900;TraesCS4A01G136600</t>
  </si>
  <si>
    <t>TraesCS1B01G095800;TraesCS2B01G615600;TraesCS6A01G087600;TraesCS7B01G375600;TraesCS1D01G079800;TraesCS2B01G615800;TraesCS2B01G615700;TraesCS2D01G265100;TraesCS3A01G180300;TraesCS4D01G234000;TraesCS4A01G213400;TraesCS4A01G076700;TraesCS2B01G124900;TraesCS6D01G054600;TraesCS4D01G268200;TraesCS1D01G317700;TraesCS1A01G317900;TraesCS6B01G339700;TraesCS5B01G147200;TraesCS4D01G170600;TraesCS4A01G136600;TraesCS4B01G232800;TraesCS6D01G289300;TraesCS2B01G284900;TraesCS2D01G583000;TraesCS7D01G442300;TraesCS2D01G583100;TraesCS4A01G235800;TraesCS4A01G036100;TraesCS6A01G309900;TraesCS1A01G078100;TraesCS1B01G330400;TraesCS2B01G604800;TraesCS6A01G372100;TraesCS4B01G268900;TraesCS2A01G571500;TraesCS2A01G573400</t>
  </si>
  <si>
    <t>TraesCS3A01G451100;TraesCS7B01G006200;TraesCS2D01G135300;TraesCS5D01G122700;TraesCS7A01G206000;TraesCS1D01G147800;TraesCS2A01G507700;TraesCS5D01G131500;TraesCS5B01G187900;TraesCS2A01G385100;TraesCS6D01G321600;TraesCS3D01G279300;TraesCS4D01G176600;TraesCS5A01G123600;TraesCS1B01G048000;TraesCS1A01G040900;TraesCS7D01G228500;TraesCS4D01G329200;TraesCS6A01G026800;TraesCS7A01G107500;TraesCS4D01G099200;TraesCS7B01G113100;TraesCS4A01G326700;TraesCS7B01G113300;TraesCS7D01G101900;TraesCS5B01G123200;TraesCS6B01G372900;TraesCS5A01G195500;TraesCS2B01G520500;TraesCS4A01G129900;TraesCS5D01G447800;TraesCS4A01G213400;TraesCS5D01G017000;TraesCS3B01G488500;TraesCS7D01G208600;TraesCS7B01G006300;TraesCS7A01G206100;TraesCS7B01G006100;TraesCS5A01G076500;TraesCS2A01G492300;TraesCS2D01G165300;TraesCS6A01G025200;TraesCS2D01G381800;TraesCS2B01G156800;TraesCS4B01G267200;TraesCS4B01G102400;TraesCS2A01G467900;TraesCS5D01G548700;TraesCS4A01G206400;TraesCS5A01G503600;TraesCS4A01G038500;TraesCS3B01G313800;TraesCS7A01G226000;TraesCS1A01G439000;TraesCS7B01G193600;TraesCS7B01G113000;TraesCS4A01G301600;TraesCS7B01G113200;TraesCS6A01G341400</t>
  </si>
  <si>
    <t>TraesCS1B01G137900</t>
  </si>
  <si>
    <t>TraesCS1B01G140000</t>
  </si>
  <si>
    <t>TraesCS6A01G337600;TraesCS7D01G195900;TraesCS1A01G396200;TraesCS4A01G321800;TraesCS5D01G319700;TraesCS7D01G549800;TraesCS1D01G404300;TraesCS4A01G078900;TraesCS7A01G194300;TraesCS7B01G327000;TraesCS2D01G396800;TraesCS1A01G266600;TraesCS7A01G560100;TraesCS1A01G203700;TraesCS7B01G010100;TraesCS1B01G277500;TraesCS2D01G510500;TraesCS7D01G419200;TraesCS7A01G426700;TraesCS7B01G096600</t>
  </si>
  <si>
    <t>TraesCS1B01G477900;TraesCS1D01G266300;TraesCS3B01G598100;TraesCS4A01G172100;TraesCS3D01G534400;TraesCS6A01G007000;TraesCS3A01G529100;TraesCS6B01G383700;TraesCS5B01G458500;TraesCS6A01G351000;TraesCS3B01G104300;TraesCS5B01G507400;TraesCS1A01G231500;TraesCS4A01G116700;TraesCS5A01G434700;TraesCS3B01G354300;TraesCS4D01G143100;TraesCS1D01G451500;TraesCS6D01G135300;TraesCS1A01G403700</t>
  </si>
  <si>
    <t>TraesCS6A01G337600;TraesCS7D01G036600;TraesCS7D01G195900;TraesCS1A01G396200;TraesCS7A01G040900;TraesCS1B01G368600;TraesCS5D01G319700;TraesCS7B01G243200;TraesCS3B01G333100;TraesCS4A01G078900;TraesCS7B01G327000;TraesCS5A01G317400;TraesCS1A01G266600;TraesCS3B01G461800;TraesCS6A01G337300;TraesCS3D01G298600;TraesCS4B01G267200;TraesCS4A01G321800;TraesCS2A01G210100;TraesCS7D01G549800;TraesCS1A01G353200;TraesCS1D01G404300;TraesCS4A01G038500;TraesCS7A01G194300;TraesCS7A01G337000;TraesCS7D01G339800;TraesCS2B01G144900;TraesCS7A01G226000;TraesCS7A01G560100;TraesCS7B01G193600;TraesCS7B01G010100;TraesCS1D01G357000;TraesCS2D01G332500;TraesCS1B01G277500;TraesCS5D01G323700;TraesCS7D01G419200;TraesCS7A01G426700;TraesCS7B01G096600</t>
  </si>
  <si>
    <t>TraesCS1B01G314100;TraesCS3A01G390100;TraesCS4D01G091700;TraesCS7B01G295600;TraesCS2A01G521800;TraesCS1D01G161500;TraesCS2B01G069800;TraesCS5D01G235100;TraesCS7A01G199900;TraesCS5A01G227600;TraesCS3B01G498200;TraesCS2D01G058700;TraesCS5B01G149200;TraesCS3D01G443400;TraesCS1A01G303800;TraesCS2B01G551300;TraesCS4A01G216700;TraesCS2D01G422000;TraesCS3A01G257700;TraesCS5D01G383700;TraesCS7A01G469300;TraesCS6D01G290000;TraesCS2B01G273900;TraesCS3B01G372100;TraesCS5A01G512200;TraesCS7A01G393600;TraesCS7D01G221900;TraesCS5A01G069100;TraesCS1D01G087900;TraesCS5D01G002400;TraesCS1B01G104700;TraesCS4A01G316200;TraesCS2B01G090300;TraesCS3B01G144700;TraesCS3A01G048000;TraesCS5A01G017000;TraesCS5D01G141600;TraesCS2D01G523600;TraesCS4D01G257900;TraesCS6B01G340700;TraesCS7D01G429000;TraesCS6A01G136900;TraesCS1A01G086300;TraesCS5B01G015000;TraesCS7D01G456900;TraesCS6B01G201300;TraesCS4A01G046800;TraesCS4B01G333700;TraesCS4D01G344800;TraesCS1B01G307100;TraesCS4A01G294300;TraesCS6B01G258700;TraesCS4B01G258000;TraesCS3B01G521800;TraesCS3D01G379600;TraesCS1B01G181300;TraesCS3D01G257700;TraesCS7D01G388900</t>
  </si>
  <si>
    <t>TraesCS7B01G295600;TraesCS5A01G017000;TraesCS3B01G498200;TraesCS2D01G523600;TraesCS4D01G257900;TraesCS6A01G136900;TraesCS5B01G015000;TraesCS5B01G149200;TraesCS7D01G456900;TraesCS6B01G201300;TraesCS3D01G443400;TraesCS4A01G046800;TraesCS4A01G216700;TraesCS2D01G422000;TraesCS3A01G257700;TraesCS7A01G469300;TraesCS6D01G290000;TraesCS4A01G294300;TraesCS2B01G273900;TraesCS4B01G258000;TraesCS3B01G521800;TraesCS7A01G393600;TraesCS3D01G257700;TraesCS5D01G002400;TraesCS7D01G388900</t>
  </si>
  <si>
    <t>TraesCS1B01G190600</t>
  </si>
  <si>
    <t>TraesCS1D01G375500;TraesCS1D01G375600;TraesCS1B01G135200;TraesCS1A01G115300;TraesCS1A01G369600;TraesCS1B01G388700;TraesCS1D01G116700</t>
  </si>
  <si>
    <t>TraesCS7D01G398900;TraesCS7D01G399000;TraesCS7B01G304100;TraesCS7A01G405000;TraesCS7A01G404900;TraesCS6B01G118000;TraesCS7A01G404700;TraesCS1A01G365200;TraesCS1B01G382700;TraesCS1D01G370700;TraesCS7D01G397900</t>
  </si>
  <si>
    <t>TraesCS1B01G203200</t>
  </si>
  <si>
    <t>TraesCS1B01G314100;TraesCS4D01G091700;TraesCS7B01G295600;TraesCS4A01G216700;TraesCS3A01G257700;TraesCS5A01G017000;TraesCS5D01G383700;TraesCS7A01G199900;TraesCS7A01G469300;TraesCS1B01G307100;TraesCS3B01G498200;TraesCS6D01G290000;TraesCS2D01G523600;TraesCS6A01G136900;TraesCS2B01G273900;TraesCS3B01G521800;TraesCS7A01G393600;TraesCS5B01G015000;TraesCS5B01G149200;TraesCS7D01G456900;TraesCS3D01G257700;TraesCS3D01G443400;TraesCS5D01G002400;TraesCS7D01G388900</t>
  </si>
  <si>
    <t>TraesCS1B01G215700</t>
  </si>
  <si>
    <t>TraesCS1D01G375500;TraesCS5B01G220000;TraesCS1D01G375600;TraesCS1B01G135200;TraesCS5A01G221200;TraesCS1A01G115300;TraesCS1A01G369600;TraesCS5D01G228900;TraesCS1B01G388700;TraesCS1D01G116700</t>
  </si>
  <si>
    <t>TraesCS4B01G385600;TraesCS4D01G359200;TraesCS7A01G054500;TraesCS3B01G568600;TraesCS5A01G549200</t>
  </si>
  <si>
    <t>TraesCS4A01G046800;TraesCS4D01G091700;TraesCS7B01G295600;TraesCS4A01G216700;TraesCS2D01G422000;TraesCS3A01G257700;TraesCS5D01G383700;TraesCS7A01G199900;TraesCS7A01G469300;TraesCS3B01G498200;TraesCS4D01G257900;TraesCS4A01G294300;TraesCS4B01G258000;TraesCS3B01G521800;TraesCS7A01G393600;TraesCS7D01G456900;TraesCS3D01G257700;TraesCS6B01G201300;TraesCS3D01G443400;TraesCS7D01G388900</t>
  </si>
  <si>
    <t>TraesCS7D01G278300;TraesCS7B01G176400;TraesCS4A01G388600;TraesCS5B01G238300;TraesCS4A01G020500;TraesCS7A01G278500</t>
  </si>
  <si>
    <t>TraesCS1B01G245800</t>
  </si>
  <si>
    <t>TraesCS6A01G009000;TraesCS1A01G050400;TraesCS5D01G297100;TraesCS7A01G533900;TraesCS1B01G066900;TraesCS6D01G009600;TraesCS7D01G521400;TraesCS5B01G288600;TraesCS2B01G390300;TraesCS2D01G369400</t>
  </si>
  <si>
    <t>TraesCS3A01G360600;TraesCS4B01G385600;TraesCS3B01G392700;TraesCS3D01G354200;TraesCS4D01G359200;TraesCS7A01G054500;TraesCS3A01G360400;TraesCS3B01G568600;TraesCS5A01G549200;TraesCS3B01G393000</t>
  </si>
  <si>
    <t>TraesCS1B01G277500</t>
  </si>
  <si>
    <t>TraesCS3B01G598100;TraesCS4A01G172100;TraesCS4A01G116700;TraesCS3A01G529100;TraesCS3B01G354300;TraesCS6A01G351000;TraesCS1D01G451500</t>
  </si>
  <si>
    <t>TraesCS1B01G314100;TraesCS5B01G149200;TraesCS1B01G307100;TraesCS6D01G290000;TraesCS2D01G523600</t>
  </si>
  <si>
    <t>reactive oxygen species metabolic process</t>
  </si>
  <si>
    <t>TraesCS1B01G286300</t>
  </si>
  <si>
    <t>TraesCS2A01G408900;TraesCS7A01G381400;TraesCS5A01G316000;TraesCS5D01G033200;TraesCS5B01G024600;TraesCS5B01G006600;TraesCS3D01G008400;TraesCS6A01G245600;TraesCS1B01G246400;TraesCS6A01G161600;TraesCS5D01G322200;TraesCS1A01G237900;TraesCS7A01G211600;TraesCS7B01G283300;TraesCS2B01G427200;TraesCS6B01G278800;TraesCS7B01G118600;TraesCS6D01G228000;TraesCS1D01G234700;TraesCS3B01G004200</t>
  </si>
  <si>
    <t>TraesCS1B01G104700;TraesCS3A01G390100;TraesCS4D01G091700;TraesCS7B01G295600;TraesCS5A01G017000;TraesCS3B01G498200;TraesCS2D01G523600;TraesCS4D01G257900;TraesCS6A01G136900;TraesCS1A01G086300;TraesCS5B01G015000;TraesCS5B01G149200;TraesCS7D01G456900;TraesCS6B01G201300;TraesCS3D01G443400;TraesCS4A01G046800;TraesCS4D01G344800;TraesCS4A01G216700;TraesCS2D01G422000;TraesCS3A01G257700;TraesCS7A01G469300;TraesCS6D01G290000;TraesCS4A01G294300;TraesCS2B01G273900;TraesCS4B01G258000;TraesCS3B01G521800;TraesCS7A01G393600;TraesCS3D01G257700;TraesCS1D01G087900;TraesCS5D01G002400;TraesCS7D01G388900</t>
  </si>
  <si>
    <t>TraesCS1B01G314100;TraesCS4A01G316200;TraesCS2B01G090300;TraesCS4D01G091700;TraesCS7B01G295600;TraesCS3A01G048000;TraesCS7A01G199900;TraesCS3B01G498200;TraesCS5D01G141600;TraesCS2D01G523600;TraesCS4D01G257900;TraesCS7D01G429000;TraesCS5B01G149200;TraesCS7D01G456900;TraesCS6B01G201300;TraesCS3D01G443400;TraesCS4A01G046800;TraesCS4A01G216700;TraesCS2D01G422000;TraesCS3A01G257700;TraesCS5D01G383700;TraesCS7A01G469300;TraesCS1B01G307100;TraesCS6D01G290000;TraesCS4A01G294300;TraesCS4B01G258000;TraesCS3B01G521800;TraesCS7A01G393600;TraesCS3D01G257700;TraesCS5D01G002400;TraesCS7D01G388900</t>
  </si>
  <si>
    <t>TraesCS3B01G598100;TraesCS4A01G172100;TraesCS4A01G116700;TraesCS3B01G354300;TraesCS2B01G024500</t>
  </si>
  <si>
    <t>TraesCS1B01G309000</t>
  </si>
  <si>
    <t>TraesCS7D01G010000;TraesCS4A01G484800;TraesCS4A01G485900;TraesCS5B01G556600;TraesCS7A01G010200</t>
  </si>
  <si>
    <t>TraesCS1B01G311800</t>
  </si>
  <si>
    <t>TraesCS1B01G314100;TraesCS4A01G316200;TraesCS2B01G090300;TraesCS4D01G091700;TraesCS7B01G295600;TraesCS2A01G521800;TraesCS3A01G048000;TraesCS5A01G017000;TraesCS7A01G199900;TraesCS3B01G498200;TraesCS5D01G141600;TraesCS2D01G523600;TraesCS4D01G257900;TraesCS6B01G340700;TraesCS7D01G429000;TraesCS6A01G136900;TraesCS5B01G015000;TraesCS5B01G149200;TraesCS7D01G456900;TraesCS6B01G201300;TraesCS3D01G443400;TraesCS1A01G303800;TraesCS4A01G046800;TraesCS2B01G551300;TraesCS4A01G216700;TraesCS2D01G422000;TraesCS3A01G257700;TraesCS5D01G383700;TraesCS7A01G469300;TraesCS1B01G307100;TraesCS6D01G290000;TraesCS4A01G294300;TraesCS2B01G273900;TraesCS3B01G372100;TraesCS4B01G258000;TraesCS3B01G521800;TraesCS5A01G512200;TraesCS7A01G393600;TraesCS5A01G069100;TraesCS3D01G257700;TraesCS5D01G002400;TraesCS7D01G388900</t>
  </si>
  <si>
    <t>TraesCS1B01G095800;TraesCS2B01G284900;TraesCS1D01G079800;TraesCS7D01G442300;TraesCS3A01G239200;TraesCS4A01G036100;TraesCS1A01G078100;TraesCS2B01G124900;TraesCS2D01G562600;TraesCS1B01G330400;TraesCS4D01G268200;TraesCS1D01G317700;TraesCS4B01G268900;TraesCS2B01G592100;TraesCS5B01G147200;TraesCS4D01G170600;TraesCS2A01G467900;TraesCS4A01G136600;TraesCS2A01G591600</t>
  </si>
  <si>
    <t>TraesCS6A01G337600;TraesCS7D01G195900;TraesCS1A01G396200;TraesCS4A01G321800;TraesCS1D01G404300;TraesCS7A01G194300;TraesCS7D01G419200;TraesCS7B01G327000;TraesCS7A01G426700;TraesCS7B01G096600</t>
  </si>
  <si>
    <t>TraesCS1B01G349900</t>
  </si>
  <si>
    <t>dihydrolipoyl dehydrogenase activity</t>
  </si>
  <si>
    <t>TraesCS1A01G066400;TraesCS1D01G067500;TraesCS1B01G084700</t>
  </si>
  <si>
    <t>TraesCS7D01G036600;TraesCS7D01G195900;TraesCS7A01G040900;TraesCS7B01G243200;TraesCS2A01G378200;TraesCS7B01G327000;TraesCS1A01G266600;TraesCS3B01G461800;TraesCS3D01G359300;TraesCS5A01G217000;TraesCS6B01G144400;TraesCS5A01G383900;TraesCS6B01G350600;TraesCS3B01G398000;TraesCS3A01G366300;TraesCS2A01G210100;TraesCS4B01G385400;TraesCS5A01G102200;TraesCS6A01G317900;TraesCS7A01G194300;TraesCS7D01G339800;TraesCS6D01G166500;TraesCS5B01G215800;TraesCS3B01G397900;TraesCS4D01G359500;TraesCS6A01G337600;TraesCS1A01G396200;TraesCS2D01G374500;TraesCS2D01G372800;TraesCS3D01G359200;TraesCS1B01G349900;TraesCS5B01G398600;TraesCS2A01G503600;TraesCS2B01G395100;TraesCS6A01G051200;TraesCS2B01G028400;TraesCS4B01G031700;TraesCS3B01G419800;TraesCS4A01G321800;TraesCS1D01G404300;TraesCS3D01G380700;TraesCS6A01G116400;TraesCS2A01G562000;TraesCS3A01G366400;TraesCS2B01G144900;TraesCS5B01G215900;TraesCS1B01G277500;TraesCS5A01G216900;TraesCS2A01G462300;TraesCS7D01G419200;TraesCS7A01G426700;TraesCS1D01G349800</t>
  </si>
  <si>
    <t>TraesCS1B01G354200</t>
  </si>
  <si>
    <t>cofactor catabolic process</t>
  </si>
  <si>
    <t>TraesCS1B01G095800;TraesCS2B01G284900;TraesCS1D01G079800;TraesCS7D01G442300;TraesCS4A01G036100;TraesCS1A01G078100;TraesCS2B01G124900;TraesCS1B01G330400;TraesCS4D01G268200;TraesCS1D01G317700;TraesCS4B01G268900;TraesCS5B01G147200;TraesCS4D01G170600;TraesCS2A01G467900;TraesCS4A01G136600;TraesCS6D01G135300</t>
  </si>
  <si>
    <t>TraesCS6A01G337600;TraesCS7D01G195900;TraesCS1A01G396200;TraesCS5D01G319700;TraesCS7B01G243200;TraesCS3B01G333100;TraesCS4A01G078900;TraesCS7B01G327000;TraesCS5A01G317400;TraesCS1A01G266600;TraesCS6A01G337300;TraesCS3D01G298600;TraesCS4A01G321800;TraesCS2A01G210100;TraesCS7D01G549800;TraesCS1D01G404300;TraesCS7A01G194300;TraesCS7A01G337000;TraesCS7D01G339800;TraesCS2B01G144900;TraesCS7A01G560100;TraesCS7B01G010100;TraesCS1B01G277500;TraesCS5D01G323700;TraesCS7D01G419200;TraesCS7A01G426700;TraesCS7B01G096600</t>
  </si>
  <si>
    <t>TraesCS7D01G010000;TraesCS2B01G599800;TraesCS4A01G484800;TraesCS4A01G485900;TraesCS5B01G556600;TraesCS7A01G010200</t>
  </si>
  <si>
    <t>TraesCS1A01G303800;TraesCS1B01G314100;TraesCS5A01G312200;TraesCS2B01G551300;TraesCS2A01G521800;TraesCS1B01G307100;TraesCS7A01G411700;TraesCS6D01G290000;TraesCS2D01G523600;TraesCS6B01G340700;TraesCS3B01G372100;TraesCS5A01G512200;TraesCS5A01G069100;TraesCS5B01G149200;TraesCS7B01G032300;TraesCS5D01G002400</t>
  </si>
  <si>
    <t>inositol-3-phosphate synthase activity</t>
  </si>
  <si>
    <t>TraesCS4B01G267200;TraesCS4A01G038500</t>
  </si>
  <si>
    <t>TraesCS1B01G407300</t>
  </si>
  <si>
    <t>TraesCS6A01G337600;TraesCS7D01G195900;TraesCS1A01G396200;TraesCS4A01G321800;TraesCS5D01G319700;TraesCS7D01G549800;TraesCS1D01G404300;TraesCS4A01G078900;TraesCS7A01G194300;TraesCS7B01G327000;TraesCS1A01G266600;TraesCS7A01G560100;TraesCS7B01G010100;TraesCS1B01G277500;TraesCS7D01G419200;TraesCS6B01G350600;TraesCS7A01G426700</t>
  </si>
  <si>
    <t>TraesCS1B01G407500</t>
  </si>
  <si>
    <t>TraesCS3A01G254100;TraesCS1D01G411500;TraesCS5B01G507900;TraesCS1B01G433200;TraesCS5B01G507400;TraesCS1A01G231500;TraesCS5D01G460100;TraesCS5D01G460200;TraesCS3B01G354300;TraesCS5A01G450500;TraesCS1A01G403700;TraesCS2B01G278300;TraesCS6A01G007000;TraesCS6A01G416100;TraesCS3D01G374600;TraesCS6B01G383700;TraesCS5B01G458500;TraesCS4A01G365800;TraesCS5B01G458600;TraesCS6A01G351000;TraesCS6D01G401300;TraesCS5A01G240600;TraesCS4B01G379600;TraesCS6D01G401400;TraesCS4A01G116700;TraesCS5B01G508000;TraesCS2A01G263900;TraesCS6B01G013500;TraesCS3D01G255000</t>
  </si>
  <si>
    <t>TraesCS1B01G410000</t>
  </si>
  <si>
    <t>TraesCS6A01G337600;TraesCS7D01G195900;TraesCS1A01G396200;TraesCS4A01G321800;TraesCS1D01G404300;TraesCS7A01G194300;TraesCS7D01G419200;TraesCS7B01G327000;TraesCS7A01G426700</t>
  </si>
  <si>
    <t>TraesCS1B01G422900</t>
  </si>
  <si>
    <t>TraesCS4D01G091700;TraesCS4A01G216700;TraesCS3D01G257700;TraesCS3A01G257700;TraesCS5D01G383700;TraesCS7A01G199900</t>
  </si>
  <si>
    <t>TraesCS1D01G002900</t>
  </si>
  <si>
    <t>TraesCS1A01G303800;TraesCS1B01G314100;TraesCS2B01G551300;TraesCS2A01G521800;TraesCS5A01G017000;TraesCS1B01G307100;TraesCS3B01G016200;TraesCS6D01G290000;TraesCS2D01G523600;TraesCS6B01G340700;TraesCS6A01G136900;TraesCS2B01G273900;TraesCS3B01G372100;TraesCS5A01G512200;TraesCS5A01G069100;TraesCS5B01G015000;TraesCS5B01G149200;TraesCS5D01G002400</t>
  </si>
  <si>
    <t>TraesCS1D01G010200</t>
  </si>
  <si>
    <t>photosynthesis</t>
  </si>
  <si>
    <t>TraesCS1D01G411600;TraesCS4D01G045400;TraesCS2A01G066800;TraesCS1B01G433300;TraesCS2A01G066900;TraesCS2A01G066700;TraesCS5A01G165700;TraesCS1A01G403800;TraesCS5B01G162800;TraesCS6A01G206600;TraesCS2A01G067100;TraesCS2A01G067200;TraesCS2A01G067000;TraesCS7D01G276300;TraesCS5D01G169900;TraesCS5A01G165400;TraesCS2A01G067300;TraesCS5D01G169600;TraesCS6D01G187800;TraesCS2B01G079500;TraesCS2D01G065600;TraesCS2D01G065400;TraesCS2D01G065500;TraesCS2D01G065200;TraesCS2D01G065300;TraesCS2D01G065100;TraesCS2B01G079400;TraesCS2B01G079100</t>
  </si>
  <si>
    <t>TraesCS5A01G330900;TraesCS5B01G331300;TraesCS5D01G336700;TraesCS7A01G272400</t>
  </si>
  <si>
    <t>TraesCS1D01G014400</t>
  </si>
  <si>
    <t>TraesCS2A01G408900;TraesCS4A01G253600;TraesCS5B01G006600;TraesCS3D01G008400;TraesCS6A01G245600;TraesCS5D01G322200;TraesCS1A01G237900;TraesCS7A01G211600;TraesCS6B01G278800;TraesCS7B01G118600;TraesCS6D01G228000;TraesCS3B01G004200;TraesCS4B01G060600;TraesCS7A01G381400;TraesCS4B01G117000;TraesCS5A01G263700;TraesCS5A01G316000;TraesCS5D01G033200;TraesCS5B01G024600;TraesCS1B01G246400;TraesCS6A01G161600;TraesCS4B01G136700;TraesCS7B01G283300;TraesCS2B01G427200;TraesCS4D01G114700;TraesCS1D01G234700</t>
  </si>
  <si>
    <t>TraesCS1D01G021100</t>
  </si>
  <si>
    <t>vitamin B6 binding</t>
  </si>
  <si>
    <t>TraesCS1D01G114800;TraesCS3A01G366300;TraesCS3B01G425300;TraesCS3D01G359200;TraesCS1A01G113400;TraesCS3A01G366400;TraesCS3D01G359300;TraesCS2D01G313500;TraesCS2B01G333700;TraesCS3B01G397900;TraesCS1B01G133500;TraesCS2A01G315300;TraesCS3D01G519600;TraesCS4D01G359400;TraesCS3B01G398000</t>
  </si>
  <si>
    <t>pyridoxal phosphate binding</t>
  </si>
  <si>
    <t>TraesCS1D01G067500</t>
  </si>
  <si>
    <t>TraesCS1D01G266300;TraesCS1B01G135200;TraesCS2D01G278500;TraesCS2A01G279600;TraesCS6D01G093000;TraesCS1A01G115300;TraesCS2B01G297300;TraesCS6B01G133500;TraesCS1D01G116700;TraesCS3B01G104300;TraesCS6A01G104300</t>
  </si>
  <si>
    <t>TraesCS1D01G079800</t>
  </si>
  <si>
    <t>xylan metabolic process</t>
  </si>
  <si>
    <t>TraesCS7A01G560100;TraesCS5D01G319700;TraesCS7D01G549800;TraesCS7B01G010100;TraesCS1B01G277500;TraesCS2D01G510500;TraesCS4A01G078900;TraesCS1A01G266600</t>
  </si>
  <si>
    <t>TraesCS1D01G081700</t>
  </si>
  <si>
    <t>TraesCS3B01G598100;TraesCS4A01G129900;TraesCS4D01G176600;TraesCS4A01G172100;TraesCS4A01G206400;TraesCS2A01G215300;TraesCS3A01G239200;TraesCS5D01G122700;TraesCS5A01G317400;TraesCS7D01G228500;TraesCS7A01G226000;TraesCS6A01G337300;TraesCS4A01G116700;TraesCS7B01G193600;TraesCS3B01G354300;TraesCS5D01G323700;TraesCS2D01G510500;TraesCS2B01G024500</t>
  </si>
  <si>
    <t>TraesCS1A01G303800;TraesCS1B01G314100;TraesCS5A01G312200;TraesCS4B01G333700;TraesCS2B01G551300;TraesCS2A01G521800;TraesCS1B01G307100;TraesCS7A01G411700;TraesCS6D01G290000;TraesCS2D01G523600;TraesCS6B01G340700;TraesCS3B01G372100;TraesCS5A01G512200;TraesCS2D01G058700;TraesCS5A01G069100;TraesCS5B01G149200;TraesCS7B01G032300;TraesCS5D01G002400;TraesCS2B01G390300;TraesCS2D01G369400</t>
  </si>
  <si>
    <t>TraesCS1D01G087900</t>
  </si>
  <si>
    <t>TraesCS6A01G337600;TraesCS7D01G036600;TraesCS7D01G195900;TraesCS1A01G396200;TraesCS4A01G321800;TraesCS7A01G040900;TraesCS2A01G210100;TraesCS7B01G243200;TraesCS1D01G404300;TraesCS7A01G194300;TraesCS7B01G327000;TraesCS7D01G339800;TraesCS2B01G144900;TraesCS3B01G461800;TraesCS7D01G419200;TraesCS7A01G426700</t>
  </si>
  <si>
    <t>TraesCS1D01G092700</t>
  </si>
  <si>
    <t>TraesCS2D01G097400;TraesCS1D01G114800;TraesCS2A01G098000</t>
  </si>
  <si>
    <t>TraesCS1D01G111600</t>
  </si>
  <si>
    <t>aminomethyltransferase activity</t>
  </si>
  <si>
    <t>TraesCS2B01G490900;TraesCS2A01G467900</t>
  </si>
  <si>
    <t>TraesCS6A01G337600;TraesCS7D01G195900;TraesCS1A01G396200;TraesCS4A01G321800;TraesCS3B01G392700;TraesCS1D01G404300;TraesCS7A01G194300;TraesCS7B01G327000;TraesCS3A01G360400;TraesCS3A01G360600;TraesCS3D01G354200;TraesCS7D01G419200;TraesCS2A01G467900;TraesCS3B01G393000;TraesCS7A01G426700</t>
  </si>
  <si>
    <t>TraesCS1D01G119300</t>
  </si>
  <si>
    <t>TraesCS7D01G036600;TraesCS7D01G195900;TraesCS7A01G040900;TraesCS7B01G243200;TraesCS2A01G378200;TraesCS7B01G327000;TraesCS1A01G266600;TraesCS3B01G461800;TraesCS3D01G359300;TraesCS4D01G215000;TraesCS5A01G217000;TraesCS6B01G144400;TraesCS5A01G383900;TraesCS6B01G350600;TraesCS3B01G398000;TraesCS3D01G022500;TraesCS3A01G366300;TraesCS2A01G210100;TraesCS4B01G385400;TraesCS5A01G102200;TraesCS6A01G317900;TraesCS7A01G194300;TraesCS7D01G339800;TraesCS6D01G166500;TraesCS4B01G214400;TraesCS5B01G215800;TraesCS3B01G397900;TraesCS4A01G089900;TraesCS4D01G359500;TraesCS6A01G337600;TraesCS1A01G396200;TraesCS2D01G374500;TraesCS1D01G266700;TraesCS2D01G372800;TraesCS3D01G359200;TraesCS1B01G349900;TraesCS5B01G398600;TraesCS2A01G503600;TraesCS2B01G395100;TraesCS6A01G051200;TraesCS2B01G028400;TraesCS4B01G031700;TraesCS3B01G419800;TraesCS4A01G321800;TraesCS1D01G404300;TraesCS3D01G380700;TraesCS6A01G116400;TraesCS2A01G562000;TraesCS3A01G366400;TraesCS2B01G144900;TraesCS5B01G215900;TraesCS1B01G277500;TraesCS5A01G216900;TraesCS2A01G462300;TraesCS7D01G419200;TraesCS7A01G426700;TraesCS1D01G349800</t>
  </si>
  <si>
    <t>TraesCS1B01G314100;TraesCS2A01G521800;TraesCS5A01G017000;TraesCS2D01G523600;TraesCS4D01G257900;TraesCS6B01G340700;TraesCS3B01G136800;TraesCS2D01G058700;TraesCS5B01G015000;TraesCS5B01G149200;TraesCS7B01G032300;TraesCS1A01G303800;TraesCS3A01G393500;TraesCS4A01G046800;TraesCS5A01G312200;TraesCS4B01G333700;TraesCS2B01G551300;TraesCSU01G014100;TraesCS1B01G307100;TraesCS7A01G411700;TraesCS6D01G290000;TraesCS1B01G321200;TraesCS2B01G273900;TraesCS3B01G372100;TraesCS4B01G258000;TraesCS5A01G512200;TraesCS5A01G069100;TraesCS1D01G309600;TraesCS5D01G002400;TraesCS2B01G390300;TraesCS2D01G369400</t>
  </si>
  <si>
    <t>carboxylic acid metabolic process</t>
  </si>
  <si>
    <t>TraesCS2B01G090400;TraesCS3A01G451100;TraesCS7B01G006200;TraesCS3B01G425300;TraesCS2D01G135300;TraesCS5D01G122700;TraesCS7A01G206000;TraesCS5D01G244700;TraesCS2B01G592100;TraesCS1D01G147800;TraesCS2B01G490900;TraesCS2A01G507700;TraesCS5D01G131500;TraesCS5B01G187900;TraesCS2A01G385100;TraesCS2A01G591600;TraesCS6D01G321600;TraesCS3D01G279300;TraesCS4D01G176600;TraesCS5A01G236800;TraesCS5A01G123600;TraesCS1B01G048000;TraesCS1A01G040900;TraesCS2D01G562600;TraesCS7D01G228500;TraesCS4D01G329200;TraesCS6A01G026800;TraesCS7A01G107500;TraesCS5A01G237000;TraesCS2B01G333700;TraesCS7B01G113100;TraesCS4A01G326700;TraesCS7B01G113300;TraesCS3D01G519600;TraesCS7D01G101900;TraesCS5B01G123200;TraesCS6B01G372900;TraesCS5A01G195500;TraesCS1B01G093600;TraesCS2B01G520500;TraesCS4A01G129900;TraesCS5D01G447800;TraesCS5D01G017000;TraesCS3B01G488500;TraesCS7D01G208600;TraesCS7B01G006300;TraesCS7A01G206100;TraesCS7B01G006100;TraesCS5A01G076500;TraesCS2A01G492300;TraesCS2D01G165300;TraesCS5B01G235900;TraesCS6A01G025200;TraesCS2D01G381800;TraesCS2B01G156800;TraesCS2A01G467900;TraesCS5D01G548700;TraesCS4A01G206400;TraesCS5A01G503600;TraesCS3B01G313800;TraesCS7A01G226000;TraesCS1D01G123400;TraesCS1A01G439000;TraesCS7B01G193600;TraesCS2D01G313500;TraesCS7B01G113000;TraesCS4A01G301600;TraesCS7B01G113200;TraesCS2A01G315300;TraesCS4D01G359400;TraesCS6A01G341400</t>
  </si>
  <si>
    <t>TraesCS1D01G129100</t>
  </si>
  <si>
    <t>xylan biosynthetic process</t>
  </si>
  <si>
    <t>TraesCS7A01G560100;TraesCS5D01G319700;TraesCS7D01G549800;TraesCS7B01G010100;TraesCS1B01G277500;TraesCS4A01G078900;TraesCS1A01G266600</t>
  </si>
  <si>
    <t>TraesCS2B01G013000;TraesCS1B01G314100;TraesCS1A01G050400;TraesCS3A01G390100;TraesCS7B01G295600;TraesCS5D01G447300;TraesCS1D01G161500;TraesCS4B01G112100;TraesCS7A01G199900;TraesCS5A01G227600;TraesCS7B01G012800;TraesCS4B01G015200;TraesCS2B01G346100;TraesCS2B01G490900;TraesCS7B01G032300;TraesCS5D01G265400;TraesCS3A01G393500;TraesCS5B01G296500;TraesCS2B01G551300;TraesCS4A01G216700;TraesCS7B01G020300;TraesCS1B01G225000;TraesCS4D01G277500;TraesCS7A01G469300;TraesCS2D01G373100;TraesCS5B01G288600;TraesCS7D01G377800;TraesCS7D01G110800;TraesCS2D01G443600;TraesCS5D01G455100;TraesCS5A01G069100;TraesCS5D01G304300;TraesCS6B01G059100;TraesCS1D01G309600;TraesCS7A01G556800;TraesCS1D01G087900;TraesCS2D01G369400;TraesCS1B01G104700;TraesCS4A01G316200;TraesCS2B01G090300;TraesCS3A01G048000;TraesCS7D01G521400;TraesCS5D01G141600;TraesCS2D01G523600;TraesCS4B01G338600;TraesCS6B01G340700;TraesCS6A01G136900;TraesCS5B01G015000;TraesCS7D01G456900;TraesCS3A01G508700;TraesCS1D01G214300;TraesCS2A01G316900;TraesCS3A01G053000;TraesCS7D01G553900;TraesCS4A01G046800;TraesCS5A01G312200;TraesCS4A01G208500;TraesCS7D01G119800;TraesCS4B01G333700;TraesCS4D01G109600;TraesCS7A01G411700;TraesCS4D01G365800;TraesCS1B01G321200;TraesCS4A01G294300;TraesCS6B01G258700;TraesCS7D01G048400;TraesCS3D01G379600;TraesCS2B01G335500;TraesCS6D01G009600;TraesCS1A01G341100;TraesCS1B01G353800;TraesCS2B01G390300;TraesCS7D01G388900;TraesCS7A01G166500;TraesCS5A01G256800;TraesCS4D01G091700;TraesCS5A01G508500;TraesCS2A01G521800;TraesCS2B01G069800;TraesCS5D01G235100;TraesCS3B01G498200;TraesCS4B01G279000;TraesCS5A01G388000;TraesCS2A01G307600;TraesCS5D01G158500;TraesCS5D01G030200;TraesCS2D01G058700;TraesCS2A01G385500;TraesCS5B01G149200;TraesCS4D01G335100;TraesCS2D01G442700;TraesCS3D01G443400;TraesCS2A01G572200;TraesCS5D01G001600;TraesCS2B01G615300;TraesCS6A01G009000;TraesCS1A01G303800;TraesCS6A01G420400;TraesCS7A01G381500;TraesCS2D01G422000;TraesCS3A01G257700;TraesCS5D01G383700;TraesCS6D01G290000;TraesCS2B01G273900;TraesCS3B01G372100;TraesCS5A01G512200;TraesCS7A01G393600;TraesCS7D01G221900;TraesCS1D01G343200;TraesCS5A01G413000;TraesCS7A01G533900;TraesCS1A01G211000;TraesCS2D01G327000;TraesCS5D01G002400;TraesCS3B01G144700;TraesCS6B01G292900;TraesCS5A01G017000;TraesCS1B01G066900;TraesCS4D01G257900;TraesCS7D01G429000;TraesCS3B01G136800;TraesCS4A01G058700;TraesCS1A01G086300;TraesCS4A01G025100;TraesCS1A01G426300;TraesCS6B01G201300;TraesCS2A01G467900;TraesCS5A01G452600;TraesCS2B01G612200;TraesCS4D01G344800;TraesCS5D01G498500;TraesCSU01G014100;TraesCS5D01G297100;TraesCS1B01G307100;TraesCS4B01G339600;TraesCS5A01G440100;TraesCS6D01G330500;TraesCS4B01G258000;TraesCS3B01G414900;TraesCS3B01G521800;TraesCS1B01G181300;TraesCS3D01G257700</t>
  </si>
  <si>
    <t>TraesCS1D01G163000</t>
  </si>
  <si>
    <t>TraesCS1D01G164900</t>
  </si>
  <si>
    <t>TraesCS1D01G165000</t>
  </si>
  <si>
    <t>TraesCS1D01G175400</t>
  </si>
  <si>
    <t>TraesCS1D01G215100;TraesCS1D01G215300;TraesCS6A01G249200;TraesCS6D01G231200;TraesCS1A01G208200;TraesCS1B01G225900;TraesCS4D01G355700;TraesCS5A01G001300;TraesCS1B01G222300;TraesCS4B01G362100;TraesCS1A01G212300;TraesCS1D01G211500;TraesCS4B01G362600</t>
  </si>
  <si>
    <t>TraesCS2B01G382900;TraesCS3B01G359800;TraesCS5A01G532400;TraesCS7D01G095900;TraesCS2A01G364400;TraesCS2D01G362300;TraesCS4A01G133100;TraesCS4B01G363800</t>
  </si>
  <si>
    <t>TraesCS1D01G204800</t>
  </si>
  <si>
    <t>cell wall polysaccharide biosynthetic process</t>
  </si>
  <si>
    <t>TraesCS1B01G135200;TraesCS1B01G368600;TraesCS1D01G357000;TraesCS2D01G332500;TraesCS1A01G115300;TraesCS2D01G582400;TraesCS1A01G353200;TraesCS1D01G116700</t>
  </si>
  <si>
    <t>glutamate decarboxylase activity</t>
  </si>
  <si>
    <t>TraesCS2D01G313500;TraesCS2B01G333700;TraesCS2A01G315300</t>
  </si>
  <si>
    <t>DNA-3-methylbase glycosylase activity</t>
  </si>
  <si>
    <t>TraesCS3B01G385400;TraesCS3D01G346700;TraesCS3A01G352700</t>
  </si>
  <si>
    <t>DNA-3-methyladenine glycosylase activity</t>
  </si>
  <si>
    <t>TraesCS1D01G228100</t>
  </si>
  <si>
    <t>cellulase activity</t>
  </si>
  <si>
    <t>TraesCS5D01G323700;TraesCS5A01G317400;TraesCS6A01G337300</t>
  </si>
  <si>
    <t>TraesCS1B01G368600;TraesCS1D01G357000;TraesCS2D01G332500;TraesCS1A01G353200</t>
  </si>
  <si>
    <t>TraesCS1D01G245100</t>
  </si>
  <si>
    <t>oxoacid metabolic process</t>
  </si>
  <si>
    <t>organic acid metabolic process</t>
  </si>
  <si>
    <t>cellular component macromolecule biosynthetic process</t>
  </si>
  <si>
    <t>TraesCS1D01G256200</t>
  </si>
  <si>
    <t>cell wall macromolecule biosynthetic process</t>
  </si>
  <si>
    <t>TraesCS1D01G265000</t>
  </si>
  <si>
    <t>alkylbase DNA N-glycosylase activity</t>
  </si>
  <si>
    <t>TraesCS1D01G266300</t>
  </si>
  <si>
    <t>TraesCS7D01G195900;TraesCS1B01G280400;TraesCS2B01G007000;TraesCS2D01G116700;TraesCS6B01G213500;TraesCS7D01G099300;TraesCS2A01G378200;TraesCS3D01G527400;TraesCS7A01G206000;TraesCS1A01G266600;TraesCS3B01G461800;TraesCS3D01G464300;TraesCS3A01G251800;TraesCS3D01G225600;TraesCS2B01G490900;TraesCS4D01G215000;TraesCS5A01G217000;TraesCS2A01G507700;TraesCS1A01G369600;TraesCS2D01G016300;TraesCS5B01G187900;TraesCS6B01G144400;TraesCS1B01G203200;TraesCS5D01G489500;TraesCS6B01G404000;TraesCS3B01G398000;TraesCS6D01G172100;TraesCS5B01G120300;TraesCS1D01G164900;TraesCS6B01G006500;TraesCS3B01G139000;TraesCS5D01G299300;TraesCS7B01G263100;TraesCS7A01G520600;TraesCS5D01G444700;TraesCS2B01G006700;TraesCS1B01G003200;TraesCS7A01G107500;TraesCS5B01G215800;TraesCS1A01G335600;TraesCS7B01G113100;TraesCS2D01G426800;TraesCS3B01G119300;TraesCS4A01G213400;TraesCS3B01G488500;TraesCS7D01G208600;TraesCS3D01G359200;TraesCS7A01G206100;TraesCSU01G069100;TraesCS5B01G398600;TraesCS1A01G124700;TraesCS2A01G299200;TraesCS4B01G071600;TraesCS2B01G028400;TraesCS2D01G016200;TraesCS2B01G156800;TraesCS4B01G102400;TraesCS2D01G027900;TraesCS4A01G321800;TraesCS4D01G094600;TraesCS5B01G202800;TraesCS4D01G073800;TraesCS7D01G085900;TraesCS2B01G006000;TraesCS5D01G329000;TraesCS1D01G404300;TraesCS3D01G380700;TraesCS6A01G116400;TraesCS1A01G301800;TraesCS2B01G006800;TraesCS1B01G190600;TraesCS4B01G396500;TraesCS5B01G511500;TraesCS2A01G015700;TraesCS1A01G439000;TraesCS7B01G193600;TraesCS1B01G311800;TraesCS7B01G113000;TraesCS1A01G081200;TraesCS1D01G375600;TraesCS3A01G451100;TraesCS3B01G169300;TraesCS4D01G150200;TraesCS6D01G358400;TraesCS7B01G006200;TraesCS2A01G456900;TraesCS2A01G014800;TraesCS4D01G010700;TraesCS3D01G359300;TraesCS2A01G230100;TraesCS2B01G007200;TraesCS4B01G125500;TraesCS3D01G369100;TraesCS5A01G383900;TraesCS6B01G350600;TraesCS2D01G530600;TraesCS1B01G098800;TraesCS4A01G136500;TraesCS4D01G176600;TraesCS3A01G366300;TraesCS1D01G301400;TraesCS4B01G385400;TraesCS7D01G251100;TraesCS5A01G102200;TraesCS6D01G206100;TraesCS6A01G317900;TraesCSU01G033700;TraesCS7A01G194300;TraesCS1B01G048000;TraesCS7D01G510300;TraesCS7D01G101900;TraesCS1D01G375500;TraesCS6A01G337600;TraesCS1A01G396200;TraesCS6D01G035000;TraesCS1D01G266700;TraesCS5D01G017000;TraesCS7A01G082200;TraesCS3A01G065700;TraesCS7B01G006300;TraesCS1D01G002900;TraesCS3D01G151500;TraesCS5A01G187400;TraesCS2A01G503600;TraesCS6A01G025200;TraesCS2D01G297100;TraesCS3A01G135500;TraesCS2A01G440900;TraesCS4D01G170700;TraesCS7A01G148300;TraesCS2A01G467900;TraesCS3B01G419800;TraesCS6D01G002200;TraesCS4B01G192200;TraesCS7D01G358400;TraesCS2A01G025700;TraesCS3D01G496100;TraesCS6B01G411800;TraesCS7A01G383700;TraesCS3D01G540200;TraesCS1D01G129100;TraesCS1B01G193000;TraesCS2A01G478800;TraesCS3A01G366400;TraesCS2B01G144900;TraesCS3A01G534900;TraesCS7D01G352300;TraesCS2A01G015900;TraesCS5A01G216900;TraesCS4A01G301600;TraesCS6A01G341400;TraesCS7A01G426700;TraesCS1D01G349800;TraesCS7B01G243200;TraesCS2B01G038700;TraesCS7B01G190700;TraesCS7B01G327000;TraesCS3B01G257000;TraesCS3B01G551200;TraesCS3D01G008400;TraesCS4A01G220000;TraesCS2D01G439600;TraesCS1A01G034600;TraesCS3B01G612000;TraesCS6D01G287600;TraesCS3A01G397700;TraesCS6D01G321600;TraesCS5B01G539900;TraesCS3B01G256700;TraesCS5D01G127100;TraesCS3B01G579200;TraesCS4A01G361400;TraesCS1B01G388700;TraesCS2B01G251700;TraesCS7D01G339800;TraesCS6D01G166500;TraesCS7D01G228500;TraesCS7B01G473200;TraesCS7B01G448900;TraesCS4B01G214400;TraesCS6A01G026800;TraesCS7D01G076700;TraesCS2B01G006300;TraesCS4D01G001000;TraesCS5A01G379500;TraesCS4A01G089900;TraesCS4D01G359500;TraesCS1B01G359800;TraesCS5A01G195500;TraesCS4A01G129900;TraesCS5B01G570400;TraesCS2D01G372800;TraesCS6B01G030800;TraesCS2B01G344900;TraesCS2B01G558400;TraesCS1D01G337900;TraesCS7B01G006100;TraesCS5D01G216400;TraesCS5A01G076500;TraesCS5A01G435500;TraesCS2D01G035000;TraesCS2D01G546200;TraesCS7A01G251200;TraesCS7B01G139900;TraesCS2B01G068800;TraesCS3A01G490100;TraesCS2A01G562000;TraesCS3B01G313800;TraesCS2A01G527700;TraesCS1B01G277500;TraesCS6D01G206000;TraesCS2A01G462300;TraesCS7B01G241900;TraesCS1D01G175400;TraesCS7D01G036600;TraesCS6B01G328400;TraesCS7A01G040900;TraesCS1D01G440900;TraesCS2A01G429000;TraesCS2D01G016100;TraesCS2D01G135300;TraesCS2D01G437900;TraesCS4A01G111600;TraesCS3D01G464900;TraesCS3D01G279300;TraesCS3D01G022500;TraesCS2D01G325900;TraesCS2A01G210100;TraesCS3A01G060200;TraesCS1A01G040900;TraesCSU01G066200;TraesCS2D01G015700;TraesCS1B01G003400;TraesCS4D01G099200;TraesCS4D01G107000;TraesCS3D01G121700;TraesCS3B01G397900;TraesCS1A01G270000;TraesCS7D01G040300;TraesCS7B01G113300;TraesCS6B01G372900;TraesCS6B01G030300;TraesCS2D01G374500;TraesCS4D01G150500;TraesCS6B01G328300;TraesCS2A01G337000;TraesCS1D01G165000;TraesCS1B01G349900;TraesCS2B01G395100;TraesCS6A01G051200;TraesCS3A01G171500;TraesCS4B01G031700;TraesCS1B01G050600;TraesCS2B01G460000;TraesCS6A01G166100;TraesCS7B01G326700;TraesCS3B01G550900;TraesCS7D01G111200;TraesCS7A01G226000;TraesCS7B01G437000;TraesCS1B01G003300;TraesCS3D01G333200;TraesCS5B01G215900;TraesCS7B01G113200;TraesCS7D01G040200;TraesCS7D01G419200</t>
  </si>
  <si>
    <t>TraesCS1D01G267500</t>
  </si>
  <si>
    <t>drug metabolic process</t>
  </si>
  <si>
    <t>TraesCS1B01G095800;TraesCS4A01G129900;TraesCS5B01G220000;TraesCS1D01G079800;TraesCS7D01G500200;TraesCS3A01G239200;TraesCS5A01G017000;TraesCS5D01G122700;TraesCS2B01G124900;TraesCS4D01G268200;TraesCS1D01G317700;TraesCS2B01G592100;TraesCS5B01G147200;TraesCS2B01G490900;TraesCS5A01G221200;TraesCS5B01G015000;TraesCS3B01G354300;TraesCS4D01G170600;TraesCS2B01G024500;TraesCS2A01G467900;TraesCS4A01G136600;TraesCS2A01G591600;TraesCS2B01G284900;TraesCS3B01G598100;TraesCS4D01G176600;TraesCS4A01G172100;TraesCS7D01G442300;TraesCS4A01G206400;TraesCS4A01G036100;TraesCS1A01G078100;TraesCS2D01G562600;TraesCS7D01G228500;TraesCS7A01G226000;TraesCS1B01G330400;TraesCS2B01G273900;TraesCS7B01G421700;TraesCS4A01G116700;TraesCS4B01G268900;TraesCS7B01G193600;TraesCS6B01G393400;TraesCS1A01G203700;TraesCS7A01G510800;TraesCS5D01G228900</t>
  </si>
  <si>
    <t>TraesCS1D01G270100</t>
  </si>
  <si>
    <t>TraesCS3A01G254100;TraesCS1D01G411500;TraesCS5B01G507900;TraesCS1B01G433200;TraesCS5B01G507400;TraesCS1A01G231500;TraesCS5D01G460100;TraesCS5D01G460200;TraesCS3B01G354300;TraesCS5A01G450500;TraesCS1A01G403700;TraesCS2B01G278300;TraesCS6A01G007000;TraesCS6A01G416100;TraesCS3D01G374600;TraesCS6B01G383700;TraesCS5B01G458500;TraesCS4A01G365800;TraesCS5B01G458600;TraesCS3A01G419200;TraesCS6A01G351000;TraesCS6D01G401300;TraesCS3D01G414900;TraesCS5A01G240600;TraesCS4B01G379600;TraesCS6D01G401400;TraesCS4A01G116700;TraesCS5B01G508000;TraesCS2A01G263900;TraesCS6B01G013500;TraesCS3B01G454500;TraesCS3D01G255000</t>
  </si>
  <si>
    <t>endopeptidase activity</t>
  </si>
  <si>
    <t>TraesCS7A01G489400;TraesCS2A01G408900;TraesCS7A01G489300;TraesCS4A01G469500;TraesCS4A01G469600;TraesCS7D01G462600;TraesCS3D01G225000;TraesCS5B01G006600;TraesCS3D01G008400;TraesCS6A01G245600;TraesCS6B01G312000;TraesCS7D01G211000;TraesCS6D01G264200;TraesCS5D01G322200;TraesCS1A01G237900;TraesCS7A01G211600;TraesCS3A01G227000;TraesCS6B01G278800;TraesCS7B01G118600;TraesCS6D01G228000;TraesCS3B01G004200;TraesCS7A01G381400;TraesCS5B01G076600;TraesCS5A01G316000;TraesCS5D01G033200;TraesCS5B01G024600;TraesCS5B01G227600;TraesCS6A01G283700;TraesCS1B01G246400;TraesCS5A01G071000;TraesCS6A01G161600;TraesCS7B01G283300;TraesCS2B01G427200;TraesCS1D01G234700</t>
  </si>
  <si>
    <t>TraesCS6D01G222000;TraesCS7D01G278300;TraesCS7B01G176400;TraesCS4A01G388600;TraesCS6A01G239600;TraesCS5B01G238300;TraesCS4A01G020500;TraesCS7A01G278500</t>
  </si>
  <si>
    <t>TraesCS4A01G129900;TraesCS4D01G176600;TraesCS7D01G500200;TraesCS4A01G206400;TraesCS4A01G213400;TraesCS5A01G017000;TraesCS5D01G122700;TraesCS7D01G228500;TraesCS7A01G226000;TraesCS2B01G273900;TraesCS7B01G421700;TraesCS4D01G099200;TraesCS7B01G193600;TraesCS6B01G393400;TraesCS5B01G015000;TraesCS7A01G510800;TraesCS4B01G102400</t>
  </si>
  <si>
    <t>TraesCS1D01G292000</t>
  </si>
  <si>
    <t>TraesCS1D01G301400</t>
  </si>
  <si>
    <t>oxidoreductase activity, acting on NAD(P)H, oxygen as acceptor</t>
  </si>
  <si>
    <t>TraesCS3A01G354200;TraesCS1D01G289300;TraesCS1A01G290700;TraesCS1B01G300000</t>
  </si>
  <si>
    <t>TraesCS3A01G390100;TraesCS3B01G144700;TraesCS3D01G379600;TraesCS2D01G058700</t>
  </si>
  <si>
    <t>beta-glucan catabolic process</t>
  </si>
  <si>
    <t>TraesCS1D01G349800</t>
  </si>
  <si>
    <t>cellulose catabolic process</t>
  </si>
  <si>
    <t>TraesCS3A01G390100;TraesCS3B01G144700;TraesCS3D01G379600;TraesCS4D01G091700;TraesCS4A01G216700;TraesCS5D01G383700;TraesCS7A01G199900</t>
  </si>
  <si>
    <t>TraesCS4D01G129800;TraesCS7D01G195900;TraesCS2D01G116700;TraesCS6B01G133500;TraesCS6B01G213500;TraesCS7D01G099300;TraesCS1B01G433300;TraesCS7A01G206000;TraesCS1A01G266600;TraesCS3B01G461800;TraesCS3D01G225600;TraesCS7D01G211000;TraesCS4B01G135900;TraesCS6D01G264200;TraesCS5A01G165700;TraesCS2B01G490900;TraesCS4D01G215000;TraesCS5A01G217000;TraesCS7A01G211600;TraesCS1A01G369600;TraesCS3B01G354300;TraesCS5B01G187900;TraesCS1B01G203200;TraesCS5D01G489500;TraesCS6A01G239600;TraesCS3B01G398000;TraesCS6D01G172100;TraesCS6D01G323500;TraesCS6B01G006500;TraesCS2D01G562400;TraesCS7B01G263100;TraesCS7A01G520600;TraesCS5D01G444700;TraesCS5B01G024600;TraesCS3D01G440200;TraesCS7A01G107500;TraesCS7B01G010100;TraesCS1D01G357000;TraesCS7A01G510800;TraesCS7B01G113100;TraesCS2B01G427200;TraesCS5B01G331300;TraesCS2A01G429100;TraesCS4A01G213400;TraesCS2A01G584800;TraesCS3D01G359200;TraesCS7A01G206100;TraesCS6B01G118000;TraesCS2A01G066700;TraesCS2B01G156800;TraesCS4B01G267200;TraesCS6D01G228000;TraesCS4D01G335600;TraesCS3A01G208600;TraesCS4A01G321800;TraesCS4D01G130700;TraesCS7D01G549800;TraesCS1D01G404300;TraesCS5D01G169600;TraesCS1A01G301800;TraesCS4B01G396500;TraesCS3B01G483500;TraesCS1B01G311800;TraesCS7B01G113000;TraesCS5D01G228900;TraesCS2A01G315300;TraesCS5A01G382600;TraesCS5A01G281600;TraesCS1D01G375600;TraesCS7D01G500200;TraesCS1B01G368600;TraesCS3B01G169300;TraesCS5D01G319700;TraesCS6B01G349500;TraesCS4A01G316500;TraesCS4D01G150200;TraesCS5D01G122700;TraesCS2A01G066800;TraesCS2A01G456900;TraesCS2A01G521000;TraesCS3D01G359300;TraesCS3B01G562700;TraesCS7B01G118600;TraesCS2A01G385100;TraesCS3D01G369100;TraesCS1A01G403800;TraesCS4A01G136500;TraesCS5B01G162800;TraesCS3B01G529700;TraesCS4D01G176600;TraesCS3A01G366300;TraesCS1D01G301400;TraesCS6D01G206100;TraesCS7A01G383800;TraesCS5A01G165400;TraesCS6A01G372100;TraesCS7D01G510300;TraesCS2D01G332500;TraesCS7B01G153600;TraesCS7D01G101900;TraesCS1B01G093600;TraesCS2B01G520500;TraesCS1D01G375500;TraesCS5B01G058800;TraesCS5D01G447800;TraesCS5D01G017000;TraesCS1A01G115300;TraesCS4A01G078900;TraesCS5A01G187400;TraesCS7B01G459300;TraesCS2A01G066900;TraesCS2B01G591900;TraesCS6B01G312000;TraesCS5B01G235900;TraesCS2D01G297100;TraesCS7B01G060700;TraesCS5D01G194800;TraesCS6B01G368000;TraesCS2A01G467900;TraesCS6D01G002200;TraesCS7A01G404700;TraesCS7A01G381400;TraesCS4B01G117000;TraesCS3D01G496100;TraesCS3B01G392700;TraesCS1D01G129100;TraesCS1B01G193000;TraesCS2A01G478800;TraesCS3A01G366400;TraesCS2B01G144900;TraesCS4A01G182700;TraesCS1D01G389900;TraesCS6A01G161600;TraesCS2D01G065100;TraesCS6A01G341400;TraesCS4A01G020500;TraesCS7B01G291400;TraesCS3D01G478300;TraesCS2D01G582400;TraesCS3B01G104300;TraesCS7B01G327000;TraesCS3D01G166700;TraesCS5D01G131500;TraesCS6D01G287600;TraesCS3A01G397700;TraesCS6D01G321600;TraesCS5B01G539900;TraesCS7A01G331100;TraesCS3B01G256700;TraesCS3B01G579200;TraesCS2D01G396800;TraesCS7D01G228500;TraesCS7B01G448900;TraesCS2A01G384600;TraesCS5A01G237000;TraesCS4D01G001000;TraesCS3D01G245500;TraesCS4A01G089900;TraesCS1B01G407300;TraesCSU01G021800;TraesCS3D01G519600;TraesCS3D01G331600;TraesCS6D01G135300;TraesCS5B01G570400;TraesCS3B01G333100;TraesCS7B01G304100;TraesCS4A01G485900;TraesCS4B01G242300;TraesCS5D01G216400;TraesCS5A01G076500;TraesCS5A01G435500;TraesCS2D01G278500;TraesCS2D01G546200;TraesCS6D01G008900;TraesCS5B01G319700;TraesCS3A01G038200;TraesCS3A01G447500;TraesCS7A01G251200;TraesCS3A01G351000;TraesCS6A01G277800;TraesCS6A01G367300;TraesCS5A01G316000;TraesCS3D01G041700;TraesCS4A01G484800;TraesCS3A01G490100;TraesCS3D01G117300;TraesCS1D01G127400;TraesCS1B01G277500;TraesCS3B01G045600;TraesCS4A01G064600;TraesCS7B01G241900;TraesCS7D01G363100;TraesCS1D01G175400;TraesCS1D01G234700;TraesCS7A01G359700;TraesCS2B01G090400;TraesCS4A01G469600;TraesCS5A01G047000;TraesCS6D01G318100;TraesCS4A01G398600;TraesCS4A01G111600;TraesCS1A01G126100;TraesCS4D01G241900;TraesCS3D01G279300;TraesCS4A01G321700;TraesCS6A01G206600;TraesCS2A01G210100;TraesCS5A01G123600;TraesCS4B01G218000;TraesCS5D01G169900;TraesCS5A01G240600;TraesCS3A01G060200;TraesCS1A01G040900;TraesCS2D01G562600;TraesCS5D01G398300;TraesCS4D01G329200;TraesCS2B01G079500;TraesCS4D01G107000;TraesCS3B01G397900;TraesCS6D01G093000;TraesCS7B01G096600;TraesCS1D01G266300;TraesCS1D01G411600;TraesCS5B01G220000;TraesCS4A01G469500;TraesCS6B01G328300;TraesCS7B01G291300;TraesCS2A01G337000;TraesCS2A01G414800;TraesCS4D01G085600;TraesCS3A01G330500;TraesCS1A01G237900;TraesCS1A01G382200;TraesCS4B01G286000;TraesCS7D01G161900;TraesCS6A01G166100;TraesCS3B01G550900;TraesCS7D01G111200;TraesCS1B01G382700;TraesCS7A01G226000;TraesCS1B01G135200;TraesCS7D01G346700;TraesCS5A01G071000;TraesCS5B01G215900;TraesCS4B01G143900;TraesCS3D01G346700;TraesCS6D01G222000;TraesCS7D01G462600;TraesCS5A01G317400;TraesCS3D01G527400;TraesCS6A01G245600;TraesCS3B01G369000;TraesCS5D01G244700;TraesCS2A01G507700;TraesCS7A01G389600;TraesCS2D01G016300;TraesCS4B01G135100;TraesCS4A01G172100;TraesCS7D01G010000;TraesCS2A01G067000;TraesCS7D01G276300;TraesCS2B01G297300;TraesCS5B01G076600;TraesCS6D01G258300;TraesCS7B01G250700;TraesCS5A01G263700;TraesCS1D01G116700;TraesCS1B01G003200;TraesCS1A01G339400;TraesCS2D01G065600;TraesCS7B01G169700;TraesCS1A01G203700;TraesCS5B01G215800;TraesCS2B01G333700;TraesCS3B01G119300;TraesCS7A01G489300;TraesCS3B01G488500;TraesCS7D01G208600;TraesCS5B01G394000;TraesCS1A01G124700;TraesCS2A01G299200;TraesCS4B01G071600;TraesCS6D01G350300;TraesCS5B01G015000;TraesCS6A01G351900;TraesCS6B01G278800;TraesCS7A01G389500;TraesCS4B01G102400;TraesCS7A01G272400;TraesCS5B01G294700;TraesCS4A01G445000;TraesCS4B01G060600;TraesCS2A01G067100;TraesCS7D01G085900;TraesCS7A01G113600;TraesCS4A01G038500;TraesCS3D01G380700;TraesCS1D01G370700;TraesCS7B01G421700;TraesCS1A01G439000;TraesCS7B01G193600;TraesCS3D01G354200;TraesCS5D01G323700;TraesCS2B01G079400;TraesCS6A01G104300;TraesCS5D01G566700;TraesCS5D01G302900;TraesCS3B01G385400;TraesCS3A01G451100;TraesCS3D01G323900;TraesCS3D01G403500;TraesCS7D01G399000;TraesCS7B01G006200;TraesCS3D01G225000;TraesCS5D01G401500;TraesCS2B01G592100;TraesCS5D01G322200;TraesCS2A01G230100;TraesCS2B01G007200;TraesCS2B01G024500;TraesCS3B01G598100;TraesCS7D01G251100;TraesCS2A01G067200;TraesCS7A01G194300;TraesCS1B01G048000;TraesCS2A01G279600;TraesCS7A01G405000;TraesCS3A01G352700;TraesCS2B01G079100;TraesCS6A01G337600;TraesCS1A01G396200;TraesCS2D01G433800;TraesCS4A01G173100;TraesCS5D01G336700;TraesCS2B01G336800;TraesCS3A01G065700;TraesCS5A01G017000;TraesCS7B01G006300;TraesCS1D01G002900;TraesCS3D01G151500;TraesCS5D01G069200;TraesCS5B01G006600;TraesCS3B01G530000;TraesCS2A01G492300;TraesCS2D01G165300;TraesCS6A01G025200;TraesCS3A01G135500;TraesCS4D01G170700;TraesCS3B01G419800;TraesCS4B01G192200;TraesCS7A01G010200;TraesCS7D01G358400;TraesCS4A01G206400;TraesCS4A01G426300;TraesCS2A01G067300;TraesCS5B01G227600;TraesCS6A01G283700;TraesCS5A01G138700;TraesCS6B01G393400;TraesCS7B01G283300;TraesCS5A01G216900;TraesCS4A01G301600;TraesCS4D01G114700;TraesCS3B01G393000;TraesCS7A01G426700;TraesCS7D01G380300;TraesCS4A01G118400;TraesCS2A01G408900;TraesCS7B01G243200;TraesCS2A01G215300;TraesCS5D01G552900;TraesCS3B01G425300;TraesCS2A01G507300;TraesCS4A01G253600;TraesCS3B01G551200;TraesCS3D01G008400;TraesCS6A01G337300;TraesCS3D01G275700;TraesCS6A01G002700;TraesCS2D01G439600;TraesCS1A01G034600;TraesCS7B01G286600;TraesCS2A01G591600;TraesCS1B01G388700;TraesCS2B01G251700;TraesCS3A01G360400;TraesCS7D01G339800;TraesCS7B01G473200;TraesCS5A01G330900;TraesCS6A01G026800;TraesCS7A01G560100;TraesCS2B01G434000;TraesCS2D01G065200;TraesCS5A01G195500;TraesCS4A01G129900;TraesCS2B01G344900;TraesCS7B01G006100;TraesCS2D01G265900;TraesCS5A01G221200;TraesCS6D01G002800;TraesCS7A01G404900;TraesCS7D01G385500;TraesCS5D01G118500;TraesCS2A01G344000;TraesCS2B01G341500;TraesCS7B01G139900;TraesCS3D01G345100;TraesCS1A01G353200;TraesCS3B01G313800;TraesCS4A01G116700;TraesCS2D01G313500;TraesCS2D01G065300;TraesCS6D01G206000;TraesCS4D01G359400;TraesCS2B01G285700;TraesCS1A01G276600;TraesCS7A01G489400;TraesCS7D01G036600;TraesCS6D01G360200;TraesCS7A01G040900;TraesCS1D01G440900;TraesCS3A01G239200;TraesCS2B01G550300;TraesCS2D01G135300;TraesCS3A01G360600;TraesCS1D01G147800;TraesCS5B01G556600;TraesCS1A01G365200;TraesCS2A01G591900;TraesCS2D01G325900;TraesCS5A01G236800;TraesCS2D01G522700;TraesCS5D01G033200;TraesCS7A01G337000;TraesCS7D01G397900;TraesCSU01G066200;TraesCS1B01G246400;TraesCS2A01G256900;TraesCS2B01G273900;TraesCS5B01G446100;TraesCS1B01G003400;TraesCS4D01G099200;TraesCS2D01G065400;TraesCS3D01G331000;TraesCS2B01G599800;TraesCS4A01G326700;TraesCS5B01G220900;TraesCS5B01G309300;TraesCS7B01G113300;TraesCS5B01G123200;TraesCS6B01G372900;TraesCS2D01G322300;TraesCS2D01G542200;TraesCS4A01G183500;TraesCS3D01G298600;TraesCS3A01G171500;TraesCS2D01G381800;TraesCS3A01G227000;TraesCS1B01G050600;TraesCS5D01G548700;TraesCS3B01G004200;TraesCS7D01G385700;TraesCS1D01G441900;TraesCS5A01G503600;TraesCS2D01G522600;TraesCS7B01G437000;TraesCS7D01G398900;TraesCS1D01G123400;TraesCS1B01G003300;TraesCS4B01G136700;TraesCS2D01G065500;TraesCS2D01G510500;TraesCS6B01G273200;TraesCS7B01G113200;TraesCS7D01G419200;TraesCS7D01G302000</t>
  </si>
  <si>
    <t>TraesCS1D01G366700</t>
  </si>
  <si>
    <t>vitamin binding</t>
  </si>
  <si>
    <t>TraesCS1D01G114800;TraesCS3A01G366300;TraesCS3B01G425300;TraesCS3D01G359200;TraesCS1A01G113400;TraesCS3A01G366400;TraesCS3D01G359300;TraesCS2D01G313500;TraesCS2B01G333700;TraesCS3B01G397900;TraesCS1B01G133500;TraesCS2A01G315300;TraesCS3D01G519600;TraesCS4D01G359400;TraesCS2A01G552200;TraesCS3B01G398000</t>
  </si>
  <si>
    <t>TraesCS1D01G370700</t>
  </si>
  <si>
    <t>TraesCS6A01G337600;TraesCS7D01G195900;TraesCS1A01G396200;TraesCS4A01G321800;TraesCS2A01G210100;TraesCS7B01G243200;TraesCS3B01G333100;TraesCS1D01G404300;TraesCS7A01G194300;TraesCS7A01G337000;TraesCS7B01G327000;TraesCS5A01G317400;TraesCS7D01G339800;TraesCS2B01G144900;TraesCS6A01G337300;TraesCS3D01G298600;TraesCS5D01G323700;TraesCS7D01G419200;TraesCS7A01G426700;TraesCS7B01G096600</t>
  </si>
  <si>
    <t>TraesCS1D01G402600</t>
  </si>
  <si>
    <t>carbohydrate biosynthetic process</t>
  </si>
  <si>
    <t>TraesCS2A01G210100;TraesCS5D01G319700;TraesCS7B01G243200;TraesCS7D01G549800;TraesCS3B01G333100;TraesCS5A01G165400;TraesCS2A01G067300;TraesCS4A01G038500;TraesCS4A01G078900;TraesCS5D01G169600;TraesCS7A01G337000;TraesCS7D01G339800;TraesCS1A01G266600;TraesCS2B01G144900;TraesCS3D01G298600;TraesCS7A01G560100;TraesCS5A01G165700;TraesCS2D01G065400;TraesCS7B01G010100;TraesCS2D01G065500;TraesCS1B01G277500;TraesCS4B01G267200;TraesCS2B01G079400;TraesCS5B01G162800</t>
  </si>
  <si>
    <t>inositol biosynthetic process</t>
  </si>
  <si>
    <t>TraesCS6D01G258300;TraesCS6A01G277800</t>
  </si>
  <si>
    <t>TraesCS3A01G245300;TraesCS7D01G339800;TraesCS2B01G144900</t>
  </si>
  <si>
    <t>TraesCS1D01G452000</t>
  </si>
  <si>
    <t>TraesCS2A01G002900</t>
  </si>
  <si>
    <t>TraesCS3D01G298600;TraesCS2A01G210100;TraesCS7B01G243200;TraesCS3B01G333100;TraesCS5D01G323700;TraesCS5A01G317400;TraesCS7D01G339800;TraesCS2B01G144900;TraesCS6A01G337300</t>
  </si>
  <si>
    <t>TraesCS4D01G091700;TraesCS4A01G216700;TraesCS5D01G383700;TraesCS7A01G199900</t>
  </si>
  <si>
    <t>TraesCS1B01G477900;TraesCS6A01G337600;TraesCS7A01G189300;TraesCS7D01G195900;TraesCS1A01G396200;TraesCS1A01G050400;TraesCS3A01G529100;TraesCS1D01G161500;TraesCS4B01G112100;TraesCS1B01G066900;TraesCS7B01G327000;TraesCS4B01G279000;TraesCS1A01G231500;TraesCS2A01G492300;TraesCS4A01G025100;TraesCS3B01G354300;TraesCS1D01G451500;TraesCS6A01G367300;TraesCS2A01G050400;TraesCS3B01G598100;TraesCS6A01G009000;TraesCS4A01G172100;TraesCS4A01G321800;TraesCS3D01G534400;TraesCS4A01G208500;TraesCS3D01G496100;TraesCS6B01G383700;TraesCS5D01G297100;TraesCS4D01G109600;TraesCS4D01G277500;TraesCS5D01G104300;TraesCS6A01G351000;TraesCS1D01G404300;TraesCS7A01G194300;TraesCS5B01G288600;TraesCS7A01G239800;TraesCS4A01G116700;TraesCS5A01G434700;TraesCS7B01G299700;TraesCS1B01G181300;TraesCS4D01G143100;TraesCS7D01G419200;TraesCS7A01G426700;TraesCS2B01G520500</t>
  </si>
  <si>
    <t>TraesCS6A01G184500;TraesCS2B01G024500</t>
  </si>
  <si>
    <t>galactosyltransferase activity</t>
  </si>
  <si>
    <t>TraesCS5A01G217000;TraesCS5B01G215800;TraesCS5B01G215900;TraesCS5A01G216900;TraesCS3D01G380700;TraesCS3B01G419800</t>
  </si>
  <si>
    <t>TraesCS2A01G015700</t>
  </si>
  <si>
    <t>TraesCS5B01G220000;TraesCS5A01G221200;TraesCS7B01G060700;TraesCS5D01G228900</t>
  </si>
  <si>
    <t>TraesCS2A01G015800</t>
  </si>
  <si>
    <t>intramolecular transferase activity</t>
  </si>
  <si>
    <t>TraesCS3D01G298600;TraesCS4A01G495100;TraesCS7D01G004000;TraesCS3B01G333100;TraesCS6D01G006500;TraesCS7A01G337000;TraesCS4D01G000600;TraesCS7A01G003500</t>
  </si>
  <si>
    <t>TraesCS2A01G015900</t>
  </si>
  <si>
    <t>TraesCS2A01G025700</t>
  </si>
  <si>
    <t>TraesCS4D01G073800;TraesCS1A01G335600;TraesCS2A01G440900;TraesCS3D01G540200;TraesCS1D01G337900;TraesCS3B01G612000;TraesCS2B01G460000;TraesCS2D01G437900;TraesCS3A01G534900</t>
  </si>
  <si>
    <t>TraesCS2A01G036600</t>
  </si>
  <si>
    <t>TraesCS4B01G215300;TraesCS5D01G002400;TraesCS7D01G380300</t>
  </si>
  <si>
    <t>TraesCS2A01G045600</t>
  </si>
  <si>
    <t>spermidine metabolic process</t>
  </si>
  <si>
    <t>TraesCS2A01G048900</t>
  </si>
  <si>
    <t>spermidine biosynthetic process</t>
  </si>
  <si>
    <t>sulfotransferase activity</t>
  </si>
  <si>
    <t>TraesCS6D01G035000;TraesCS7B01G326700;TraesCS2B01G068800;TraesCS7D01G040300;TraesCS7D01G040200;TraesCS6B01G404000;TraesCS3D01G464900</t>
  </si>
  <si>
    <t>detection of chemical stimulus</t>
  </si>
  <si>
    <t>TraesCS3D01G496100</t>
  </si>
  <si>
    <t>detection of endogenous stimulus</t>
  </si>
  <si>
    <t>detection of hormone stimulus</t>
  </si>
  <si>
    <t>detection of brassinosteroid stimulus</t>
  </si>
  <si>
    <t>male germ cell nucleus</t>
  </si>
  <si>
    <t>TraesCS5A01G240600</t>
  </si>
  <si>
    <t>TraesCS2A01G070000</t>
  </si>
  <si>
    <t>TraesCS3A01G360600;TraesCS3B01G392700;TraesCS3D01G354200;TraesCS3A01G360400;TraesCS3B01G393000</t>
  </si>
  <si>
    <t>TraesCS2A01G081300</t>
  </si>
  <si>
    <t>regulation of development, heterochronic</t>
  </si>
  <si>
    <t>TraesCS4D01G237400;TraesCS4A01G060600</t>
  </si>
  <si>
    <t>TraesCS2B01G007200;TraesCS5D01G329000;TraesCS2D01G016300;TraesCS7D01G111200</t>
  </si>
  <si>
    <t>oxidoreductase activity, acting on a sulfur group of donors, NAD(P) as acceptor</t>
  </si>
  <si>
    <t>TraesCS7A01G383800;TraesCS1D01G161500;TraesCS3A01G406500;TraesCS7B01G286600;TraesCS4A01G078900;TraesCS7D01G380300</t>
  </si>
  <si>
    <t>TraesCS2A01G199600</t>
  </si>
  <si>
    <t>cellular response to auxin stimulus</t>
  </si>
  <si>
    <t>TraesCS7A01G331100;TraesCS5B01G058800;TraesCS3D01G166700;TraesCS5B01G446100;TraesCS5A01G382600;TraesCS5D01G069200;TraesCS7D01G161900</t>
  </si>
  <si>
    <t>auxin-activated signaling pathway</t>
  </si>
  <si>
    <t>manganese ion binding</t>
  </si>
  <si>
    <t>TraesCS7B01G084000;TraesCS7A01G178300;TraesCS2B01G090300;TraesCS3D01G489700;TraesCS7D01G383300;TraesCS1D01G081700;TraesCS3D01G489800;TraesCS2D01G073700;TraesCS7D01G180200;TraesCS2A01G075000;TraesCS7B01G289600</t>
  </si>
  <si>
    <t>TraesCS2A01G212500</t>
  </si>
  <si>
    <t>TraesCS3A01G390100;TraesCS3B01G144700;TraesCS3D01G379600;TraesCS4D01G091700;TraesCSU01G108000;TraesCS4A01G216700;TraesCS5D01G383700;TraesCS7A01G199900;TraesCS6D01G330500</t>
  </si>
  <si>
    <t>TraesCS2A01G214500</t>
  </si>
  <si>
    <t>pollen exine formation</t>
  </si>
  <si>
    <t>TraesCS4B01G215300;TraesCS3D01G496100;TraesCS4A01G020500</t>
  </si>
  <si>
    <t>mitochondrial proton-transporting ATP synthase complex, catalytic core F(1)</t>
  </si>
  <si>
    <t>TraesCS5B01G015000;TraesCS5A01G017000</t>
  </si>
  <si>
    <t>chloride channel activity</t>
  </si>
  <si>
    <t>TraesCS3A01G390100;TraesCS3B01G144700;TraesCS3D01G379600</t>
  </si>
  <si>
    <t>voltage-gated chloride channel activity</t>
  </si>
  <si>
    <t>TraesCS7D01G190300;TraesCS5D01G558600;TraesCS5B01G566200</t>
  </si>
  <si>
    <t>pattern specification process</t>
  </si>
  <si>
    <t>TraesCS7A01G383800;TraesCS1D01G161500;TraesCS3A01G406500;TraesCS7B01G286600;TraesCS4A01G078900;TraesCS2A01G467900;TraesCS7D01G380300</t>
  </si>
  <si>
    <t>TraesCS2A01G263900</t>
  </si>
  <si>
    <t>methyltransferase activity</t>
  </si>
  <si>
    <t>TraesCS1D01G375500;TraesCS1D01G375600;TraesCS4D01G150500;TraesCS7B01G190700;TraesCS1D01G337900;TraesCS2D01G437900;TraesCS3D01G464300;TraesCS4A01G220000;TraesCS4D01G010700;TraesCS2B01G490900;TraesCS1A01G369600;TraesCS2A01G440900;TraesCS4B01G125500;TraesCS3B01G612000;TraesCS2B01G460000;TraesCS2A01G467900;TraesCS5B01G120300;TraesCS4D01G094600;TraesCS4D01G073800;TraesCS7A01G383700;TraesCS5D01G127100;TraesCS3D01G540200;TraesCS1B01G388700;TraesCS2A01G478800;TraesCS3A01G534900;TraesCS7B01G448900;TraesCS1A01G335600;TraesCS4A01G301600</t>
  </si>
  <si>
    <t>inositol metabolic process</t>
  </si>
  <si>
    <t>TraesCS2A01G269800</t>
  </si>
  <si>
    <t>ferrous iron binding</t>
  </si>
  <si>
    <t>TraesCS6B01G018700;TraesCS6D01G015100</t>
  </si>
  <si>
    <t>TraesCS2A01G274300</t>
  </si>
  <si>
    <t>TraesCS3D01G223300;TraesCS3A01G230000;TraesCS3B01G259300</t>
  </si>
  <si>
    <t>fructose 6-phosphate metabolic process</t>
  </si>
  <si>
    <t>TraesCS2A01G288800</t>
  </si>
  <si>
    <t>TraesCS2A01G299200</t>
  </si>
  <si>
    <t>TraesCS4A01G129900;TraesCS4D01G176600;TraesCS4A01G206400;TraesCS4D01G099200;TraesCS7B01G193600;TraesCS4A01G213400;TraesCS4B01G102400;TraesCS5D01G122700;TraesCS7D01G228500;TraesCS7A01G226000</t>
  </si>
  <si>
    <t>small molecule metabolic process</t>
  </si>
  <si>
    <t>TraesCS3B01G425300;TraesCS7A01G206000;TraesCS5D01G244700;TraesCS2B01G490900;TraesCS2A01G507700;TraesCS5D01G131500;TraesCS5B01G187900;TraesCS2A01G591600;TraesCS6D01G321600;TraesCS6D01G323500;TraesCS6D01G258300;TraesCS7D01G228500;TraesCS6A01G026800;TraesCS7A01G107500;TraesCS5A01G237000;TraesCS1D01G357000;TraesCS2B01G333700;TraesCS7A01G510800;TraesCS7B01G113100;TraesCS3D01G519600;TraesCS5A01G195500;TraesCS4A01G129900;TraesCS4A01G213400;TraesCS3B01G488500;TraesCS7D01G208600;TraesCS7A01G206100;TraesCS7B01G006100;TraesCS5A01G076500;TraesCS5B01G015000;TraesCS2B01G156800;TraesCS4B01G267200;TraesCS4B01G102400;TraesCS6A01G277800;TraesCS5D01G118500;TraesCS2A01G344000;TraesCS2B01G341500;TraesCS1A01G353200;TraesCS4A01G038500;TraesCS3B01G313800;TraesCS7B01G421700;TraesCS1A01G439000;TraesCS7B01G193600;TraesCS2D01G313500;TraesCS7B01G113000;TraesCS2A01G315300;TraesCS4D01G359400;TraesCS2B01G090400;TraesCS3A01G451100;TraesCS3D01G403500;TraesCS7D01G500200;TraesCS1B01G368600;TraesCS7B01G006200;TraesCS2D01G135300;TraesCS5D01G122700;TraesCS2B01G592100;TraesCS1D01G147800;TraesCS2A01G385100;TraesCS3D01G279300;TraesCS4D01G176600;TraesCS6A01G206600;TraesCS5A01G236800;TraesCS5A01G123600;TraesCS1B01G048000;TraesCS1A01G040900;TraesCS2D01G562600;TraesCS2B01G273900;TraesCS4D01G329200;TraesCS6A01G372100;TraesCS4D01G099200;TraesCS2D01G332500;TraesCS4A01G326700;TraesCS7B01G113300;TraesCS7D01G101900;TraesCS5B01G123200;TraesCS6B01G372900;TraesCS1B01G093600;TraesCS2B01G520500;TraesCS2D01G322300;TraesCS5D01G447800;TraesCS5D01G017000;TraesCS5A01G017000;TraesCS7B01G006300;TraesCS2A01G492300;TraesCS2D01G165300;TraesCS5B01G235900;TraesCS6A01G025200;TraesCS2D01G381800;TraesCS2A01G467900;TraesCS5D01G548700;TraesCS4A01G206400;TraesCS5A01G503600;TraesCS7A01G226000;TraesCS1D01G123400;TraesCS6B01G393400;TraesCS4A01G301600;TraesCS7B01G113200;TraesCS6A01G341400</t>
  </si>
  <si>
    <t>TraesCS2A01G315300</t>
  </si>
  <si>
    <t>TraesCS7D01G036600;TraesCS7A01G040900;TraesCS3B01G461800</t>
  </si>
  <si>
    <t>TraesCS4A01G025100;TraesCS4D01G277500;TraesCS4B01G279000</t>
  </si>
  <si>
    <t>TraesCS2A01G337000</t>
  </si>
  <si>
    <t>6-phosphofructokinase activity</t>
  </si>
  <si>
    <t>TraesCS1D01G020200;TraesCS1A01G020700</t>
  </si>
  <si>
    <t>purine nucleoside triphosphate metabolic process</t>
  </si>
  <si>
    <t>purine ribonucleoside triphosphate metabolic process</t>
  </si>
  <si>
    <t>zinc ion transmembrane transport</t>
  </si>
  <si>
    <t>TraesCS4A01G294300;TraesCS2D01G422000;TraesCS6B01G201300</t>
  </si>
  <si>
    <t>pyrimidine nucleoside triphosphate biosynthetic process</t>
  </si>
  <si>
    <t>pyrimidine ribonucleoside triphosphate metabolic process</t>
  </si>
  <si>
    <t>pyrimidine ribonucleoside triphosphate biosynthetic process</t>
  </si>
  <si>
    <t>CTP metabolic process</t>
  </si>
  <si>
    <t>CTP biosynthetic process</t>
  </si>
  <si>
    <t>purine ribonucleotide biosynthetic process</t>
  </si>
  <si>
    <t>TraesCS2A01G380500</t>
  </si>
  <si>
    <t>zinc ion transmembrane transporter activity</t>
  </si>
  <si>
    <t>TraesCS2A01G384600</t>
  </si>
  <si>
    <t>DNA N-glycosylase activity</t>
  </si>
  <si>
    <t>aldehyde dehydrogenase [NAD(P)+] activity</t>
  </si>
  <si>
    <t>TraesCS6D01G222000;TraesCS6A01G239600</t>
  </si>
  <si>
    <t>coenzyme binding</t>
  </si>
  <si>
    <t>TraesCS5A01G281600;TraesCS5B01G268100;TraesCS5D01G309100;TraesCS3B01G425300;TraesCS3D01G359200;TraesCS1A01G113400;TraesCS1D01G426600;TraesCS2B01G592100;TraesCS3D01G359300;TraesCS7B01G388200;TraesCS7A01G484600;TraesCS6A01G380800;TraesCS1D01G067500;TraesCS2A01G591600;TraesCS6A01G277800;TraesCS3B01G398000;TraesCS6D01G323500;TraesCS1D01G114800;TraesCS3A01G366300;TraesCS6D01G258300;TraesCS7B01G273900;TraesCS1B01G084700;TraesCS2D01G562600;TraesCS3A01G366400;TraesCS7B01G273800;TraesCS5A01G348100;TraesCS1D01G123400;TraesCS5A01G268300;TraesCS1A01G066400;TraesCS2D01G313500;TraesCS2B01G333700;TraesCS3B01G397900;TraesCS7D01G369000;TraesCS1B01G133500;TraesCS7A01G353800;TraesCS2A01G315300;TraesCS3A01G316500;TraesCS3D01G519600;TraesCS4D01G359400;TraesCS5D01G354300;TraesCS2A01G552200;TraesCS7D01G472000;TraesCS5B01G349200</t>
  </si>
  <si>
    <t>glutamate metabolic process</t>
  </si>
  <si>
    <t>TraesCS2A01G417000</t>
  </si>
  <si>
    <t>TraesCS2A01G429000</t>
  </si>
  <si>
    <t>stem vascular tissue pattern formation</t>
  </si>
  <si>
    <t>TraesCS2A01G429100</t>
  </si>
  <si>
    <t>flavone metabolic process</t>
  </si>
  <si>
    <t>TraesCS4A01G118400</t>
  </si>
  <si>
    <t>flavone biosynthetic process</t>
  </si>
  <si>
    <t>flavonol metabolic process</t>
  </si>
  <si>
    <t>flavonol biosynthetic process</t>
  </si>
  <si>
    <t>TraesCS2A01G456900</t>
  </si>
  <si>
    <t>transferase activity, transferring one-carbon groups</t>
  </si>
  <si>
    <t>TraesCS2A01G457000</t>
  </si>
  <si>
    <t>TraesCS2A01G565700;TraesCS7B01G289600;TraesCS3D01G527400;TraesCS6B01G172300;TraesCS7A01G404400;TraesCS2A01G551300;TraesCS5D01G244700;TraesCS2D01G035500;TraesCS4D01G215000;TraesCS7D01G028900;TraesCS3D01G223300;TraesCS7A01G257600;TraesCS3B01G568600;TraesCS4B01G232800;TraesCS1A01G290700;TraesCS2B01G284900;TraesCS2D01G002800;TraesCS2D01G266800;TraesCS7D01G442300;TraesCS1D01G372300;TraesCS3B01G336200;TraesCS7D01G276300;TraesCS2B01G035600;TraesCS7A01G520600;TraesCS5B01G427000;TraesCS1D01G116700;TraesCS5A01G056600;TraesCS2A01G015800;TraesCS3D01G505600;TraesCS6A01G081800;TraesCS7A01G510800;TraesCS3B01G286400;TraesCS5A01G233700;TraesCS4A01G316200;TraesCS2B01G090300;TraesCS3A01G180300;TraesCS5D01G141600;TraesCS7A01G133200;TraesCS6B01G340700;TraesCS7B01G084000;TraesCS6A01G351900;TraesCSU01G032500;TraesCS5B01G051400;TraesCS3B01G308500;TraesCS4B01G102400;TraesCS3A01G332200;TraesCS4A01G046800;TraesCS5B01G202800;TraesCS7D01G085900;TraesCS5D01G370600;TraesCS2D01G015000;TraesCS7A01G411700;TraesCS3B01G256400;TraesCS4B01G316700;TraesCS1B01G300000;TraesCS7B01G421700;TraesCS4B01G342000;TraesCS3D01G354200;TraesCS7A01G374800;TraesCS7B01G379500;TraesCS7D01G500200;TraesCS2B01G615700;TraesCS6B01G349500;TraesCS6B01G018700;TraesCS2B01G001100;TraesCS1B01G356500;TraesCS3D01G489800;TraesCS2B01G592100;TraesCS7D01G022600;TraesCS7D01G180200;TraesCS3D01G109300;TraesCS4D01G170600;TraesCS2B01G024500;TraesCS2B01G286600;TraesCS2A01G385100;TraesCS1A01G403800;TraesCS7D01G511500;TraesCS4D01G176600;TraesCS5A01G362400;TraesCS7D01G142100;TraesCS5B01G334000;TraesCS2A01G044900;TraesCS3A01G230000;TraesCS3B01G371800;TraesCS2A01G036600;TraesCS3A01G354200;TraesCS7D01G510300;TraesCS4B01G268900;TraesCS5A01G287700;TraesCS2B01G006900;TraesCS6A01G012600;TraesCS1A01G115300;TraesCS2D01G351100;TraesCS3A01G065700;TraesCS7A01G024600;TraesCS3D01G489700;TraesCS1A01G317900;TraesCS3B01G350200;TraesCS5B01G147200;TraesCS2D01G165300;TraesCS5B01G235900;TraesCS4A01G136600;TraesCSU01G012200;TraesCS3B01G359800;TraesCS3B01G392700;TraesCS1B01G384600;TraesCS4A01G445600;TraesCS2A01G478800;TraesCS2D01G375300;TraesCS7A01G522200;TraesCS6A01G081900;TraesCS6B01G393400;TraesCS6D01G267900;TraesCS3A01G316500;TraesCS5B01G014900;TraesCS3B01G393000;TraesCS2D01G347500;TraesCS3B01G362200;TraesCS1B01G177900;TraesCS4A01G076700;TraesCS3B01G259300;TraesCS2B01G078600;TraesCS5A01G139700;TraesCS6B01G203300;TraesCS2D01G439600;TraesCS5D01G131500;TraesCS2B01G057100;TraesCS2A01G591600;TraesCS2B01G005900;TraesCS2B01G412900;TraesCS2A01G002900;TraesCS2B01G582500;TraesCS3D01G364300;TraesCS3A01G360400;TraesCS5D01G368000;TraesCS5A01G030700;TraesCS5D01G006800;TraesCS4B01G214400;TraesCS4D01G005600;TraesCS4A01G089900;TraesCS1B01G407300;TraesCS4B01G344800;TraesCS2A01G015400;TraesCS5B01G364300;TraesCS1D01G366700;TraesCSU01G073000;TraesCS2A01G070000;TraesCS4A01G129900;TraesCS1D01G079800;TraesCS3A01G048000;TraesCS2A01G045600;TraesCS5A01G180000;TraesCS5A01G435500;TraesCS7B01G145200;TraesCS6B01G018800;TraesCS2B01G057800;TraesCS2A01G014900;TraesCS6D01G065100;TraesCS7D01G511600;TraesCS5B01G414400;TraesCS2A01G075000;TraesCS2D01G002500;TraesCS2B01G396000;TraesCS7A01G178300;TraesCS2D01G552300;TraesCS6D01G163800;TraesCS2A01G552200;TraesCS2A01G573400;TraesCS5B01G364200;TraesCS4B01G342400;TraesCS1B01G095800;TraesCS2B01G090400;TraesCS1D01G081700;TraesCS4D01G045400;TraesCS1B01G286300;TraesCS2B01G124900;TraesCS5B01G177900;TraesCS2A01G307600;TraesCS3A01G360600;TraesCS2B01G049400;TraesCS1D01G147800;TraesCS7D01G024500;TraesCS2D01G423500;TraesCS3B01G438700;TraesCS6A01G082000;TraesCS6A01G206600;TraesCS7A01G383400;TraesCS2D01G073700;TraesCS4A01G235800;TraesCS5A01G123600;TraesCS4A01G036100;TraesCS1A01G078100;TraesCS2D01G562600;TraesCS6D01G015100;TraesCS1B01G330400;TraesCS4D01G329200;TraesCS2A01G015600;TraesCS2A01G353000;TraesCSU01G134000;TraesCS3D01G077400;TraesCS4A01G326700;TraesCS5B01G123200;TraesCS3A01G077300;TraesCS1D01G411600;TraesCS1D01G289300;TraesCS2D01G016000;TraesCS4B01G009700;TraesCS2D01G043500;TraesCS7B01G310900;TraesCS4B01G005900;TraesCS3D01G325700;TraesCS4D01G257900;TraesCS7D01G429000;TraesCS2A01G255900;TraesCS4A01G415800;TraesCS4D01G268200;TraesCS6A01G287100;TraesCS1D01G317700;TraesCS2D01G381800;TraesCS4D01G338000;TraesCS7D01G383300;TraesCS5A01G503600;TraesCS6D01G187800;TraesCS7B01G437000;TraesCS1D01G123400;TraesCS1B01G135200;TraesCS2B01G006600;TraesCS4B01G258000;TraesCS7D01G095900;TraesCS3A01G281400;TraesCS2B01G186100;TraesCS6D01G343400;TraesCS3D01G314700</t>
  </si>
  <si>
    <t>TraesCS2A01G460800</t>
  </si>
  <si>
    <t>TraesCS1A01G115300;TraesCS1D01G116700</t>
  </si>
  <si>
    <t>proton-transporting ATPase activity, rotational mechanism</t>
  </si>
  <si>
    <t>TraesCS2B01G273900;TraesCS5B01G015000;TraesCS5A01G017000</t>
  </si>
  <si>
    <t>TraesCS2A01G467900</t>
  </si>
  <si>
    <t>divalent inorganic cation transmembrane transporter activity</t>
  </si>
  <si>
    <t>TraesCS2A01G478200</t>
  </si>
  <si>
    <t>chloride transport</t>
  </si>
  <si>
    <t>TraesCS2A01G478800</t>
  </si>
  <si>
    <t>purine nucleoside biosynthetic process</t>
  </si>
  <si>
    <t>purine ribonucleoside biosynthetic process</t>
  </si>
  <si>
    <t>TraesCS2A01G492300</t>
  </si>
  <si>
    <t>ATP biosynthetic process</t>
  </si>
  <si>
    <t>TraesCS4A01G129900;TraesCS4D01G176600;TraesCS7D01G500200;TraesCS4A01G206400;TraesCS5A01G017000;TraesCS5D01G122700;TraesCS7D01G228500;TraesCS7A01G226000;TraesCS2B01G273900;TraesCS7B01G421700;TraesCS7B01G193600;TraesCS6B01G393400;TraesCS5B01G015000;TraesCS7A01G510800</t>
  </si>
  <si>
    <t>ribonucleoside triphosphate metabolic process</t>
  </si>
  <si>
    <t>TraesCS2A01G503600</t>
  </si>
  <si>
    <t>polyamine metabolic process</t>
  </si>
  <si>
    <t>zinc ion transport</t>
  </si>
  <si>
    <t>TraesCS4A01G046800;TraesCS4B01G258000;TraesCS4D01G257900</t>
  </si>
  <si>
    <t>TraesCS1B01G368600;TraesCS1D01G357000;TraesCS2D01G332500;TraesCS4B01G267200;TraesCS1A01G353200;TraesCS4A01G038500</t>
  </si>
  <si>
    <t>TraesCS2A01G521800</t>
  </si>
  <si>
    <t>TraesCS2A01G524100</t>
  </si>
  <si>
    <t>TraesCS2A01G527700</t>
  </si>
  <si>
    <t>phosphofructokinase activity</t>
  </si>
  <si>
    <t>TraesCS2A01G552200</t>
  </si>
  <si>
    <t>response to auxin</t>
  </si>
  <si>
    <t>TraesCS7A01G331100;TraesCS5B01G058800;TraesCS7A01G273400;TraesCS7D01G273400;TraesCS7D01G273500;TraesCS2B01G437000;TraesCS2D01G415500;TraesCS5D01G069200;TraesCS7B01G171300;TraesCS7D01G350800;TraesCS3D01G166700;TraesCS5B01G446100;TraesCS5A01G345500;TraesCS5A01G382600;TraesCS7D01G161900</t>
  </si>
  <si>
    <t>TraesCS2A01G562000</t>
  </si>
  <si>
    <t>purine nucleotide biosynthetic process</t>
  </si>
  <si>
    <t>TraesCS2A01G563600</t>
  </si>
  <si>
    <t>TraesCS1B01G135200;TraesCS1A01G115300;TraesCS1D01G116700</t>
  </si>
  <si>
    <t>TraesCS2A01G564200</t>
  </si>
  <si>
    <t>nucleoside triphosphate metabolic process</t>
  </si>
  <si>
    <t>TraesCS4D01G129800;TraesCS7D01G195900;TraesCS2D01G116700;TraesCS6B01G133500;TraesCS6B01G213500;TraesCS7D01G099300;TraesCS1B01G433300;TraesCS7A01G206000;TraesCS1A01G266600;TraesCS3B01G461800;TraesCS3D01G225600;TraesCS7D01G211000;TraesCS4B01G135900;TraesCS6D01G264200;TraesCS5A01G165700;TraesCS2B01G490900;TraesCS4D01G215000;TraesCS5A01G217000;TraesCS7A01G211600;TraesCS1A01G369600;TraesCS3B01G354300;TraesCS5B01G187900;TraesCS1B01G203200;TraesCS5D01G489500;TraesCS3B01G398000;TraesCS6D01G172100;TraesCS6D01G323500;TraesCS6B01G006500;TraesCS2D01G562400;TraesCS7B01G263100;TraesCS7A01G520600;TraesCS5D01G444700;TraesCS5B01G024600;TraesCS3D01G440200;TraesCS7A01G107500;TraesCS7B01G010100;TraesCS1D01G357000;TraesCS7A01G510800;TraesCS7B01G113100;TraesCS2B01G427200;TraesCS5B01G331300;TraesCS2A01G429100;TraesCS4A01G213400;TraesCS2A01G584800;TraesCS3D01G359200;TraesCS7A01G206100;TraesCS6B01G118000;TraesCS2B01G156800;TraesCS4B01G267200;TraesCS6D01G228000;TraesCS4D01G335600;TraesCS3A01G208600;TraesCS4A01G321800;TraesCS4D01G130700;TraesCS7D01G549800;TraesCS1D01G404300;TraesCS5D01G169600;TraesCS1A01G301800;TraesCS4B01G396500;TraesCS3B01G483500;TraesCS1B01G311800;TraesCS7B01G113000;TraesCS2A01G315300;TraesCS5A01G382600;TraesCS5A01G281600;TraesCS1D01G375600;TraesCS7D01G500200;TraesCS1B01G368600;TraesCS3B01G169300;TraesCS5D01G319700;TraesCS6B01G349500;TraesCS4A01G316500;TraesCS4D01G150200;TraesCS5D01G122700;TraesCS2A01G456900;TraesCS2A01G521000;TraesCS3D01G359300;TraesCS3B01G562700;TraesCS7B01G118600;TraesCS2A01G385100;TraesCS3D01G369100;TraesCS1A01G403800;TraesCS4A01G136500;TraesCS5B01G162800;TraesCS3B01G529700;TraesCS4D01G176600;TraesCS3A01G366300;TraesCS1D01G301400;TraesCS6D01G206100;TraesCS7A01G383800;TraesCS5A01G165400;TraesCS7D01G510300;TraesCS2D01G332500;TraesCS7B01G153600;TraesCS7D01G101900;TraesCS1B01G093600;TraesCS2B01G520500;TraesCS1D01G375500;TraesCS5B01G058800;TraesCS5D01G447800;TraesCS5D01G017000;TraesCS1A01G115300;TraesCS4A01G078900;TraesCS5A01G187400;TraesCS7B01G459300;TraesCS2B01G591900;TraesCS6B01G312000;TraesCS5B01G235900;TraesCS2D01G297100;TraesCS5D01G194800;TraesCS6B01G368000;TraesCS2A01G467900;TraesCS6D01G002200;TraesCS7A01G404700;TraesCS7A01G381400;TraesCS4B01G117000;TraesCS3D01G496100;TraesCS1D01G129100;TraesCS1B01G193000;TraesCS2A01G478800;TraesCS3A01G366400;TraesCS2B01G144900;TraesCS4A01G182700;TraesCS1D01G389900;TraesCS6A01G161600;TraesCS6A01G341400;TraesCS4A01G020500;TraesCS7B01G291400;TraesCS3D01G478300;TraesCS2D01G582400;TraesCS3B01G104300;TraesCS7B01G327000;TraesCS3D01G166700;TraesCS5D01G131500;TraesCS6D01G287600;TraesCS3A01G397700;TraesCS6D01G321600;TraesCS5B01G539900;TraesCS7A01G331100;TraesCS3B01G256700;TraesCS3B01G579200;TraesCS7D01G228500;TraesCS7B01G448900;TraesCS2A01G384600;TraesCS5A01G237000;TraesCS4D01G001000;TraesCS3D01G245500;TraesCS4A01G089900;TraesCS1B01G407300;TraesCSU01G021800;TraesCS3D01G331600;TraesCS3B01G333100;TraesCS7B01G304100;TraesCS4A01G485900;TraesCS4B01G242300;TraesCS5D01G216400;TraesCS5A01G076500;TraesCS5A01G435500;TraesCS2D01G278500;TraesCS2D01G546200;TraesCS6D01G008900;TraesCS5B01G319700;TraesCS3A01G038200;TraesCS3A01G447500;TraesCS7A01G251200;TraesCS3A01G351000;TraesCS6A01G277800;TraesCS6A01G367300;TraesCS5A01G316000;TraesCS3D01G041700;TraesCS4A01G484800;TraesCS3A01G490100;TraesCS3D01G117300;TraesCS1D01G127400;TraesCS1B01G277500;TraesCS3B01G045600;TraesCS4A01G064600;TraesCS7B01G241900;TraesCS7D01G363100;TraesCS1D01G175400;TraesCS1D01G234700;TraesCS7A01G359700;TraesCS2B01G090400;TraesCS4A01G469600;TraesCS5A01G047000;TraesCS6D01G318100;TraesCS4A01G398600;TraesCS4A01G111600;TraesCS1A01G126100;TraesCS4D01G241900;TraesCS3D01G279300;TraesCS4A01G321700;TraesCS6A01G206600;TraesCS2A01G210100;TraesCS5A01G123600;TraesCS4B01G218000;TraesCS5A01G240600;TraesCS3A01G060200;TraesCS1A01G040900;TraesCS2D01G562600;TraesCS5D01G398300;TraesCS4D01G329200;TraesCS4D01G107000;TraesCS3B01G397900;TraesCS6D01G093000;TraesCS7B01G096600;TraesCS1D01G266300;TraesCS1D01G411600;TraesCS4A01G469500;TraesCS6B01G328300;TraesCS7B01G291300;TraesCS2A01G337000;TraesCS2A01G414800;TraesCS4D01G085600;TraesCS3A01G330500;TraesCS1A01G237900;TraesCS1A01G382200;TraesCS4B01G286000;TraesCS7D01G161900;TraesCS6A01G166100;TraesCS3B01G550900;TraesCS7D01G111200;TraesCS1B01G382700;TraesCS7A01G226000;TraesCS1B01G135200;TraesCS7D01G346700;TraesCS5A01G071000;TraesCS5B01G215900;TraesCS4B01G143900;TraesCS3D01G346700;TraesCS7D01G462600;TraesCS5A01G317400;TraesCS3D01G527400;TraesCS6A01G245600;TraesCS3B01G369000;TraesCS5D01G244700;TraesCS2A01G507700;TraesCS7A01G389600;TraesCS2D01G016300;TraesCS4B01G135100;TraesCS4A01G172100;TraesCS7D01G010000;TraesCS7D01G276300;TraesCS2B01G297300;TraesCS5B01G076600;TraesCS6D01G258300;TraesCS7B01G250700;TraesCS5A01G263700;TraesCS1D01G116700;TraesCS1B01G003200;TraesCS1A01G339400;TraesCS7B01G169700;TraesCS1A01G203700;TraesCS5B01G215800;TraesCS2B01G333700;TraesCS3B01G119300;TraesCS7A01G489300;TraesCS3B01G488500;TraesCS7D01G208600;TraesCS5B01G394000;TraesCS1A01G124700;TraesCS2A01G299200;TraesCS4B01G071600;TraesCS6D01G350300;TraesCS5B01G015000;TraesCS6A01G351900;TraesCS6B01G278800;TraesCS7A01G389500;TraesCS4B01G102400;TraesCS7A01G272400;TraesCS5B01G294700;TraesCS4A01G445000;TraesCS4B01G060600;TraesCS7D01G085900;TraesCS7A01G113600;TraesCS4A01G038500;TraesCS3D01G380700;TraesCS1D01G370700;TraesCS7B01G421700;TraesCS1A01G439000;TraesCS7B01G193600;TraesCS5D01G323700;TraesCS2B01G079400;TraesCS6A01G104300;TraesCS5D01G566700;TraesCS5D01G302900;TraesCS3B01G385400;TraesCS3A01G451100;TraesCS3D01G323900;TraesCS3D01G403500;TraesCS7D01G399000;TraesCS7B01G006200;TraesCS3D01G225000;TraesCS5D01G401500;TraesCS2B01G592100;TraesCS5D01G322200;TraesCS2A01G230100;TraesCS2B01G007200;TraesCS2B01G024500;TraesCS3B01G598100;TraesCS7D01G251100;TraesCS7A01G194300;TraesCS1B01G048000;TraesCS2A01G279600;TraesCS7A01G405000;TraesCS3A01G352700;TraesCS6A01G337600;TraesCS1A01G396200;TraesCS2D01G433800;TraesCS4A01G173100;TraesCS5D01G336700;TraesCS3A01G065700;TraesCS5A01G017000;TraesCS7B01G006300;TraesCS1D01G002900;TraesCS3D01G151500;TraesCS5D01G069200;TraesCS5B01G006600;TraesCS3B01G530000;TraesCS2A01G492300;TraesCS2D01G165300;TraesCS6A01G025200;TraesCS3A01G135500;TraesCS4D01G170700;TraesCS3B01G419800;TraesCS4B01G192200;TraesCS7A01G010200;TraesCS7D01G358400;TraesCS4A01G206400;TraesCS4A01G426300;TraesCS2A01G067300;TraesCS5B01G227600;TraesCS6A01G283700;TraesCS5A01G138700;TraesCS6B01G393400;TraesCS7B01G283300;TraesCS5A01G216900;TraesCS4A01G301600;TraesCS4D01G114700;TraesCS7A01G426700;TraesCS7D01G380300;TraesCS2A01G408900;TraesCS7B01G243200;TraesCS2A01G215300;TraesCS5D01G552900;TraesCS3B01G425300;TraesCS2A01G507300;TraesCS4A01G253600;TraesCS3B01G551200;TraesCS3D01G008400;TraesCS6A01G337300;TraesCS3D01G275700;TraesCS6A01G002700;TraesCS2D01G439600;TraesCS1A01G034600;TraesCS7B01G286600;TraesCS2A01G591600;TraesCS1B01G388700;TraesCS2B01G251700;TraesCS7D01G339800;TraesCS7B01G473200;TraesCS5A01G330900;TraesCS6A01G026800;TraesCS7A01G560100;TraesCS2B01G434000;TraesCS5A01G195500;TraesCS4A01G129900;TraesCS2B01G344900;TraesCS7B01G006100;TraesCS2D01G265900;TraesCS6D01G002800;TraesCS7A01G404900;TraesCS7D01G385500;TraesCS2A01G344000;TraesCS2B01G341500;TraesCS7B01G139900;TraesCS3D01G345100;TraesCS1A01G353200;TraesCS3B01G313800;TraesCS4A01G116700;TraesCS2D01G313500;TraesCS6D01G206000;TraesCS4D01G359400;TraesCS2B01G285700;TraesCS1A01G276600;TraesCS7A01G489400;TraesCS7D01G036600;TraesCS6D01G360200;TraesCS7A01G040900;TraesCS1D01G440900;TraesCS3A01G239200;TraesCS2B01G550300;TraesCS2D01G135300;TraesCS1D01G147800;TraesCS5B01G556600;TraesCS1A01G365200;TraesCS2A01G591900;TraesCS2D01G325900;TraesCS5A01G236800;TraesCS2D01G522700;TraesCS5D01G033200;TraesCS7A01G337000;TraesCS7D01G397900;TraesCSU01G066200;TraesCS1B01G246400;TraesCS2A01G256900;TraesCS2B01G273900;TraesCS5B01G446100;TraesCS1B01G003400;TraesCS4D01G099200;TraesCS2D01G065400;TraesCS3D01G331000;TraesCS2B01G599800;TraesCS4A01G326700;TraesCS5B01G220900;TraesCS5B01G309300;TraesCS7B01G113300;TraesCS5B01G123200;TraesCS6B01G372900;TraesCS2D01G322300;TraesCS2D01G542200;TraesCS4A01G183500;TraesCS3D01G298600;TraesCS3A01G171500;TraesCS2D01G381800;TraesCS3A01G227000;TraesCS1B01G050600;TraesCS5D01G548700;TraesCS3B01G004200;TraesCS7D01G385700;TraesCS1D01G441900;TraesCS5A01G503600;TraesCS2D01G522600;TraesCS7B01G437000;TraesCS7D01G398900;TraesCS1B01G003300;TraesCS4B01G136700;TraesCS2D01G065500;TraesCS2D01G510500;TraesCS6B01G273200;TraesCS7B01G113200;TraesCS7D01G419200;TraesCS7D01G302000</t>
  </si>
  <si>
    <t>TraesCS2A01G573400</t>
  </si>
  <si>
    <t>TraesCS2A01G574700</t>
  </si>
  <si>
    <t>TraesCS2B01G013000</t>
  </si>
  <si>
    <t>TraesCS2B01G018500</t>
  </si>
  <si>
    <t>TraesCS2B01G028000</t>
  </si>
  <si>
    <t>TraesCS2B01G028500</t>
  </si>
  <si>
    <t>TraesCS2B01G037400</t>
  </si>
  <si>
    <t>TraesCS2B01G038700</t>
  </si>
  <si>
    <t>TraesCS2B01G057100</t>
  </si>
  <si>
    <t>TraesCS2B01G068800</t>
  </si>
  <si>
    <t>TraesCS2B01G069800</t>
  </si>
  <si>
    <t>TraesCS2B01G078600</t>
  </si>
  <si>
    <t>TraesCS2B01G090400</t>
  </si>
  <si>
    <t>TraesCS2B01G133800</t>
  </si>
  <si>
    <t>TraesCS2B01G151700</t>
  </si>
  <si>
    <t>TraesCS2B01G205600</t>
  </si>
  <si>
    <t>TraesCS2B01G232800</t>
  </si>
  <si>
    <t>TraesCS2B01G273900</t>
  </si>
  <si>
    <t>TraesCS2B01G278300</t>
  </si>
  <si>
    <t>TraesCS2B01G286600</t>
  </si>
  <si>
    <t>TraesCS2B01G288400</t>
  </si>
  <si>
    <t>TraesCS2B01G305600</t>
  </si>
  <si>
    <t>TraesCS2B01G333700</t>
  </si>
  <si>
    <t>TraesCS2B01G336800</t>
  </si>
  <si>
    <t>TraesCS2B01G344900</t>
  </si>
  <si>
    <t>TraesCS2B01G389100</t>
  </si>
  <si>
    <t>TraesCS2B01G390300</t>
  </si>
  <si>
    <t>TraesCS2B01G400400</t>
  </si>
  <si>
    <t>TraesCS2B01G410000</t>
  </si>
  <si>
    <t>TraesCS2B01G412100</t>
  </si>
  <si>
    <t>TraesCS2B01G412900</t>
  </si>
  <si>
    <t>TraesCS2B01G414600</t>
  </si>
  <si>
    <t>TraesCS2B01G454100</t>
  </si>
  <si>
    <t>TraesCS2B01G460000</t>
  </si>
  <si>
    <t>TraesCS2B01G463400</t>
  </si>
  <si>
    <t>TraesCS2B01G482600</t>
  </si>
  <si>
    <t>TraesCS2B01G490900</t>
  </si>
  <si>
    <t>TraesCS2B01G496700</t>
  </si>
  <si>
    <t>TraesCS2B01G496900</t>
  </si>
  <si>
    <t>TraesCS2B01G515700</t>
  </si>
  <si>
    <t>TraesCS2B01G520500</t>
  </si>
  <si>
    <t>TraesCS2B01G553800</t>
  </si>
  <si>
    <t>TraesCS2B01G553900</t>
  </si>
  <si>
    <t>TraesCS2B01G558400</t>
  </si>
  <si>
    <t>TraesCS2B01G608200</t>
  </si>
  <si>
    <t>TraesCS2D01G015800</t>
  </si>
  <si>
    <t>TraesCS2D01G016100</t>
  </si>
  <si>
    <t>TraesCS2D01G018400</t>
  </si>
  <si>
    <t>TraesCS2D01G027900</t>
  </si>
  <si>
    <t>TraesCS2D01G028100</t>
  </si>
  <si>
    <t>TraesCS2D01G047800</t>
  </si>
  <si>
    <t>TraesCS2D01G079100</t>
  </si>
  <si>
    <t>TraesCS2D01G100300</t>
  </si>
  <si>
    <t>TraesCS2D01G165300</t>
  </si>
  <si>
    <t>TraesCS2D01G181200</t>
  </si>
  <si>
    <t>TraesCS2D01G187300</t>
  </si>
  <si>
    <t>TraesCS2D01G204200</t>
  </si>
  <si>
    <t>TraesCS2D01G257700</t>
  </si>
  <si>
    <t>TraesCS2D01G268200</t>
  </si>
  <si>
    <t>TraesCS2D01G297100</t>
  </si>
  <si>
    <t>TraesCS2D01G300000</t>
  </si>
  <si>
    <t>TraesCS2D01G313500</t>
  </si>
  <si>
    <t>TraesCS2D01G325900</t>
  </si>
  <si>
    <t>TraesCS2D01G332500</t>
  </si>
  <si>
    <t>TraesCS2D01G338300</t>
  </si>
  <si>
    <t>TraesCS2D01G347500</t>
  </si>
  <si>
    <t>TraesCS2D01G369400</t>
  </si>
  <si>
    <t>TraesCS2D01G372800</t>
  </si>
  <si>
    <t>TraesCS2D01G396800</t>
  </si>
  <si>
    <t>TraesCS2D01G439600</t>
  </si>
  <si>
    <t>TraesCS2D01G443600</t>
  </si>
  <si>
    <t>TraesCS2D01G455200</t>
  </si>
  <si>
    <t>TraesCS2D01G461100</t>
  </si>
  <si>
    <t>TraesCS2D01G473500</t>
  </si>
  <si>
    <t>TraesCS2D01G507200</t>
  </si>
  <si>
    <t>TraesCS2D01G510500</t>
  </si>
  <si>
    <t>TraesCS2D01G515700</t>
  </si>
  <si>
    <t>TraesCS2D01G522600</t>
  </si>
  <si>
    <t>TraesCS2D01G522700</t>
  </si>
  <si>
    <t>TraesCS2D01G530600</t>
  </si>
  <si>
    <t>TraesCS2D01G574600</t>
  </si>
  <si>
    <t>TraesCS3A01G007400</t>
  </si>
  <si>
    <t>TraesCS3A01G019600</t>
  </si>
  <si>
    <t>TraesCS3A01G028200</t>
  </si>
  <si>
    <t>TraesCS3A01G048000</t>
  </si>
  <si>
    <t>TraesCS3A01G060200</t>
  </si>
  <si>
    <t>TraesCS3A01G077300</t>
  </si>
  <si>
    <t>TraesCS3A01G162200</t>
  </si>
  <si>
    <t>TraesCS3A01G171500</t>
  </si>
  <si>
    <t>TraesCS3A01G176000</t>
  </si>
  <si>
    <t>TraesCS3A01G180300</t>
  </si>
  <si>
    <t>TraesCS3A01G235900</t>
  </si>
  <si>
    <t>TraesCS3A01G254500</t>
  </si>
  <si>
    <t>TraesCS3A01G257700</t>
  </si>
  <si>
    <t>TraesCS3A01G332200</t>
  </si>
  <si>
    <t>TraesCS3A01G352700</t>
  </si>
  <si>
    <t>TraesCS3A01G354200</t>
  </si>
  <si>
    <t>TraesCS3A01G360600</t>
  </si>
  <si>
    <t>TraesCS3A01G385700</t>
  </si>
  <si>
    <t>TraesCS3A01G388200</t>
  </si>
  <si>
    <t>TraesCS3A01G390100</t>
  </si>
  <si>
    <t>TraesCS3A01G392000</t>
  </si>
  <si>
    <t>TraesCS3A01G393500</t>
  </si>
  <si>
    <t>TraesCS3A01G397700</t>
  </si>
  <si>
    <t>TraesCS3A01G428200</t>
  </si>
  <si>
    <t>TraesCS3A01G429700</t>
  </si>
  <si>
    <t>TraesCS3A01G451100</t>
  </si>
  <si>
    <t>TraesCS3A01G453000</t>
  </si>
  <si>
    <t>TraesCS3A01G456100</t>
  </si>
  <si>
    <t>TraesCS3A01G472200</t>
  </si>
  <si>
    <t>TraesCS3A01G529100</t>
  </si>
  <si>
    <t>TraesCS3A01G534900</t>
  </si>
  <si>
    <t>TraesCS3B01G016200</t>
  </si>
  <si>
    <t>TraesCS3B01G023800</t>
  </si>
  <si>
    <t>TraesCS3B01G026700</t>
  </si>
  <si>
    <t>TraesCS3B01G045600</t>
  </si>
  <si>
    <t>TraesCS3B01G049900</t>
  </si>
  <si>
    <t>TraesCS3B01G079900</t>
  </si>
  <si>
    <t>TraesCS3B01G098200</t>
  </si>
  <si>
    <t>TraesCS3B01G104300</t>
  </si>
  <si>
    <t>TraesCS3B01G111700</t>
  </si>
  <si>
    <t>TraesCS3B01G118400</t>
  </si>
  <si>
    <t>TraesCS3B01G163700</t>
  </si>
  <si>
    <t>TraesCS3B01G172900</t>
  </si>
  <si>
    <t>TraesCS3B01G193300</t>
  </si>
  <si>
    <t>TraesCS3B01G243800</t>
  </si>
  <si>
    <t>TraesCS3B01G256400</t>
  </si>
  <si>
    <t>TraesCS3B01G257000</t>
  </si>
  <si>
    <t>TraesCS3B01G272600</t>
  </si>
  <si>
    <t>TraesCS3B01G286400</t>
  </si>
  <si>
    <t>TraesCS3B01G333100</t>
  </si>
  <si>
    <t>TraesCS3B01G333400</t>
  </si>
  <si>
    <t>TraesCS3B01G347200</t>
  </si>
  <si>
    <t>TraesCS3B01G369000</t>
  </si>
  <si>
    <t>TraesCS3B01G385400</t>
  </si>
  <si>
    <t>TraesCS3B01G393000</t>
  </si>
  <si>
    <t>TraesCS3B01G397900</t>
  </si>
  <si>
    <t>TraesCS3B01G398000</t>
  </si>
  <si>
    <t>TraesCS3B01G409600</t>
  </si>
  <si>
    <t>TraesCS3B01G414900</t>
  </si>
  <si>
    <t>TraesCS3B01G420500</t>
  </si>
  <si>
    <t>TraesCS3B01G425300</t>
  </si>
  <si>
    <t>TraesCS3B01G449100</t>
  </si>
  <si>
    <t>TraesCS3B01G465400</t>
  </si>
  <si>
    <t>TraesCS3B01G488500</t>
  </si>
  <si>
    <t>TraesCS3B01G529700</t>
  </si>
  <si>
    <t>TraesCS3B01G530000</t>
  </si>
  <si>
    <t>TraesCS3B01G539400</t>
  </si>
  <si>
    <t>TraesCS3B01G550900</t>
  </si>
  <si>
    <t>TraesCS3B01G551200</t>
  </si>
  <si>
    <t>TraesCS3B01G579200</t>
  </si>
  <si>
    <t>TraesCS3B01G604800</t>
  </si>
  <si>
    <t>TraesCS3B01G612000</t>
  </si>
  <si>
    <t>TraesCS3D01G022500</t>
  </si>
  <si>
    <t>TraesCS3D01G027300</t>
  </si>
  <si>
    <t>TraesCS3D01G066600</t>
  </si>
  <si>
    <t>TraesCS3D01G066700</t>
  </si>
  <si>
    <t>TraesCS3D01G077400</t>
  </si>
  <si>
    <t>TraesCS3D01G081200</t>
  </si>
  <si>
    <t>TraesCS3D01G183400</t>
  </si>
  <si>
    <t>TraesCS3D01G215700</t>
  </si>
  <si>
    <t>TraesCS3D01G225600</t>
  </si>
  <si>
    <t>TraesCS3D01G245500</t>
  </si>
  <si>
    <t>TraesCS3D01G257700</t>
  </si>
  <si>
    <t>TraesCS3D01G264600</t>
  </si>
  <si>
    <t>TraesCS3D01G294100</t>
  </si>
  <si>
    <t>TraesCS3D01G295500</t>
  </si>
  <si>
    <t>TraesCS3D01G314000</t>
  </si>
  <si>
    <t>TraesCS3D01G331000</t>
  </si>
  <si>
    <t>TraesCS3D01G333200</t>
  </si>
  <si>
    <t>TraesCS3D01G345100</t>
  </si>
  <si>
    <t>TraesCS3D01G346700</t>
  </si>
  <si>
    <t>TraesCS3D01G364300</t>
  </si>
  <si>
    <t>TraesCS3D01G369100</t>
  </si>
  <si>
    <t>TraesCS3D01G378800</t>
  </si>
  <si>
    <t>TraesCS3D01G379600</t>
  </si>
  <si>
    <t>TraesCS3D01G381300</t>
  </si>
  <si>
    <t>TraesCS3D01G408800</t>
  </si>
  <si>
    <t>TraesCS3D01G423600</t>
  </si>
  <si>
    <t>TraesCS3D01G464300</t>
  </si>
  <si>
    <t>TraesCS3D01G478300</t>
  </si>
  <si>
    <t>TraesCS3D01G486700</t>
  </si>
  <si>
    <t>TraesCS3D01G517300</t>
  </si>
  <si>
    <t>TraesCS3D01G534400</t>
  </si>
  <si>
    <t>TraesCS3D01G540800</t>
  </si>
  <si>
    <t>TraesCS3D01G545700</t>
  </si>
  <si>
    <t>TraesCS4A01G031200</t>
  </si>
  <si>
    <t>TraesCS4A01G038500</t>
  </si>
  <si>
    <t>TraesCS4A01G050900</t>
  </si>
  <si>
    <t>TraesCS4A01G058700</t>
  </si>
  <si>
    <t>TraesCS4A01G089900</t>
  </si>
  <si>
    <t>TraesCS4A01G111600</t>
  </si>
  <si>
    <t>TraesCS4A01G133100</t>
  </si>
  <si>
    <t>TraesCS4A01G171900</t>
  </si>
  <si>
    <t>TraesCS4A01G172100</t>
  </si>
  <si>
    <t>TraesCS4A01G206400</t>
  </si>
  <si>
    <t>TraesCS4A01G220000</t>
  </si>
  <si>
    <t>TraesCS4A01G239000</t>
  </si>
  <si>
    <t>TraesCS4A01G253600</t>
  </si>
  <si>
    <t>TraesCS4A01G311900</t>
  </si>
  <si>
    <t>TraesCS4A01G312000</t>
  </si>
  <si>
    <t>TraesCS4A01G316100</t>
  </si>
  <si>
    <t>TraesCS4A01G316200</t>
  </si>
  <si>
    <t>TraesCS4A01G316500</t>
  </si>
  <si>
    <t>TraesCS4A01G326700</t>
  </si>
  <si>
    <t>TraesCS4A01G333500</t>
  </si>
  <si>
    <t>TraesCS4A01G415800</t>
  </si>
  <si>
    <t>TraesCS4A01G426300</t>
  </si>
  <si>
    <t>TraesCS4A01G426700</t>
  </si>
  <si>
    <t>TraesCS4A01G445600</t>
  </si>
  <si>
    <t>TraesCS4A01G447300</t>
  </si>
  <si>
    <t>TraesCS4A01G469500</t>
  </si>
  <si>
    <t>TraesCS4A01G469600</t>
  </si>
  <si>
    <t>TraesCS4A01G485900</t>
  </si>
  <si>
    <t>TraesCS4A01G495100</t>
  </si>
  <si>
    <t>TraesCS4B01G005900</t>
  </si>
  <si>
    <t>TraesCS4B01G060600</t>
  </si>
  <si>
    <t>TraesCS4B01G063800</t>
  </si>
  <si>
    <t>TraesCS4B01G076000</t>
  </si>
  <si>
    <t>TraesCS4B01G107000</t>
  </si>
  <si>
    <t>TraesCS4B01G108200</t>
  </si>
  <si>
    <t>TraesCS4B01G121600</t>
  </si>
  <si>
    <t>TraesCS4B01G136700</t>
  </si>
  <si>
    <t>TraesCS4B01G194100</t>
  </si>
  <si>
    <t>TraesCS4B01G214400</t>
  </si>
  <si>
    <t>TraesCS4B01G217100</t>
  </si>
  <si>
    <t>TraesCS4B01G242000</t>
  </si>
  <si>
    <t>TraesCS4B01G242300</t>
  </si>
  <si>
    <t>TraesCS4B01G251000</t>
  </si>
  <si>
    <t>TraesCS4B01G286000</t>
  </si>
  <si>
    <t>TraesCS4B01G312100</t>
  </si>
  <si>
    <t>TraesCS4B01G316700</t>
  </si>
  <si>
    <t>TraesCS4B01G342000</t>
  </si>
  <si>
    <t>TraesCS4B01G344800</t>
  </si>
  <si>
    <t>TraesCS4B01G362100</t>
  </si>
  <si>
    <t>TraesCS4B01G362200</t>
  </si>
  <si>
    <t>TraesCS4B01G362600</t>
  </si>
  <si>
    <t>TraesCS4B01G363700</t>
  </si>
  <si>
    <t>TraesCS4B01G364900</t>
  </si>
  <si>
    <t>TraesCS4B01G385400</t>
  </si>
  <si>
    <t>TraesCS4B01G385500</t>
  </si>
  <si>
    <t>TraesCS4B01G396500</t>
  </si>
  <si>
    <t>TraesCS4D01G005600</t>
  </si>
  <si>
    <t>TraesCS4D01G010700</t>
  </si>
  <si>
    <t>TraesCS4D01G026000</t>
  </si>
  <si>
    <t>TraesCS4D01G045400</t>
  </si>
  <si>
    <t>TraesCS4D01G073800</t>
  </si>
  <si>
    <t>TraesCS4D01G078600</t>
  </si>
  <si>
    <t>TraesCS4D01G103900</t>
  </si>
  <si>
    <t>TraesCS4D01G107000</t>
  </si>
  <si>
    <t>TraesCS4D01G143100</t>
  </si>
  <si>
    <t>TraesCS4D01G237400</t>
  </si>
  <si>
    <t>TraesCS4D01G241900</t>
  </si>
  <si>
    <t>TraesCS4D01G250900</t>
  </si>
  <si>
    <t>TraesCS4D01G311900</t>
  </si>
  <si>
    <t>TraesCS4D01G327800</t>
  </si>
  <si>
    <t>TraesCS4D01G335600</t>
  </si>
  <si>
    <t>TraesCS4D01G355500</t>
  </si>
  <si>
    <t>TraesCS4D01G365800</t>
  </si>
  <si>
    <t>TraesCS5A01G000800</t>
  </si>
  <si>
    <t>TraesCS5A01G012700</t>
  </si>
  <si>
    <t>TraesCS5A01G017000</t>
  </si>
  <si>
    <t>TraesCS5A01G030700</t>
  </si>
  <si>
    <t>TraesCS5A01G047000</t>
  </si>
  <si>
    <t>TraesCS5A01G071000</t>
  </si>
  <si>
    <t>TraesCS5A01G094500</t>
  </si>
  <si>
    <t>TraesCS5A01G115800</t>
  </si>
  <si>
    <t>TraesCS5A01G121200</t>
  </si>
  <si>
    <t>TraesCS5A01G164000</t>
  </si>
  <si>
    <t>TraesCS5A01G165400</t>
  </si>
  <si>
    <t>TraesCS5A01G165700</t>
  </si>
  <si>
    <t>TraesCS5A01G179700</t>
  </si>
  <si>
    <t>TraesCS5A01G187400</t>
  </si>
  <si>
    <t>TraesCS5A01G216900</t>
  </si>
  <si>
    <t>TraesCS5A01G217000</t>
  </si>
  <si>
    <t>TraesCS5A01G225600</t>
  </si>
  <si>
    <t>TraesCS5A01G263700</t>
  </si>
  <si>
    <t>TraesCS5A01G287700</t>
  </si>
  <si>
    <t>TraesCS5A01G316000</t>
  </si>
  <si>
    <t>TraesCS5A01G345500</t>
  </si>
  <si>
    <t>TraesCS5A01G379500</t>
  </si>
  <si>
    <t>TraesCS5A01G382600</t>
  </si>
  <si>
    <t>TraesCS5A01G383900</t>
  </si>
  <si>
    <t>TraesCS5A01G388000</t>
  </si>
  <si>
    <t>TraesCS5A01G404000</t>
  </si>
  <si>
    <t>TraesCS5A01G450700</t>
  </si>
  <si>
    <t>TraesCS5A01G452600</t>
  </si>
  <si>
    <t>TraesCS5A01G456700</t>
  </si>
  <si>
    <t>TraesCS5A01G472800</t>
  </si>
  <si>
    <t>TraesCS5A01G503900</t>
  </si>
  <si>
    <t>TraesCS5A01G549200</t>
  </si>
  <si>
    <t>TraesCS5A01G549300</t>
  </si>
  <si>
    <t>TraesCS5B01G002800</t>
  </si>
  <si>
    <t>TraesCS5B01G006600</t>
  </si>
  <si>
    <t>TraesCS5B01G008400</t>
  </si>
  <si>
    <t>TraesCS5B01G011000</t>
  </si>
  <si>
    <t>TraesCS5B01G014000</t>
  </si>
  <si>
    <t>TraesCS5B01G015000</t>
  </si>
  <si>
    <t>TraesCS5B01G051400</t>
  </si>
  <si>
    <t>TraesCS5B01G058800</t>
  </si>
  <si>
    <t>TraesCS5B01G076600</t>
  </si>
  <si>
    <t>TraesCS5B01G081900</t>
  </si>
  <si>
    <t>TraesCS5B01G129900</t>
  </si>
  <si>
    <t>TraesCS5B01G147200</t>
  </si>
  <si>
    <t>TraesCS5B01G150200</t>
  </si>
  <si>
    <t>TraesCS5B01G162600</t>
  </si>
  <si>
    <t>TraesCS5B01G162800</t>
  </si>
  <si>
    <t>TraesCS5B01G187900</t>
  </si>
  <si>
    <t>TraesCS5B01G215800</t>
  </si>
  <si>
    <t>TraesCS5B01G215900</t>
  </si>
  <si>
    <t>TraesCS5B01G219300</t>
  </si>
  <si>
    <t>TraesCS5B01G220900</t>
  </si>
  <si>
    <t>TraesCS5B01G224000</t>
  </si>
  <si>
    <t>TraesCS5B01G224100</t>
  </si>
  <si>
    <t>TraesCS5B01G236800</t>
  </si>
  <si>
    <t>TraesCS5B01G277700</t>
  </si>
  <si>
    <t>TraesCS5B01G277900</t>
  </si>
  <si>
    <t>TraesCS5B01G289800</t>
  </si>
  <si>
    <t>TraesCS5B01G290100</t>
  </si>
  <si>
    <t>TraesCS5B01G309300</t>
  </si>
  <si>
    <t>TraesCS5B01G334000</t>
  </si>
  <si>
    <t>TraesCS5B01G377200</t>
  </si>
  <si>
    <t>TraesCS5B01G382900</t>
  </si>
  <si>
    <t>TraesCS5B01G421100</t>
  </si>
  <si>
    <t>TraesCS5B01G458500</t>
  </si>
  <si>
    <t>TraesCS5B01G458600</t>
  </si>
  <si>
    <t>TraesCS5B01G465800</t>
  </si>
  <si>
    <t>TraesCS5B01G539900</t>
  </si>
  <si>
    <t>TraesCS5B01G552400</t>
  </si>
  <si>
    <t>TraesCS5B01G570400</t>
  </si>
  <si>
    <t>TraesCS5D01G001600</t>
  </si>
  <si>
    <t>TraesCS5D01G030200</t>
  </si>
  <si>
    <t>TraesCS5D01G069200</t>
  </si>
  <si>
    <t>TraesCS5D01G070300</t>
  </si>
  <si>
    <t>TraesCS5D01G093800</t>
  </si>
  <si>
    <t>TraesCS5D01G104300</t>
  </si>
  <si>
    <t>TraesCS5D01G105700</t>
  </si>
  <si>
    <t>TraesCS5D01G118500</t>
  </si>
  <si>
    <t>TraesCS5D01G122700</t>
  </si>
  <si>
    <t>TraesCS5D01G137500</t>
  </si>
  <si>
    <t>TraesCS5D01G141600</t>
  </si>
  <si>
    <t>TraesCS5D01G142700</t>
  </si>
  <si>
    <t>TraesCS5D01G165900</t>
  </si>
  <si>
    <t>TraesCS5D01G169600</t>
  </si>
  <si>
    <t>TraesCS5D01G169900</t>
  </si>
  <si>
    <t>TraesCS5D01G232800</t>
  </si>
  <si>
    <t>TraesCS5D01G232900</t>
  </si>
  <si>
    <t>TraesCS5D01G233100</t>
  </si>
  <si>
    <t>TraesCS5D01G248700</t>
  </si>
  <si>
    <t>TraesCS5D01G285500</t>
  </si>
  <si>
    <t>TraesCS5D01G285600</t>
  </si>
  <si>
    <t>TraesCS5D01G293200</t>
  </si>
  <si>
    <t>TraesCS5D01G298200</t>
  </si>
  <si>
    <t>TraesCS5D01G319700</t>
  </si>
  <si>
    <t>TraesCS5D01G322200</t>
  </si>
  <si>
    <t>TraesCS5D01G326400</t>
  </si>
  <si>
    <t>TraesCS5D01G383700</t>
  </si>
  <si>
    <t>TraesCS5D01G414000</t>
  </si>
  <si>
    <t>TraesCS5D01G414100</t>
  </si>
  <si>
    <t>TraesCS5D01G444700</t>
  </si>
  <si>
    <t>TraesCS5D01G447800</t>
  </si>
  <si>
    <t>TraesCS5D01G455100</t>
  </si>
  <si>
    <t>TraesCS5D01G467500</t>
  </si>
  <si>
    <t>TraesCS5D01G489500</t>
  </si>
  <si>
    <t>TraesCS5D01G526300</t>
  </si>
  <si>
    <t>TraesCS5D01G526800</t>
  </si>
  <si>
    <t>TraesCS5D01G548700</t>
  </si>
  <si>
    <t>TraesCS5D01G566400</t>
  </si>
  <si>
    <t>TraesCS5D01G567700</t>
  </si>
  <si>
    <t>TraesCS6A01G012600</t>
  </si>
  <si>
    <t>TraesCS6A01G012700</t>
  </si>
  <si>
    <t>TraesCS6A01G025200</t>
  </si>
  <si>
    <t>TraesCS6A01G051200</t>
  </si>
  <si>
    <t>TraesCS6A01G081800</t>
  </si>
  <si>
    <t>TraesCS6A01G081900</t>
  </si>
  <si>
    <t>TraesCS6A01G082000</t>
  </si>
  <si>
    <t>TraesCS6A01G087600</t>
  </si>
  <si>
    <t>TraesCS6A01G088500</t>
  </si>
  <si>
    <t>TraesCS6A01G116400</t>
  </si>
  <si>
    <t>TraesCS6A01G120800</t>
  </si>
  <si>
    <t>TraesCS6A01G135500</t>
  </si>
  <si>
    <t>TraesCS6A01G166100</t>
  </si>
  <si>
    <t>TraesCS6A01G173200</t>
  </si>
  <si>
    <t>TraesCS6A01G239600</t>
  </si>
  <si>
    <t>TraesCS6A01G249200</t>
  </si>
  <si>
    <t>TraesCS6A01G259600</t>
  </si>
  <si>
    <t>TraesCS6A01G265300</t>
  </si>
  <si>
    <t>TraesCS6A01G297000</t>
  </si>
  <si>
    <t>TraesCS6A01G309900</t>
  </si>
  <si>
    <t>TraesCS6A01G323500</t>
  </si>
  <si>
    <t>TraesCS6A01G325600</t>
  </si>
  <si>
    <t>TraesCS6A01G337300</t>
  </si>
  <si>
    <t>TraesCS6A01G416100</t>
  </si>
  <si>
    <t>TraesCS6A01G420400</t>
  </si>
  <si>
    <t>TraesCS6B01G005600</t>
  </si>
  <si>
    <t>TraesCS6B01G005700</t>
  </si>
  <si>
    <t>TraesCS6B01G015300</t>
  </si>
  <si>
    <t>TraesCS6B01G018800</t>
  </si>
  <si>
    <t>TraesCS6B01G039200</t>
  </si>
  <si>
    <t>TraesCS6B01G047100</t>
  </si>
  <si>
    <t>TraesCS6B01G110900</t>
  </si>
  <si>
    <t>TraesCS6B01G116200</t>
  </si>
  <si>
    <t>TraesCS6B01G144400</t>
  </si>
  <si>
    <t>TraesCS6B01G168100</t>
  </si>
  <si>
    <t>TraesCS6B01G203300</t>
  </si>
  <si>
    <t>TraesCS6B01G264900</t>
  </si>
  <si>
    <t>TraesCS6B01G266000</t>
  </si>
  <si>
    <t>TraesCS6B01G289300</t>
  </si>
  <si>
    <t>TraesCS6B01G292500</t>
  </si>
  <si>
    <t>TraesCS6B01G301000</t>
  </si>
  <si>
    <t>TraesCS6B01G301600</t>
  </si>
  <si>
    <t>TraesCS6B01G310200</t>
  </si>
  <si>
    <t>TraesCS6B01G323100</t>
  </si>
  <si>
    <t>TraesCS6B01G328300</t>
  </si>
  <si>
    <t>TraesCS6B01G328400</t>
  </si>
  <si>
    <t>TraesCS6B01G334600</t>
  </si>
  <si>
    <t>TraesCS6B01G335300</t>
  </si>
  <si>
    <t>TraesCS6B01G339700</t>
  </si>
  <si>
    <t>TraesCS6B01G349500</t>
  </si>
  <si>
    <t>TraesCS6B01G356200</t>
  </si>
  <si>
    <t>TraesCS6B01G368000</t>
  </si>
  <si>
    <t>TraesCS6B01G372900</t>
  </si>
  <si>
    <t>TraesCS6B01G402100</t>
  </si>
  <si>
    <t>TraesCS6B01G404000</t>
  </si>
  <si>
    <t>TraesCS6B01G428000</t>
  </si>
  <si>
    <t>TraesCS6D01G008900</t>
  </si>
  <si>
    <t>TraesCS6D01G015100</t>
  </si>
  <si>
    <t>TraesCS6D01G015400</t>
  </si>
  <si>
    <t>TraesCS6D01G026700</t>
  </si>
  <si>
    <t>TraesCS6D01G031500</t>
  </si>
  <si>
    <t>TraesCS6D01G035000</t>
  </si>
  <si>
    <t>TraesCS6D01G054600</t>
  </si>
  <si>
    <t>TraesCS6D01G096000</t>
  </si>
  <si>
    <t>TraesCS6D01G110800</t>
  </si>
  <si>
    <t>TraesCS6D01G162300</t>
  </si>
  <si>
    <t>TraesCS6D01G163800</t>
  </si>
  <si>
    <t>TraesCS6D01G166500</t>
  </si>
  <si>
    <t>TraesCS6D01G191800</t>
  </si>
  <si>
    <t>TraesCS6D01G206000</t>
  </si>
  <si>
    <t>TraesCS6D01G206100</t>
  </si>
  <si>
    <t>TraesCS6D01G206200</t>
  </si>
  <si>
    <t>TraesCS6D01G218900</t>
  </si>
  <si>
    <t>TraesCS6D01G222000</t>
  </si>
  <si>
    <t>TraesCS6D01G231200</t>
  </si>
  <si>
    <t>TraesCS6D01G242600</t>
  </si>
  <si>
    <t>TraesCS6D01G245400</t>
  </si>
  <si>
    <t>TraesCS6D01G249200</t>
  </si>
  <si>
    <t>TraesCS6D01G253700</t>
  </si>
  <si>
    <t>TraesCS6D01G277200</t>
  </si>
  <si>
    <t>TraesCS6D01G290800</t>
  </si>
  <si>
    <t>TraesCS6D01G318100</t>
  </si>
  <si>
    <t>TraesCS6D01G330500</t>
  </si>
  <si>
    <t>TraesCS6D01G343400</t>
  </si>
  <si>
    <t>TraesCS6D01G360600</t>
  </si>
  <si>
    <t>TraesCS6D01G371400</t>
  </si>
  <si>
    <t>TraesCS6D01G401300</t>
  </si>
  <si>
    <t>TraesCS6D01G401400</t>
  </si>
  <si>
    <t>TraesCS7A01G003500</t>
  </si>
  <si>
    <t>TraesCS7A01G053900</t>
  </si>
  <si>
    <t>TraesCS7A01G054500</t>
  </si>
  <si>
    <t>TraesCS7A01G107500</t>
  </si>
  <si>
    <t>TraesCS7A01G133200</t>
  </si>
  <si>
    <t>TraesCS7A01G166500</t>
  </si>
  <si>
    <t>TraesCS7A01G194300</t>
  </si>
  <si>
    <t>TraesCS7A01G206100</t>
  </si>
  <si>
    <t>TraesCS7A01G211600</t>
  </si>
  <si>
    <t>TraesCS7A01G257600</t>
  </si>
  <si>
    <t>TraesCS7A01G260100</t>
  </si>
  <si>
    <t>TraesCS7A01G308100</t>
  </si>
  <si>
    <t>TraesCS7A01G331100</t>
  </si>
  <si>
    <t>TraesCS7A01G336300</t>
  </si>
  <si>
    <t>TraesCS7A01G353800</t>
  </si>
  <si>
    <t>TraesCS7A01G374800</t>
  </si>
  <si>
    <t>TraesCS7A01G381500</t>
  </si>
  <si>
    <t>TraesCS7A01G383700</t>
  </si>
  <si>
    <t>TraesCS7A01G411600</t>
  </si>
  <si>
    <t>TraesCS7A01G411700</t>
  </si>
  <si>
    <t>TraesCS7A01G448900</t>
  </si>
  <si>
    <t>TraesCS7A01G469300</t>
  </si>
  <si>
    <t>TraesCS7A01G508100</t>
  </si>
  <si>
    <t>TraesCS7A01G520600</t>
  </si>
  <si>
    <t>TraesCS7A01G522200</t>
  </si>
  <si>
    <t>TraesCS7A01G524200</t>
  </si>
  <si>
    <t>TraesCS7A01G560100</t>
  </si>
  <si>
    <t>TraesCS7A01G568400</t>
  </si>
  <si>
    <t>TraesCS7B01G006100</t>
  </si>
  <si>
    <t>TraesCS7B01G006200</t>
  </si>
  <si>
    <t>TraesCS7B01G010100</t>
  </si>
  <si>
    <t>TraesCS7B01G012800</t>
  </si>
  <si>
    <t>TraesCS7B01G020300</t>
  </si>
  <si>
    <t>TraesCS7B01G032300</t>
  </si>
  <si>
    <t>TraesCS7B01G079100</t>
  </si>
  <si>
    <t>TraesCS7B01G096600</t>
  </si>
  <si>
    <t>TraesCS7B01G113000</t>
  </si>
  <si>
    <t>TraesCS7B01G113100</t>
  </si>
  <si>
    <t>TraesCS7B01G113300</t>
  </si>
  <si>
    <t>TraesCS7B01G118600</t>
  </si>
  <si>
    <t>TraesCS7B01G127700</t>
  </si>
  <si>
    <t>TraesCS7B01G132600</t>
  </si>
  <si>
    <t>TraesCS7B01G136200</t>
  </si>
  <si>
    <t>TraesCS7B01G145200</t>
  </si>
  <si>
    <t>TraesCS7B01G158100</t>
  </si>
  <si>
    <t>TraesCS7B01G190700</t>
  </si>
  <si>
    <t>TraesCS7B01G241900</t>
  </si>
  <si>
    <t>TraesCS7B01G273200</t>
  </si>
  <si>
    <t>TraesCS7B01G273900</t>
  </si>
  <si>
    <t>TraesCS7B01G276200</t>
  </si>
  <si>
    <t>TraesCS7B01G276300</t>
  </si>
  <si>
    <t>TraesCS7B01G310900</t>
  </si>
  <si>
    <t>TraesCS7B01G326700</t>
  </si>
  <si>
    <t>TraesCS7B01G410700</t>
  </si>
  <si>
    <t>TraesCS7B01G432200</t>
  </si>
  <si>
    <t>TraesCS7B01G437000</t>
  </si>
  <si>
    <t>TraesCS7D01G004700</t>
  </si>
  <si>
    <t>TraesCS7D01G007300</t>
  </si>
  <si>
    <t>TraesCS7D01G008100</t>
  </si>
  <si>
    <t>TraesCS7D01G028900</t>
  </si>
  <si>
    <t>TraesCS7D01G040200</t>
  </si>
  <si>
    <t>TraesCS7D01G062300</t>
  </si>
  <si>
    <t>TraesCS7D01G085900</t>
  </si>
  <si>
    <t>TraesCS7D01G099300</t>
  </si>
  <si>
    <t>TraesCS7D01G110800</t>
  </si>
  <si>
    <t>TraesCS7D01G142100</t>
  </si>
  <si>
    <t>TraesCS7D01G195900</t>
  </si>
  <si>
    <t>TraesCS7D01G211000</t>
  </si>
  <si>
    <t>TraesCS7D01G221900</t>
  </si>
  <si>
    <t>TraesCS7D01G234500</t>
  </si>
  <si>
    <t>TraesCS7D01G237700</t>
  </si>
  <si>
    <t>TraesCS7D01G261100</t>
  </si>
  <si>
    <t>TraesCS7D01G271200</t>
  </si>
  <si>
    <t>TraesCS7D01G273400</t>
  </si>
  <si>
    <t>TraesCS7D01G302000</t>
  </si>
  <si>
    <t>TraesCS7D01G323900</t>
  </si>
  <si>
    <t>TraesCS7D01G350800</t>
  </si>
  <si>
    <t>TraesCS7D01G358400</t>
  </si>
  <si>
    <t>TraesCS7D01G369000</t>
  </si>
  <si>
    <t>TraesCS7D01G377800</t>
  </si>
  <si>
    <t>TraesCS7D01G383300</t>
  </si>
  <si>
    <t>TraesCS7D01G419200</t>
  </si>
  <si>
    <t>TraesCS7D01G429000</t>
  </si>
  <si>
    <t>TraesCS7D01G456900</t>
  </si>
  <si>
    <t>TraesCS7D01G462600</t>
  </si>
  <si>
    <t>TraesCS7D01G476400</t>
  </si>
  <si>
    <t>TraesCS7D01G478900</t>
  </si>
  <si>
    <t>TraesCS7D01G510300</t>
  </si>
  <si>
    <t>TraesCS7D01G522300</t>
  </si>
  <si>
    <t>TraesCS7D01G549800</t>
  </si>
  <si>
    <t>TraesCSU01G000200</t>
  </si>
  <si>
    <t>TraesCSU01G017800</t>
  </si>
  <si>
    <t>TraesCSU01G017900</t>
  </si>
  <si>
    <t>TraesCSU01G066200</t>
  </si>
  <si>
    <t>TraesCSU01G066300</t>
  </si>
  <si>
    <t>TraesCSU01G066400</t>
  </si>
  <si>
    <t>TraesCSU01G069100</t>
  </si>
  <si>
    <t>TraesCSU01G134000</t>
  </si>
  <si>
    <t>TraesCSU01G134900</t>
  </si>
  <si>
    <t>TraesCSU01G142800</t>
  </si>
  <si>
    <t>TraesCSU01G142900</t>
  </si>
  <si>
    <t>TraesCSU01G143000</t>
  </si>
  <si>
    <t>Fg_down &amp; GA_up</t>
  </si>
  <si>
    <t>Gene list (286)</t>
  </si>
  <si>
    <t>TraesCS1A01G084900</t>
  </si>
  <si>
    <t>TraesCS1A01G096300</t>
  </si>
  <si>
    <t>TraesCS1A01G108500</t>
  </si>
  <si>
    <t>TraesCS1A01G175500</t>
  </si>
  <si>
    <t>TraesCS1A01G235700</t>
  </si>
  <si>
    <t>TraesCS1A01G242400</t>
  </si>
  <si>
    <t>TraesCS1A01G250100</t>
  </si>
  <si>
    <t>TraesCS1A01G312000</t>
  </si>
  <si>
    <t>TraesCS6A01G023200;TraesCS6B01G031700;TraesCS6D01G026600;TraesCS6D01G026500;TraesCS6B01G031500;TraesCS6B01G031600;TraesCS6A01G023300;TraesCS6D01G026400;TraesCS6B01G031300;TraesCS6D01G026300</t>
  </si>
  <si>
    <t>TraesCS1A01G363800</t>
  </si>
  <si>
    <t>TraesCS1A01G444100</t>
  </si>
  <si>
    <t>TraesCS6A01G023200;TraesCS6B01G031700;TraesCS6D01G026600;TraesCS6D01G026500;TraesCS6B01G031500;TraesCS6B01G031600;TraesCS6A01G023300;TraesCS7A01G450500;TraesCS6D01G026400;TraesCS6B01G031300;TraesCS6D01G026300</t>
  </si>
  <si>
    <t>TraesCS6B01G031700;TraesCS7D01G418600;TraesCS6B01G031500;TraesCS6B01G031600;TraesCS4D01G013600;TraesCS7A01G450500;TraesCS7B01G327400;TraesCS6A01G023200;TraesCS6D01G026600;TraesCS6D01G026500;TraesCS1A01G234600;TraesCS1D01G312800;TraesCS7A01G427100;TraesCS6A01G023300;TraesCS6A01G303200;TraesCS6D01G026400;TraesCS6B01G031300;TraesCS6D01G026300</t>
  </si>
  <si>
    <t>TraesCS6B01G031700;TraesCS7D01G418600;TraesCS6B01G031500;TraesCS6B01G031600;TraesCS4D01G013600;TraesCS7A01G450500;TraesCS3A01G087400;TraesCS7B01G327400;TraesCS6A01G023200;TraesCS6D01G026600;TraesCS6D01G026500;TraesCS1A01G234600;TraesCS1D01G312800;TraesCS7A01G427100;TraesCS6A01G023300;TraesCS6A01G303200;TraesCS6D01G026400;TraesCS6B01G031300;TraesCS6D01G026300</t>
  </si>
  <si>
    <t>TraesCS1B01G139400</t>
  </si>
  <si>
    <t>DNA catabolic process</t>
  </si>
  <si>
    <t>TraesCS2D01G507900;TraesCS2A01G507400;TraesCS2A01G507500;TraesCS2B01G535500;TraesCS2B01G535400</t>
  </si>
  <si>
    <t>TraesCS1B01G142000</t>
  </si>
  <si>
    <t>TraesCS7D01G243000;TraesCS3D01G188000;TraesCSU01G096900;TraesCS3B01G213600;TraesCS7A01G244400</t>
  </si>
  <si>
    <t>TraesCS1B01G167800</t>
  </si>
  <si>
    <t>L-asparagine metabolic process</t>
  </si>
  <si>
    <t>TraesCS5A01G153900;TraesCS5D01G159100;TraesCS5B01G152600</t>
  </si>
  <si>
    <t>TraesCS1B01G168500</t>
  </si>
  <si>
    <t>L-asparagine biosynthetic process</t>
  </si>
  <si>
    <t>TraesCS1B01G232700</t>
  </si>
  <si>
    <t>TraesCS7D01G418600;TraesCS5A01G315700;TraesCS3A01G346900;TraesCS5A01G084100;TraesCS2A01G507500;TraesCS4A01G085300;TraesCS2B01G535500;TraesCS7B01G327400;TraesCS6A01G023200;TraesCS2D01G507900;TraesCS1A01G235700;TraesCS4A01G252900;TraesCS1A01G250100;TraesCS2A01G130200;TraesCS6B01G031700;TraesCS2D01G132200;TraesCS6B01G031500;TraesCS3B01G193000;TraesCS4D01G210900;TraesCS6A01G311000;TraesCS6D01G026500;TraesCS4B01G070500;TraesCS7B01G191400;TraesCS1D01G312800;TraesCS3B01G378600;TraesCS6D01G026300;TraesCS7D01G269400;TraesCS2A01G507400;TraesCS3D01G340500;TraesCS2B01G535400;TraesCS1D01G420400;TraesCS7A01G427100;TraesCS1A01G363800;TraesCS6A01G023300;TraesCS6B01G031300;TraesCS3B01G359400;TraesCS7D01G226300;TraesCS6B01G031600;TraesCS2B01G530000;TraesCS4D01G013600;TraesCS7A01G450500;TraesCS3A01G087400;TraesCS3D01G249000;TraesCS6D01G026600;TraesCS1D01G090800;TraesCS4B01G210100;TraesCS1A01G234600;TraesCS5A01G547700;TraesCS1A01G238600;TraesCS3A01G241100;TraesCS6A01G303200;TraesCS5D01G321800;TraesCS7A01G428800;TraesCS6D01G026400</t>
  </si>
  <si>
    <t>TraesCS1B01G274200</t>
  </si>
  <si>
    <t>TraesCS4D01G093600;TraesCS7A01G501400;TraesCS2B01G530000;TraesCS5A01G084100;TraesCS7A01G248800;TraesCS2A01G113600;TraesCS2D01G393900;TraesCS4A01G218400;TraesCS6A01G311000;TraesCS2D01G545800;TraesCS7D01G103100;TraesCS6B01G392700;TraesCS1D01G090800;TraesCS4B01G070500;TraesCS4B01G097200;TraesCS1D01G420400;TraesCS6D01G260300;TraesCS1B01G168500;TraesCS2A01G501900;TraesCS6A01G233100;TraesCS3A01G241100;TraesCS3A01G266800</t>
  </si>
  <si>
    <t>TraesCS1B01G308900</t>
  </si>
  <si>
    <t>TraesCS7D01G103100;TraesCS4D01G093600;TraesCS7A01G501400;TraesCS4B01G097200;TraesCS5A01G153900;TraesCS5D01G159100;TraesCS7B01G019600;TraesCS1B01G142000;TraesCS2D01G393900;TraesCS1B01G168500;TraesCS4A01G218400;TraesCS5B01G152600</t>
  </si>
  <si>
    <t>TraesCS1B01G323700</t>
  </si>
  <si>
    <t>asparagine synthase (glutamine-hydrolyzing) activity</t>
  </si>
  <si>
    <t>TraesCS1B01G441300</t>
  </si>
  <si>
    <t>asparagine metabolic process</t>
  </si>
  <si>
    <t>TraesCS1B01G478600</t>
  </si>
  <si>
    <t>asparagine biosynthetic process</t>
  </si>
  <si>
    <t>purine nucleobase transport</t>
  </si>
  <si>
    <t>TraesCS2A01G123900;TraesCS2D01G126700;TraesCS2B01G145800</t>
  </si>
  <si>
    <t>nucleobase transport</t>
  </si>
  <si>
    <t>TraesCS1D01G105300</t>
  </si>
  <si>
    <t>TraesCS7D01G103100;TraesCS4D01G093600;TraesCS7A01G501400;TraesCS4B01G097200;TraesCS2D01G393900;TraesCS1B01G168500;TraesCS4A01G218400</t>
  </si>
  <si>
    <t>TraesCS1D01G147000</t>
  </si>
  <si>
    <t>TraesCS4D01G093600;TraesCS7A01G501400;TraesCS5A01G153900;TraesCS2D01G393900;TraesCS4A01G218400;TraesCS5B01G152600;TraesCS7D01G103100;TraesCS6B01G392700;TraesCS4B01G097200;TraesCS5D01G159100;TraesCS7B01G019600;TraesCS1B01G142000;TraesCS1B01G168500</t>
  </si>
  <si>
    <t>TraesCS1D01G292100</t>
  </si>
  <si>
    <t>response to arsenic-containing substance</t>
  </si>
  <si>
    <t>TraesCS2A01G130200;TraesCS2D01G132200</t>
  </si>
  <si>
    <t>TraesCS1D01G312800</t>
  </si>
  <si>
    <t>aromatic compound catabolic process</t>
  </si>
  <si>
    <t>TraesCS2D01G507900;TraesCS7B01G019600;TraesCS1B01G142000;TraesCS2A01G507400;TraesCS2A01G507500;TraesCS2B01G535500;TraesCS2B01G535400;TraesCS4A01G429700;TraesCS3A01G087400</t>
  </si>
  <si>
    <t>nucleic acid phosphodiester bond hydrolysis</t>
  </si>
  <si>
    <t>TraesCS2D01G507900;TraesCS7D01G308500;TraesCS2A01G507400;TraesCS2A01G507500;TraesCS2B01G535500;TraesCS2B01G535400</t>
  </si>
  <si>
    <t>TraesCS1D01G452100</t>
  </si>
  <si>
    <t>nucleobase-containing compound catabolic process</t>
  </si>
  <si>
    <t>TraesCS2D01G507900;TraesCS1B01G142000;TraesCS2A01G507400;TraesCS2A01G507500;TraesCS2B01G535500;TraesCS2B01G535400;TraesCS3A01G087400</t>
  </si>
  <si>
    <t>TraesCS2A01G075200</t>
  </si>
  <si>
    <t>organic cyclic compound catabolic process</t>
  </si>
  <si>
    <t>TraesCS2A01G113600</t>
  </si>
  <si>
    <t>chloroplast inner membrane</t>
  </si>
  <si>
    <t>TraesCS2A01G123900</t>
  </si>
  <si>
    <t>cellular nitrogen compound catabolic process</t>
  </si>
  <si>
    <t>TraesCS2D01G507900;TraesCS7B01G019600;TraesCS1B01G142000;TraesCS2A01G507400;TraesCS2A01G507500;TraesCS2B01G535500;TraesCS2B01G535400;TraesCS3A01G087400</t>
  </si>
  <si>
    <t>TraesCS2A01G130200</t>
  </si>
  <si>
    <t>heterocycle catabolic process</t>
  </si>
  <si>
    <t>TraesCS2A01G338800</t>
  </si>
  <si>
    <t>TraesCS6B01G031700;TraesCS7D01G418600;TraesCS6B01G031500;TraesCS6B01G031600;TraesCS4D01G013600;TraesCS4A01G140000;TraesCS7A01G450500;TraesCS7B01G327400;TraesCS6A01G023200;TraesCS6D01G026600;TraesCS6D01G026500;TraesCS1A01G234600;TraesCS1D01G312800;TraesCS7A01G427100;TraesCS6A01G023300;TraesCS1B01G142000;TraesCS6A01G303200;TraesCS6D01G026400;TraesCS6B01G031300;TraesCS6D01G026300</t>
  </si>
  <si>
    <t>TraesCS7D01G103100;TraesCS4D01G093600;TraesCS6B01G392700;TraesCS7A01G501400;TraesCS4B01G097200;TraesCS2D01G393900;TraesCS1B01G168500;TraesCS4A01G218400</t>
  </si>
  <si>
    <t>TraesCS2A01G378300</t>
  </si>
  <si>
    <t>plastid inner membrane</t>
  </si>
  <si>
    <t>TraesCS2A01G404000</t>
  </si>
  <si>
    <t>regulation of proton transport</t>
  </si>
  <si>
    <t>TraesCS7D01G407700;TraesCS7B01G314500;TraesCS7A01G414600</t>
  </si>
  <si>
    <t>TraesCS2A01G501900</t>
  </si>
  <si>
    <t>TraesCS2A01G507400</t>
  </si>
  <si>
    <t>TraesCS7D01G103100;TraesCS4D01G093600;TraesCS7A01G501400;TraesCS4B01G070500;TraesCS4B01G097200;TraesCS7A01G248800;TraesCS2D01G393900;TraesCS1B01G168500;TraesCS2A01G501900;TraesCS4A01G218400;TraesCS3A01G266800;TraesCS2D01G545800</t>
  </si>
  <si>
    <t>TraesCS2A01G507500</t>
  </si>
  <si>
    <t>DNA photolyase activity</t>
  </si>
  <si>
    <t>TraesCS7D01G476200;TraesCS7B01G392900</t>
  </si>
  <si>
    <t>TraesCS2A01G544800</t>
  </si>
  <si>
    <t>protein autophosphorylation</t>
  </si>
  <si>
    <t>TraesCS2A01G551000</t>
  </si>
  <si>
    <t>phosphorelay response regulator activity</t>
  </si>
  <si>
    <t>TraesCS1A01G444100;TraesCS1B01G478600;TraesCS1D01G452100</t>
  </si>
  <si>
    <t>TraesCS2A01G558300</t>
  </si>
  <si>
    <t>TraesCS4D01G093600;TraesCS7A01G501400;TraesCS3D01G339300;TraesCS5A01G153900;TraesCS2D01G393900;TraesCS4A01G218400;TraesCS3A01G345200;TraesCS5B01G152600;TraesCS7D01G103100;TraesCS4B01G097200;TraesCS5D01G159100;TraesCS7B01G019600;TraesCS1B01G142000;TraesCS1B01G168500</t>
  </si>
  <si>
    <t>sequence-specific DNA binding</t>
  </si>
  <si>
    <t>TraesCS1B01G127400;TraesCS3B01G314600;TraesCS1A01G312000;TraesCS6B01G364000;TraesCS1D01G105300;TraesCS3D01G280600;TraesCS1A01G096300;TraesCS1B01G232700;TraesCS3A01G378700;TraesCS3A01G280800</t>
  </si>
  <si>
    <t>TraesCS2B01G145800</t>
  </si>
  <si>
    <t>endonuclease activity</t>
  </si>
  <si>
    <t>TraesCS2B01G151800</t>
  </si>
  <si>
    <t>TraesCS2B01G175800</t>
  </si>
  <si>
    <t>TraesCS2B01G196700</t>
  </si>
  <si>
    <t>aspartate family amino acid metabolic process</t>
  </si>
  <si>
    <t>TraesCS6A01G344000;TraesCS5A01G153900;TraesCS5D01G159100;TraesCS5B01G152600</t>
  </si>
  <si>
    <t>TraesCS2B01G333200</t>
  </si>
  <si>
    <t>TraesCS5B01G491800;TraesCS5A01G478800</t>
  </si>
  <si>
    <t>TraesCS2B01G399700</t>
  </si>
  <si>
    <t>TraesCS2B01G403100</t>
  </si>
  <si>
    <t>amino acid transmembrane transport</t>
  </si>
  <si>
    <t>TraesCS2B01G418200</t>
  </si>
  <si>
    <t>TraesCS2B01G421900</t>
  </si>
  <si>
    <t>TraesCS2B01G530000</t>
  </si>
  <si>
    <t>TraesCS4D01G093600;TraesCS7A01G501400;TraesCS7A01G248800;TraesCS2D01G393900;TraesCS4A01G218400;TraesCS7D01G103100;TraesCS6B01G392700;TraesCS4B01G070500;TraesCS4B01G097200;TraesCS1B01G168500;TraesCS2A01G501900;TraesCS6A01G233100;TraesCS3A01G266800</t>
  </si>
  <si>
    <t>TraesCS2B01G535400</t>
  </si>
  <si>
    <t>saccharopine dehydrogenase activity</t>
  </si>
  <si>
    <t>TraesCS6A01G344000</t>
  </si>
  <si>
    <t>TraesCS2B01G535500</t>
  </si>
  <si>
    <t>lysine catabolic process</t>
  </si>
  <si>
    <t>L-lysine metabolic process</t>
  </si>
  <si>
    <t>TraesCS2D01G069000</t>
  </si>
  <si>
    <t>L-lysine catabolic process</t>
  </si>
  <si>
    <t>TraesCS2D01G112900</t>
  </si>
  <si>
    <t>L-lysine catabolic process to acetyl-CoA</t>
  </si>
  <si>
    <t>TraesCS2D01G126700</t>
  </si>
  <si>
    <t>L-lysine catabolic process to acetyl-CoA via saccharopine</t>
  </si>
  <si>
    <t>TraesCS2D01G131900</t>
  </si>
  <si>
    <t>saccharopine dehydrogenase (NADP+, L-lysine-forming) activity</t>
  </si>
  <si>
    <t>TraesCS2D01G132200</t>
  </si>
  <si>
    <t>saccharopine dehydrogenase (NAD+, L-glutamate-forming) activity</t>
  </si>
  <si>
    <t>TraesCS2D01G155700</t>
  </si>
  <si>
    <t>carbon-nitrogen ligase activity, with glutamine as amido-N-donor</t>
  </si>
  <si>
    <t>TraesCS2D01G391800</t>
  </si>
  <si>
    <t>TraesCS6D01G333000;TraesCS6D01G333200;TraesCS7D01G549900;TraesCS6B01G383600</t>
  </si>
  <si>
    <t>TraesCS2D01G392200</t>
  </si>
  <si>
    <t>protein desumoylation</t>
  </si>
  <si>
    <t>TraesCS6A01G344000;TraesCS7D01G308500</t>
  </si>
  <si>
    <t>TraesCS2D01G393900</t>
  </si>
  <si>
    <t>hydrogen peroxide biosynthetic process</t>
  </si>
  <si>
    <t>TraesCS2D01G401000</t>
  </si>
  <si>
    <t>DNA-binding transcription factor activity</t>
  </si>
  <si>
    <t>TraesCS1B01G127400;TraesCS3B01G314600;TraesCS1D01G105300;TraesCS4B01G245700;TraesCS1A01G096300;TraesCS1B01G232700;TraesCS1A01G312000;TraesCS6B01G364000;TraesCS3D01G280600;TraesCS7B01G020800;TraesCS1B01G441300;TraesCS3A01G378700;TraesCS3A01G280800;TraesCS7A01G122100</t>
  </si>
  <si>
    <t>TraesCS2D01G488500</t>
  </si>
  <si>
    <t>TraesCS2D01G507900</t>
  </si>
  <si>
    <t>TraesCS4D01G093600;TraesCS4D01G104200;TraesCS7A01G248800;TraesCS7B01G050500;TraesCS5D01G369400;TraesCS2D01G393900;TraesCS7D01G206200;TraesCS7B01G088100;TraesCS4A01G429700;TraesCS4D01G125700;TraesCS2B01G145800;TraesCS2A01G123900;TraesCS6A01G023200;TraesCS6B01G392700;TraesCS4B01G097200;TraesCS5D01G074300;TraesCS6B01G362400;TraesCS6A01G023300;TraesCS4A01G203400;TraesCS4D01G356300;TraesCS4A01G004400;TraesCS7D01G308500;TraesCS5B01G414000;TraesCS2A01G113600;TraesCS4A01G218400;TraesCS3B01G336900;TraesCS7D01G103100;TraesCS2A01G338800;TraesCS7A01G147300;TraesCS7A01G183100;TraesCS1B01G168500;TraesCS3B01G213600;TraesCS3A01G408200;TraesCS2D01G126700;TraesCS5D01G413600</t>
  </si>
  <si>
    <t>TraesCS2D01G545800</t>
  </si>
  <si>
    <t>TraesCS5D01G250700;TraesCS7D01G243000;TraesCS3D01G188000;TraesCSU01G096900;TraesCS3B01G213600;TraesCS7A01G244400;TraesCS2D01G392200;TraesCS5B01G242000</t>
  </si>
  <si>
    <t>organic acid transmembrane transport</t>
  </si>
  <si>
    <t>TraesCS3A01G087400</t>
  </si>
  <si>
    <t>carboxylic acid transmembrane transport</t>
  </si>
  <si>
    <t>TraesCS3A01G091000</t>
  </si>
  <si>
    <t>TraesCS3A01G107000</t>
  </si>
  <si>
    <t>ribosylpyrimidine nucleosidase activity</t>
  </si>
  <si>
    <t>TraesCS3A01G241100</t>
  </si>
  <si>
    <t>uridine nucleosidase activity</t>
  </si>
  <si>
    <t>TraesCS3A01G252100</t>
  </si>
  <si>
    <t>(+)-abscisic acid 8'-hydroxylase activity</t>
  </si>
  <si>
    <t>TraesCS5D01G244900</t>
  </si>
  <si>
    <t>TraesCS3A01G266800</t>
  </si>
  <si>
    <t>TraesCS7D01G418600;TraesCS7A01G427100;TraesCS4A01G140000;TraesCS3A01G087400;TraesCS7B01G327400</t>
  </si>
  <si>
    <t>TraesCS3A01G280800</t>
  </si>
  <si>
    <t>TraesCS5A01G531300;TraesCS4D01G356300</t>
  </si>
  <si>
    <t>TraesCS4D01G093600;TraesCS5A01G044700;TraesCS2A01G544800;TraesCS5A01G531300;TraesCS7A01G248800;TraesCS5B01G566100;TraesCS6A01G320700;TraesCS2D01G393900;TraesCS2A01G378300;TraesCS4A01G429700;TraesCS6A01G344000;TraesCS7A01G211200;TraesCS4B01G097200;TraesCS5D01G244900;TraesCS6D01G260300;TraesCS7B01G118200;TraesCS1B01G274200;TraesCS4B01G102500;TraesCS4D01G356300;TraesCS6B01G406300;TraesCS2B01G091500;TraesCS7A01G501400;TraesCS2A01G113600;TraesCS5B01G135000;TraesCS4A01G218400;TraesCS4D01G176100;TraesCS2D01G545800;TraesCS3D01G084900;TraesCS7D01G103100;TraesCS1B01G168500;TraesCS6D01G305200;TraesCS6B01G296400;TraesCS6B01G298500</t>
  </si>
  <si>
    <t>reactive oxygen species biosynthetic process</t>
  </si>
  <si>
    <t>TraesCS3A01G364500</t>
  </si>
  <si>
    <t>TraesCS2B01G530000;TraesCS4D01G210900;TraesCS5A01G084100;TraesCS2A01G507400;TraesCS2A01G507500;TraesCS2B01G535500;TraesCS2B01G535400;TraesCS6A01G311000;TraesCS3D01G249000;TraesCS1D01G090800;TraesCS2D01G507900;TraesCS4B01G210100;TraesCS4B01G070500;TraesCS1D01G420400;TraesCS7A01G428800</t>
  </si>
  <si>
    <t>TraesCS3A01G365800</t>
  </si>
  <si>
    <t>TraesCS6A01G344000;TraesCS7A01G211200;TraesCS7D01G308500;TraesCS7B01G118200</t>
  </si>
  <si>
    <t>TraesCS3A01G378700</t>
  </si>
  <si>
    <t>chloroplast envelope</t>
  </si>
  <si>
    <t>TraesCS2A01G123900;TraesCS7D01G407700;TraesCS7B01G314500;TraesCS2D01G126700;TraesCS2B01G145800;TraesCS7A01G414600</t>
  </si>
  <si>
    <t>TraesCS3A01G408200</t>
  </si>
  <si>
    <t>TraesCS3B01G193000</t>
  </si>
  <si>
    <t>TraesCS3B01G213600</t>
  </si>
  <si>
    <t>inosine metabolic process</t>
  </si>
  <si>
    <t>TraesCS3B01G289500</t>
  </si>
  <si>
    <t>inosine catabolic process</t>
  </si>
  <si>
    <t>TraesCS3B01G314600</t>
  </si>
  <si>
    <t>purine nucleosidase activity</t>
  </si>
  <si>
    <t>TraesCS3B01G336900</t>
  </si>
  <si>
    <t>inosine nucleosidase activity</t>
  </si>
  <si>
    <t>TraesCS3B01G359400</t>
  </si>
  <si>
    <t>TraesCS3D01G034200</t>
  </si>
  <si>
    <t>TraesCS3D01G084900</t>
  </si>
  <si>
    <t>TraesCS3D01G122100</t>
  </si>
  <si>
    <t>TraesCS3D01G188000</t>
  </si>
  <si>
    <t>TraesCS3D01G249000</t>
  </si>
  <si>
    <t>TraesCS3D01G249400</t>
  </si>
  <si>
    <t>TraesCS3D01G276600</t>
  </si>
  <si>
    <t>malate transmembrane transporter activity</t>
  </si>
  <si>
    <t>TraesCS7A01G244400</t>
  </si>
  <si>
    <t>TraesCS3D01G280600</t>
  </si>
  <si>
    <t>TraesCS7D01G418600;TraesCS7A01G427100;TraesCS7B01G327400</t>
  </si>
  <si>
    <t>plastid envelope</t>
  </si>
  <si>
    <t>TraesCS3D01G354300</t>
  </si>
  <si>
    <t>vegetative to reproductive phase transition of meristem</t>
  </si>
  <si>
    <t>TraesCS2A01G130200;TraesCS6A01G344000;TraesCS2D01G132200;TraesCS7D01G308500</t>
  </si>
  <si>
    <t>TraesCS3D01G357900</t>
  </si>
  <si>
    <t>TraesCS3D01G358900</t>
  </si>
  <si>
    <t>amino acid transport</t>
  </si>
  <si>
    <t>TraesCS3D01G461600</t>
  </si>
  <si>
    <t>TraesCS4A01G004400</t>
  </si>
  <si>
    <t>TraesCS4A01G085300</t>
  </si>
  <si>
    <t>TraesCS4D01G093600;TraesCS2A01G544800;TraesCS5A01G531300;TraesCS7A01G248800;TraesCS5B01G566100;TraesCS6A01G320700;TraesCS2D01G393900;TraesCS2A01G378300;TraesCS4A01G429700;TraesCS6A01G344000;TraesCS7A01G211200;TraesCS4B01G097200;TraesCS5D01G244900;TraesCS6D01G260300;TraesCS7B01G118200;TraesCS1B01G274200;TraesCS4B01G102500;TraesCS4D01G356300;TraesCS6B01G406300;TraesCS2B01G091500;TraesCS7A01G501400;TraesCS2A01G113600;TraesCS5B01G135000;TraesCS4A01G218400;TraesCS2D01G545800;TraesCS3D01G084900;TraesCS7D01G103100;TraesCS1B01G168500;TraesCS6D01G305200;TraesCS6B01G296400;TraesCS6B01G298500</t>
  </si>
  <si>
    <t>TraesCS4A01G086400</t>
  </si>
  <si>
    <t>TraesCS4A01G094600</t>
  </si>
  <si>
    <t>TraesCS4A01G103900</t>
  </si>
  <si>
    <t>TraesCS4A01G140000</t>
  </si>
  <si>
    <t>TraesCS4A01G203400</t>
  </si>
  <si>
    <t>translational initiation</t>
  </si>
  <si>
    <t>TraesCS4A01G242800</t>
  </si>
  <si>
    <t>cellular catabolic process</t>
  </si>
  <si>
    <t>TraesCS2A01G507400;TraesCS2A01G507500;TraesCS2B01G535500;TraesCS2B01G535400;TraesCS4A01G429700;TraesCS5B01G152600;TraesCS3A01G087400;TraesCS6A01G344000;TraesCS6B01G392700;TraesCS7A01G211200;TraesCS2D01G507900;TraesCS7B01G019600;TraesCS7B01G118200;TraesCS1B01G142000</t>
  </si>
  <si>
    <t>TraesCS4A01G252900</t>
  </si>
  <si>
    <t>aspartate family amino acid biosynthetic process</t>
  </si>
  <si>
    <t>TraesCS4A01G278000</t>
  </si>
  <si>
    <t>TraesCS7D01G418600;TraesCS1B01G127400;TraesCS4D01G093600;TraesCS3A01G346900;TraesCS5A01G084100;TraesCS7A01G248800;TraesCS2A01G507500;TraesCS2B01G535500;TraesCS4A01G140000;TraesCS4A01G429700;TraesCS5B01G152600;TraesCS7A01G414600;TraesCS7B01G327400;TraesCS6A01G023200;TraesCS6A01G344000;TraesCS2D01G507900;TraesCS1A01G235700;TraesCS7B01G019600;TraesCS4A01G252900;TraesCS1B01G142000;TraesCS6A01G233100;TraesCS2B01G175800;TraesCS6B01G031700;TraesCS6B01G031500;TraesCS4D01G210900;TraesCS2A01G113600;TraesCS4A01G086400;TraesCS4A01G218400;TraesCS2D01G155700;TraesCS6A01G311000;TraesCS2D01G545800;TraesCS7D01G476200;TraesCS6D01G026500;TraesCS4B01G070500;TraesCS7B01G314500;TraesCS7B01G191400;TraesCS1D01G312800;TraesCS3B01G378600;TraesCS5D01G159100;TraesCS3A01G266800;TraesCS6D01G026300;TraesCS1D01G105300;TraesCS5A01G153900;TraesCS2A01G507400;TraesCS3D01G340500;TraesCS2D01G393900;TraesCS2A01G378300;TraesCS2B01G535400;TraesCS1A01G096300;TraesCS6B01G392700;TraesCS4B01G097200;TraesCS1D01G420400;TraesCS6D01G260300;TraesCS7A01G427100;TraesCS6A01G023300;TraesCS2A01G501900;TraesCSU01G020600;TraesCS2B01G399700;TraesCS7D01G236600;TraesCS3B01G289500;TraesCS6B01G031300;TraesCS3B01G359400;TraesCS7A01G501400;TraesCS7D01G226300;TraesCS6B01G031600;TraesCS7D01G308500;TraesCS2B01G530000;TraesCS3D01G339300;TraesCS4D01G013600;TraesCS4D01G176100;TraesCS3A01G345200;TraesCS7A01G450500;TraesCS3A01G087400;TraesCS3D01G249000;TraesCS6D01G026600;TraesCS7D01G103100;TraesCS7D01G407700;TraesCS1A01G312000;TraesCS1D01G090800;TraesCS3D01G276600;TraesCS4B01G210100;TraesCS1A01G234600;TraesCS1A01G238600;TraesCS1B01G168500;TraesCS3A01G241100;TraesCS6A01G303200;TraesCS2A01G558300;TraesCS7B01G392900;TraesCS6D01G026400;TraesCS7A01G122100</t>
  </si>
  <si>
    <t>TraesCS4A01G297800</t>
  </si>
  <si>
    <t>TraesCS4A01G366000</t>
  </si>
  <si>
    <t>TraesCS4A01G423600</t>
  </si>
  <si>
    <t>chloroplast membrane</t>
  </si>
  <si>
    <t>TraesCS4A01G429700</t>
  </si>
  <si>
    <t>TraesCS4A01G474100</t>
  </si>
  <si>
    <t>anion transmembrane transport</t>
  </si>
  <si>
    <t>TraesCS4A01G484600</t>
  </si>
  <si>
    <t>plastid membrane</t>
  </si>
  <si>
    <t>TraesCS4B01G072200</t>
  </si>
  <si>
    <t>oxidoreductase activity, acting on the CH-NH group of donors</t>
  </si>
  <si>
    <t>TraesCS6A01G344000;TraesCS2A01G378300</t>
  </si>
  <si>
    <t>TraesCS4B01G072800</t>
  </si>
  <si>
    <t>TraesCS7D01G103100;TraesCS2B01G091500;TraesCS4D01G093600;TraesCS1A01G406300;TraesCS7A01G501400;TraesCS4B01G097200;TraesCS5D01G244900;TraesCS2D01G393900;TraesCS1B01G168500;TraesCS4A01G218400;TraesCS6B01G298500;TraesCS3D01G084900</t>
  </si>
  <si>
    <t>TraesCS4B01G097200</t>
  </si>
  <si>
    <t>transketolase activity</t>
  </si>
  <si>
    <t>TraesCS4B01G102500</t>
  </si>
  <si>
    <t>aspartate family amino acid catabolic process</t>
  </si>
  <si>
    <t>TraesCS4B01G185500</t>
  </si>
  <si>
    <t>C4-dicarboxylate transmembrane transporter activity</t>
  </si>
  <si>
    <t>TraesCS4B01G210100</t>
  </si>
  <si>
    <t>TraesCS4B01G245700</t>
  </si>
  <si>
    <t>TraesCS4D01G013600</t>
  </si>
  <si>
    <t>TraesCS4D01G093600;TraesCS4D01G104200;TraesCS7A01G248800;TraesCS7B01G050500;TraesCS5D01G369400;TraesCS2D01G393900;TraesCS7D01G206200;TraesCS7B01G088100;TraesCS4A01G429700;TraesCS4D01G125700;TraesCS2B01G145800;TraesCS2A01G123900;TraesCS6A01G023200;TraesCS6B01G392700;TraesCS4B01G097200;TraesCS5D01G074300;TraesCS6B01G362400;TraesCS6A01G023300;TraesCS4A01G203400;TraesCS4D01G356300;TraesCS4A01G004400;TraesCS7D01G308500;TraesCS5B01G414000;TraesCS2A01G113600;TraesCS4A01G218400;TraesCS3B01G336900;TraesCS7D01G103100;TraesCS2A01G338800;TraesCS3D01G354300;TraesCS7A01G147300;TraesCS7A01G183100;TraesCS1B01G168500;TraesCS3B01G213600;TraesCS3A01G408200;TraesCS2D01G126700;TraesCS5D01G413600</t>
  </si>
  <si>
    <t>TraesCS4D01G014300</t>
  </si>
  <si>
    <t>TraesCS7D01G418600;TraesCS7A01G427100;TraesCS4A01G429700;TraesCS7B01G327400</t>
  </si>
  <si>
    <t>TraesCS4D01G064500</t>
  </si>
  <si>
    <t>TraesCS7D01G418600;TraesCS1B01G127400;TraesCS4D01G093600;TraesCS3A01G346900;TraesCS5A01G084100;TraesCS7A01G248800;TraesCS2A01G507500;TraesCS2B01G535500;TraesCS4A01G140000;TraesCS5B01G152600;TraesCS7A01G414600;TraesCS7B01G327400;TraesCS6A01G023200;TraesCS6A01G344000;TraesCS2D01G507900;TraesCS1A01G235700;TraesCS7B01G019600;TraesCS4A01G252900;TraesCS1B01G142000;TraesCS6A01G233100;TraesCS2B01G175800;TraesCS6B01G031700;TraesCS6B01G031500;TraesCS4D01G210900;TraesCS2A01G113600;TraesCS4A01G086400;TraesCS4A01G218400;TraesCS2D01G155700;TraesCS6A01G311000;TraesCS2D01G545800;TraesCS7D01G476200;TraesCS6D01G026500;TraesCS4B01G070500;TraesCS7B01G314500;TraesCS7B01G191400;TraesCS1D01G312800;TraesCS3B01G378600;TraesCS5D01G159100;TraesCS3A01G266800;TraesCS6D01G026300;TraesCS1D01G105300;TraesCS5A01G153900;TraesCS2A01G507400;TraesCS3D01G340500;TraesCS2D01G393900;TraesCS2B01G535400;TraesCS1A01G096300;TraesCS6B01G392700;TraesCS4B01G097200;TraesCS1D01G420400;TraesCS6D01G260300;TraesCS7A01G427100;TraesCS6A01G023300;TraesCS2A01G501900;TraesCSU01G020600;TraesCS2B01G399700;TraesCS7D01G236600;TraesCS3B01G289500;TraesCS6B01G031300;TraesCS3B01G359400;TraesCS7A01G501400;TraesCS7D01G226300;TraesCS6B01G031600;TraesCS7D01G308500;TraesCS2B01G530000;TraesCS4D01G013600;TraesCS7A01G450500;TraesCS3A01G087400;TraesCS3D01G249000;TraesCS6D01G026600;TraesCS7D01G103100;TraesCS7D01G407700;TraesCS1A01G312000;TraesCS1D01G090800;TraesCS3D01G276600;TraesCS4B01G210100;TraesCS1A01G234600;TraesCS1A01G238600;TraesCS1B01G168500;TraesCS3A01G241100;TraesCS6A01G303200;TraesCS2A01G558300;TraesCS7B01G392900;TraesCS6D01G026400;TraesCS7A01G122100</t>
  </si>
  <si>
    <t>TraesCS6A01G344000;TraesCS7A01G211200;TraesCS7D01G308500;TraesCS3D01G339300;TraesCS5A01G153900;TraesCS5D01G159100;TraesCS7B01G118200;TraesCS1B01G142000;TraesCS3A01G345200;TraesCS5B01G152600</t>
  </si>
  <si>
    <t>TraesCS4D01G104200</t>
  </si>
  <si>
    <t>small molecule catabolic process</t>
  </si>
  <si>
    <t>TraesCS6A01G344000;TraesCS6B01G392700;TraesCS7B01G019600;TraesCS5B01G152600;TraesCS3A01G087400</t>
  </si>
  <si>
    <t>TraesCS4D01G176100</t>
  </si>
  <si>
    <t>TraesCS2A01G123900;TraesCS5D01G250700;TraesCS7D01G243000;TraesCS3D01G188000;TraesCSU01G096900;TraesCS3B01G213600;TraesCS7A01G244400;TraesCS2D01G392200;TraesCS5B01G242000;TraesCS2D01G126700;TraesCS2B01G145800</t>
  </si>
  <si>
    <t>TraesCS4D01G210900</t>
  </si>
  <si>
    <t>purine nucleoside catabolic process</t>
  </si>
  <si>
    <t>TraesCS4D01G213400</t>
  </si>
  <si>
    <t>purine ribonucleoside catabolic process</t>
  </si>
  <si>
    <t>TraesCS4D01G280800</t>
  </si>
  <si>
    <t>TraesCS4D01G334800</t>
  </si>
  <si>
    <t>TraesCS7A01G248800</t>
  </si>
  <si>
    <t>TraesCS4D01G356300</t>
  </si>
  <si>
    <t>organic acid catabolic process</t>
  </si>
  <si>
    <t>TraesCS6A01G344000;TraesCS6B01G392700;TraesCS7B01G019600;TraesCS5B01G152600</t>
  </si>
  <si>
    <t>carboxylic acid catabolic process</t>
  </si>
  <si>
    <t>TraesCS5A01G084100</t>
  </si>
  <si>
    <t>dicarboxylic acid transmembrane transporter activity</t>
  </si>
  <si>
    <t>TraesCS5A01G103500</t>
  </si>
  <si>
    <t>protein serine/threonine phosphatase activity</t>
  </si>
  <si>
    <t>TraesCS4B01G210100;TraesCS4D01G210900;TraesCS3D01G249000</t>
  </si>
  <si>
    <t>TraesCS5A01G153900</t>
  </si>
  <si>
    <t>TraesCS5A01G159900</t>
  </si>
  <si>
    <t>nuclease activity</t>
  </si>
  <si>
    <t>TraesCS5A01G166100</t>
  </si>
  <si>
    <t>TraesCS7D01G306300;TraesCS7D01G243000;TraesCS2A01G377400;TraesCS7A01G244400;TraesCS7B01G088100;TraesCS4D01G125700;TraesCS2B01G145800;TraesCS2A01G123900;TraesCS6B01G362400;TraesCS3D01G188000;TraesCSU01G096900;TraesCS7A01G183100;TraesCS3B01G213600;TraesCS2D01G126700</t>
  </si>
  <si>
    <t>TraesCS5A01G212800</t>
  </si>
  <si>
    <t>cellular amino acid catabolic process</t>
  </si>
  <si>
    <t>TraesCS6A01G344000;TraesCS7B01G019600;TraesCS5B01G152600</t>
  </si>
  <si>
    <t>TraesCS5A01G315700</t>
  </si>
  <si>
    <t>catabolic process</t>
  </si>
  <si>
    <t>TraesCS5A01G409600</t>
  </si>
  <si>
    <t>TraesCS7D01G418600;TraesCS5A01G315700;TraesCS7A01G427100;TraesCS7B01G327400</t>
  </si>
  <si>
    <t>TraesCS5A01G478800</t>
  </si>
  <si>
    <t>nucleobase-containing small molecule catabolic process</t>
  </si>
  <si>
    <t>TraesCS5A01G531300</t>
  </si>
  <si>
    <t>glycosyl compound catabolic process</t>
  </si>
  <si>
    <t>nucleoside catabolic process</t>
  </si>
  <si>
    <t>ribonucleoside catabolic process</t>
  </si>
  <si>
    <t>TraesCS5B01G135000</t>
  </si>
  <si>
    <t>TraesCS5B01G152600</t>
  </si>
  <si>
    <t>organic acid transport</t>
  </si>
  <si>
    <t>TraesCS5B01G157600</t>
  </si>
  <si>
    <t>carboxylic acid transport</t>
  </si>
  <si>
    <t>TraesCS5B01G160400</t>
  </si>
  <si>
    <t>alpha-galactosidase activity</t>
  </si>
  <si>
    <t>TraesCS5B01G163500</t>
  </si>
  <si>
    <t>raffinose alpha-galactosidase activity</t>
  </si>
  <si>
    <t>TraesCS5B01G242000</t>
  </si>
  <si>
    <t>nucleoside bisphosphate metabolic process</t>
  </si>
  <si>
    <t>TraesCS6A01G344000;TraesCS7A01G248800</t>
  </si>
  <si>
    <t>TraesCS5B01G414000</t>
  </si>
  <si>
    <t>ribonucleoside bisphosphate metabolic process</t>
  </si>
  <si>
    <t>TraesCS5B01G491800</t>
  </si>
  <si>
    <t>purine nucleoside bisphosphate metabolic process</t>
  </si>
  <si>
    <t>TraesCS5B01G566100</t>
  </si>
  <si>
    <t>TraesCS5D01G017500</t>
  </si>
  <si>
    <t>thiosulfate sulfurtransferase activity</t>
  </si>
  <si>
    <t>photoperiodism, flowering</t>
  </si>
  <si>
    <t>TraesCS5D01G111700</t>
  </si>
  <si>
    <t>TraesCS5D01G159100</t>
  </si>
  <si>
    <t>response to absence of light</t>
  </si>
  <si>
    <t>TraesCS5D01G165000</t>
  </si>
  <si>
    <t>cellular hormone metabolic process</t>
  </si>
  <si>
    <t>TraesCS7B01G019600;TraesCS2A01G378300</t>
  </si>
  <si>
    <t>TraesCS5D01G170700</t>
  </si>
  <si>
    <t>photoperiodism</t>
  </si>
  <si>
    <t>TraesCS5D01G250700</t>
  </si>
  <si>
    <t>signal transduction</t>
  </si>
  <si>
    <t>TraesCS2B01G175800;TraesCS1A01G444100;TraesCS5A01G315700;TraesCS1A01G312000;TraesCS3D01G276600;TraesCS1B01G478600;TraesCS5D01G321800;TraesCS2D01G155700;TraesCS1D01G452100</t>
  </si>
  <si>
    <t>TraesCS5D01G321800</t>
  </si>
  <si>
    <t>TraesCS7D01G418600;TraesCS7A01G427100;TraesCS7A01G450500;TraesCS7B01G327400</t>
  </si>
  <si>
    <t>TraesCS5D01G333300</t>
  </si>
  <si>
    <t>cell plate</t>
  </si>
  <si>
    <t>TraesCS5D01G369400</t>
  </si>
  <si>
    <t>TraesCS5D01G413600</t>
  </si>
  <si>
    <t>response to abiotic stimulus</t>
  </si>
  <si>
    <t>TraesCS2A01G130200;TraesCS6D01G333000;TraesCS1A01G312000;TraesCS2D01G132200;TraesCS6D01G333200;TraesCS7D01G549900;TraesCS6B01G383600;TraesCS5B01G152600</t>
  </si>
  <si>
    <t>TraesCS5D01G419200</t>
  </si>
  <si>
    <t>TraesCS5D01G530800</t>
  </si>
  <si>
    <t>DNA metabolic process</t>
  </si>
  <si>
    <t>TraesCS7D01G476200;TraesCS2D01G507900;TraesCS7D01G308500;TraesCS2A01G507400;TraesCS2A01G507500;TraesCS2B01G535500;TraesCS2B01G535400;TraesCS7B01G392900</t>
  </si>
  <si>
    <t>TraesCS6A01G023200</t>
  </si>
  <si>
    <t>TraesCS6A01G233100</t>
  </si>
  <si>
    <t>TraesCS6A01G262600</t>
  </si>
  <si>
    <t>TraesCS6A01G286400</t>
  </si>
  <si>
    <t>TraesCS6A01G311000</t>
  </si>
  <si>
    <t>TraesCS6A01G315700</t>
  </si>
  <si>
    <t>TraesCS6A01G320700</t>
  </si>
  <si>
    <t>TraesCS6B01G031600</t>
  </si>
  <si>
    <t>TraesCS6B01G031700</t>
  </si>
  <si>
    <t>TraesCS6B01G128300</t>
  </si>
  <si>
    <t>TraesCS6B01G185500</t>
  </si>
  <si>
    <t>TraesCS6B01G244900</t>
  </si>
  <si>
    <t>TraesCS6B01G288500</t>
  </si>
  <si>
    <t>TraesCS6B01G291400</t>
  </si>
  <si>
    <t>TraesCS6B01G296400</t>
  </si>
  <si>
    <t>TraesCS6B01G298500</t>
  </si>
  <si>
    <t>TraesCS6B01G362400</t>
  </si>
  <si>
    <t>TraesCS6B01G364000</t>
  </si>
  <si>
    <t>TraesCS6B01G392700</t>
  </si>
  <si>
    <t>TraesCS6B01G406300</t>
  </si>
  <si>
    <t>TraesCS6B01G449400</t>
  </si>
  <si>
    <t>TraesCS6D01G026400</t>
  </si>
  <si>
    <t>TraesCS6D01G026500</t>
  </si>
  <si>
    <t>TraesCS6D01G026600</t>
  </si>
  <si>
    <t>TraesCS6D01G241200</t>
  </si>
  <si>
    <t>TraesCS6D01G260300</t>
  </si>
  <si>
    <t>TraesCS6D01G267100</t>
  </si>
  <si>
    <t>TraesCS6D01G305200</t>
  </si>
  <si>
    <t>TraesCS6D01G333000</t>
  </si>
  <si>
    <t>TraesCS6D01G370000</t>
  </si>
  <si>
    <t>TraesCS7A01G122100</t>
  </si>
  <si>
    <t>TraesCS7A01G127700</t>
  </si>
  <si>
    <t>TraesCS7A01G147300</t>
  </si>
  <si>
    <t>TraesCS7A01G183100</t>
  </si>
  <si>
    <t>TraesCS7A01G202900</t>
  </si>
  <si>
    <t>TraesCS7A01G211200</t>
  </si>
  <si>
    <t>TraesCS7A01G221800</t>
  </si>
  <si>
    <t>TraesCS7A01G307300</t>
  </si>
  <si>
    <t>TraesCS7A01G319900</t>
  </si>
  <si>
    <t>TraesCS7A01G414600</t>
  </si>
  <si>
    <t>TraesCS7A01G427100</t>
  </si>
  <si>
    <t>TraesCS7A01G450500</t>
  </si>
  <si>
    <t>TraesCS7A01G501400</t>
  </si>
  <si>
    <t>TraesCS7B01G020800</t>
  </si>
  <si>
    <t>TraesCS7B01G027600</t>
  </si>
  <si>
    <t>TraesCS7B01G050500</t>
  </si>
  <si>
    <t>TraesCS7B01G088100</t>
  </si>
  <si>
    <t>TraesCS7B01G128900</t>
  </si>
  <si>
    <t>TraesCS7B01G191400</t>
  </si>
  <si>
    <t>TraesCS7B01G203800</t>
  </si>
  <si>
    <t>TraesCS7B01G314500</t>
  </si>
  <si>
    <t>TraesCS7B01G315200</t>
  </si>
  <si>
    <t>TraesCS7B01G327400</t>
  </si>
  <si>
    <t>TraesCS7B01G366900</t>
  </si>
  <si>
    <t>TraesCS7B01G392900</t>
  </si>
  <si>
    <t>TraesCS7D01G010100</t>
  </si>
  <si>
    <t>TraesCS7D01G047600</t>
  </si>
  <si>
    <t>TraesCS7D01G103100</t>
  </si>
  <si>
    <t>TraesCS7D01G126300</t>
  </si>
  <si>
    <t>TraesCS7D01G206200</t>
  </si>
  <si>
    <t>TraesCS7D01G220600</t>
  </si>
  <si>
    <t>TraesCS7D01G226300</t>
  </si>
  <si>
    <t>TraesCS7D01G236600</t>
  </si>
  <si>
    <t>TraesCS7D01G243000</t>
  </si>
  <si>
    <t>TraesCS7D01G269400</t>
  </si>
  <si>
    <t>TraesCS7D01G295400</t>
  </si>
  <si>
    <t>TraesCS7D01G304100</t>
  </si>
  <si>
    <t>TraesCS7D01G306300</t>
  </si>
  <si>
    <t>TraesCS7D01G308500</t>
  </si>
  <si>
    <t>TraesCS7D01G316500</t>
  </si>
  <si>
    <t>TraesCS7D01G388100</t>
  </si>
  <si>
    <t>TraesCS7D01G407700</t>
  </si>
  <si>
    <t>TraesCS7D01G408400</t>
  </si>
  <si>
    <t>TraesCS7D01G476200</t>
  </si>
  <si>
    <t>TraesCS7D01G523500</t>
  </si>
  <si>
    <t>TraesCS7D01G549900</t>
  </si>
  <si>
    <t>TraesCSU01G020600</t>
  </si>
  <si>
    <t>TraesCSU01G053800</t>
  </si>
  <si>
    <t>TraesCSU01G096900</t>
  </si>
  <si>
    <t>TraesCSU01G120900</t>
  </si>
  <si>
    <t>Fg_down &amp; ABA+Fg_vs_Fg_up</t>
  </si>
  <si>
    <t>Gene list (572)</t>
  </si>
  <si>
    <t>TraesCS1A01G084500</t>
  </si>
  <si>
    <t>TraesCS1A01G085300</t>
  </si>
  <si>
    <t>TraesCS1A01G117500</t>
  </si>
  <si>
    <t>TraesCS1A01G150800</t>
  </si>
  <si>
    <t>TraesCS1A01G150900</t>
  </si>
  <si>
    <t>TraesCS6B01G031700;TraesCS6B01G031500;TraesCS6B01G031600;TraesCS7D01G010000;TraesCS4A01G484800;TraesCS6A01G023200;TraesCS6D01G026600;TraesCS6A01G023100;TraesCS6D01G026500;TraesCS2D01G382600;TraesCS6D01G026400;TraesCS6B01G031300;TraesCS6D01G026300</t>
  </si>
  <si>
    <t>TraesCS6B01G031700;TraesCS6B01G031500;TraesCS6B01G031600;TraesCS7D01G010000;TraesCS4A01G484800;TraesCS7A01G450500;TraesCS6A01G023200;TraesCS6D01G026600;TraesCS6A01G023100;TraesCS6D01G026500;TraesCS2D01G382600;TraesCS6D01G026400;TraesCS6B01G031300;TraesCS6D01G026300</t>
  </si>
  <si>
    <t>TraesCS4A01G045800;TraesCS7D01G418600;TraesCS6B01G332900;TraesCS7D01G418900;TraesCS4D01G259100;TraesCS4D01G125100;TraesCS6D01G282800;TraesCS1B01G249000;TraesCS2B01G516700;TraesCS2D01G489200;TraesCS7B01G327400;TraesCS6A01G023200;TraesCS1D01G101900;TraesCS6A01G023100;TraesCS7A01G427100;TraesCS4A01G188300;TraesCS4B01G259400;TraesCS7A01G427000;TraesCS1D01G237500;TraesCS2A01G488900;TraesCS7B01G256000;TraesCS3A01G093500;TraesCS6B01G031300;TraesCS4A01G172000;TraesCS6B01G031700;TraesCS1D01G267600;TraesCS6B01G031500;TraesCS6B01G031600;TraesCS7B01G326900;TraesCS7D01G010000;TraesCS4A01G484800;TraesCS7A01G450500;TraesCS6D01G026600;TraesCS6D01G026500;TraesCS1A01G234600;TraesCS7A01G426900;TraesCS7D01G419100;TraesCS2D01G382600;TraesCS6A01G303200;TraesCS7A01G426600;TraesCS6D01G026400;TraesCS1D01G232700;TraesCS6D01G026300</t>
  </si>
  <si>
    <t>TraesCS4A01G045800;TraesCS7D01G418600;TraesCS6B01G332900;TraesCS7D01G418900;TraesCS4D01G259100;TraesCS4D01G125100;TraesCS6D01G282800;TraesCS1B01G249000;TraesCS2B01G516700;TraesCS2D01G489200;TraesCS7B01G327400;TraesCS5D01G353600;TraesCS6A01G023200;TraesCS1D01G101900;TraesCS6A01G023100;TraesCS7A01G427100;TraesCS4A01G188300;TraesCS4B01G259400;TraesCS7A01G427000;TraesCS1D01G237500;TraesCS2A01G488900;TraesCS7B01G256000;TraesCS3A01G093500;TraesCS6B01G031300;TraesCS4A01G172000;TraesCS6B01G031700;TraesCS1D01G267600;TraesCS6B01G031500;TraesCS6B01G031600;TraesCS7B01G326900;TraesCS7D01G010000;TraesCS4A01G484800;TraesCS7A01G450500;TraesCS6D01G026600;TraesCS6D01G026500;TraesCS1A01G234600;TraesCS5B01G561300;TraesCS7A01G426900;TraesCS7D01G419100;TraesCS2D01G382600;TraesCS6A01G303200;TraesCS7A01G426600;TraesCS6D01G026400;TraesCS1D01G232700;TraesCS6D01G026300</t>
  </si>
  <si>
    <t>TraesCS4A01G045800;TraesCS7D01G418600;TraesCS6B01G332900;TraesCS4D01G259100;TraesCS1B01G249000;TraesCS4A01G140000;TraesCS2B01G516700;TraesCS7B01G327400;TraesCS6A01G023200;TraesCS7D01G071200;TraesCS7A01G075600;TraesCS4A01G188300;TraesCS4B01G259400;TraesCS7A01G427000;TraesCS1B01G142000;TraesCS2A01G488900;TraesCS5B01G252100;TraesCS7B01G256000;TraesCS3A01G093500;TraesCS5D01G261000;TraesCS6B01G031700;TraesCS5A01G253200;TraesCS6B01G031500;TraesCS7D01G010000;TraesCS7A01G337000;TraesCS6D01G026500;TraesCS7D01G419100;TraesCS2D01G382600;TraesCS7A01G426600;TraesCS1D01G232700;TraesCS6D01G026300;TraesCS7D01G418900;TraesCS4D01G125100;TraesCS6D01G282800;TraesCS2D01G489200;TraesCS1D01G101900;TraesCS6A01G023100;TraesCS7A01G427100;TraesCS4D01G169800;TraesCS1D01G237500;TraesCS2D01G301000;TraesCS6B01G031300;TraesCS4A01G172000;TraesCS4B01G167500;TraesCS1D01G267600;TraesCS6B01G031600;TraesCS7B01G326900;TraesCS4A01G484800;TraesCS7A01G450500;TraesCS6D01G026600;TraesCS1A01G234600;TraesCS7A01G426900;TraesCS6A01G303200;TraesCS6D01G026400</t>
  </si>
  <si>
    <t>TraesCS5B01G261500;TraesCS2B01G141900;TraesCS5B01G261800;TraesCS5A01G263100;TraesCS7D01G243000;TraesCS3D01G188000;TraesCS2D01G123000;TraesCSU01G096900;TraesCS2A01G121000;TraesCS3B01G213600;TraesCS7A01G244400</t>
  </si>
  <si>
    <t>TraesCS1A01G267900</t>
  </si>
  <si>
    <t>TraesCS6D01G084300;TraesCS4A01G043400;TraesCS3A01G125300;TraesCS1D01G118600;TraesCS3A01G149900;TraesCS7A01G244400;TraesCS1A01G117500;TraesCS3B01G402200;TraesCS1B01G137300;TraesCS6A01G098500;TraesCS3B01G323500;TraesCS6B01G126400;TraesCS4D01G264100;TraesCS6A01G402000;TraesCS3D01G126600;TraesCS3A01G370300</t>
  </si>
  <si>
    <t>TraesCS1A01G279800</t>
  </si>
  <si>
    <t>TraesCS1D01G352600;TraesCS1B01G364200;TraesCS3B01G549000;TraesCS4D01G093600;TraesCS6B01G355900;TraesCS3B01G549200;TraesCS6B01G355700;TraesCS2A01G544800;TraesCS2B01G017200;TraesCS2B01G118100;TraesCS2B01G575200;TraesCS5D01G558400;TraesCS7A01G248800;TraesCS7D01G271100;TraesCS6A01G320700;TraesCS2B01G575600;TraesCSU01G084800;TraesCS1B01G286300;TraesCS4A01G429700;TraesCS1D01G096400;TraesCS3A01G365300;TraesCS1A01G150800;TraesCS6A01G344000;TraesCS1D01G426600;TraesCS5B01G235800;TraesCS5D01G244900;TraesCS7B01G118200;TraesCS1B01G274200;TraesCS2B01G395200;TraesCS6B01G406300;TraesCS3D01G345600;TraesCS4D01G042200;TraesCS1B01G262000;TraesCS1D01G263700;TraesCS6A01G185100;TraesCS1A01G263600;TraesCS4A01G218400;TraesCS7D01G375700;TraesCS7D01G247800;TraesCS3D01G358500;TraesCS3B01G383900;TraesCS5B01G232600;TraesCS6D01G305100;TraesCS3D01G310200;TraesCS5B01G402800;TraesCS6B01G296400;TraesCS6D01G284200;TraesCS6B01G298500;TraesCS5A01G044700;TraesCS5A01G531300;TraesCS5B01G566100;TraesCS4B01G009700;TraesCS2D01G393900;TraesCS6B01G309300;TraesCS2A01G378300;TraesCS3A01G321100;TraesCS5A01G094800;TraesCS6A01G325700;TraesCS1A01G150900;TraesCS2D01G331100;TraesCS2B01G414500;TraesCS2D01G037100;TraesCS4B01G097200;TraesCS6D01G260300;TraesCS7B01G168800;TraesCS3B01G344600;TraesCS3B01G044900;TraesCS2B01G091500;TraesCS7A01G501400;TraesCS7B01G408900;TraesCS1A01G349900;TraesCS2A01G006400;TraesCS7D01G488800;TraesCS4D01G176100;TraesCS3D01G084900;TraesCS4A01G269400;TraesCS1A01G234800;TraesCS4B01G044700;TraesCS6D01G305400;TraesCS1B01G168500;TraesCS6D01G305200;TraesCS2B01G058000;TraesCS3B01G397200;TraesCS5D01G228300</t>
  </si>
  <si>
    <t>TraesCS1A01G287000</t>
  </si>
  <si>
    <t>TraesCS1B01G137300;TraesCS6A01G098500;TraesCS3B01G323500;TraesCS6D01G084300;TraesCS4A01G043400;TraesCS6B01G126400;TraesCS3A01G125300;TraesCS4D01G264100;TraesCS6A01G402000;TraesCS1D01G118600;TraesCS3D01G126600;TraesCS1A01G117500</t>
  </si>
  <si>
    <t>TraesCS4B01G167500;TraesCS7D01G418600;TraesCS5A01G253200;TraesCS7D01G418900;TraesCS7B01G326900;TraesCS4A01G140000;TraesCS7B01G327400;TraesCS7A01G427100;TraesCS4D01G169800;TraesCS7A01G427000;TraesCS7A01G426900;TraesCS2D01G301000;TraesCS5B01G252100;TraesCS7D01G419100;TraesCS3A01G093500;TraesCS5D01G261000;TraesCS7A01G426600</t>
  </si>
  <si>
    <t>TraesCS1A01G349900</t>
  </si>
  <si>
    <t>TraesCS7D01G418600;TraesCS7D01G418900;TraesCS7B01G326900;TraesCS4A01G429700;TraesCS3A01G365300;TraesCS7B01G327400;TraesCS7A01G427100;TraesCS3D01G358500;TraesCS7A01G427000;TraesCS7A01G426900;TraesCS7D01G419100;TraesCS3A01G093500;TraesCS6D01G284200;TraesCS7A01G426600;TraesCS3B01G397200</t>
  </si>
  <si>
    <t>TraesCS5D01G353600;TraesCS5B01G561300;TraesCS1A01G234800;TraesCS3B01G344600;TraesCS2A01G378300;TraesCS2B01G395200;TraesCS3A01G321100;TraesCS3D01G310200</t>
  </si>
  <si>
    <t>TraesCS7D01G418600;TraesCS7D01G418900;TraesCS7B01G326900;TraesCS7A01G427100;TraesCS7A01G427000;TraesCS7A01G426900;TraesCS7D01G419100;TraesCS3A01G093500;TraesCS7A01G426600;TraesCS7B01G327400</t>
  </si>
  <si>
    <t>TraesCS1B01G105700</t>
  </si>
  <si>
    <t>TraesCS3B01G549000;TraesCS4D01G093600;TraesCS6B01G355900;TraesCS3B01G549200;TraesCS6B01G355700;TraesCS2A01G544800;TraesCS2B01G017200;TraesCS2B01G118100;TraesCS2B01G575200;TraesCS5D01G558400;TraesCS7A01G248800;TraesCS7D01G271100;TraesCS6A01G320700;TraesCS2B01G575600;TraesCSU01G084800;TraesCS1B01G286300;TraesCS4A01G429700;TraesCS1D01G096400;TraesCS3A01G365300;TraesCS1A01G150800;TraesCS6A01G344000;TraesCS1D01G426600;TraesCS5B01G235800;TraesCS5D01G244900;TraesCS7B01G118200;TraesCS1B01G274200;TraesCS2B01G395200;TraesCS6B01G406300;TraesCS3D01G345600;TraesCS1B01G262000;TraesCS1D01G263700;TraesCS6A01G185100;TraesCS1A01G263600;TraesCS4A01G218400;TraesCS7D01G375700;TraesCS7D01G247800;TraesCS3D01G358500;TraesCS3B01G383900;TraesCS5B01G232600;TraesCS6D01G305100;TraesCS3D01G310200;TraesCS5B01G402800;TraesCS6B01G296400;TraesCS6D01G284200;TraesCS6B01G298500;TraesCS5A01G531300;TraesCS5B01G566100;TraesCS4B01G009700;TraesCS2D01G393900;TraesCS6B01G309300;TraesCS2A01G378300;TraesCS3A01G321100;TraesCS6A01G325700;TraesCS1A01G150900;TraesCS2D01G331100;TraesCS2B01G414500;TraesCS2D01G037100;TraesCS4B01G097200;TraesCS6D01G260300;TraesCS7B01G168800;TraesCS3B01G344600;TraesCS3B01G044900;TraesCS2B01G091500;TraesCS7A01G501400;TraesCS7B01G408900;TraesCS2A01G006400;TraesCS7D01G488800;TraesCS3D01G084900;TraesCS1A01G234800;TraesCS6D01G305400;TraesCS1B01G168500;TraesCS6D01G305200;TraesCS2B01G058000;TraesCS3B01G397200;TraesCS5D01G228300</t>
  </si>
  <si>
    <t>TraesCS1B01G135700</t>
  </si>
  <si>
    <t>TraesCS5D01G353600;TraesCS5B01G561300;TraesCS1A01G234800;TraesCS7B01G019600;TraesCS3B01G344600;TraesCS2A01G378300;TraesCS2B01G395200;TraesCS3A01G321100;TraesCS3D01G310200</t>
  </si>
  <si>
    <t>TraesCS1B01G137300</t>
  </si>
  <si>
    <t>TraesCS4A01G043400;TraesCS7A01G244400;TraesCS1A01G117500;TraesCS5B01G261500;TraesCS3B01G323500;TraesCS5B01G261800;TraesCS5A01G263100;TraesCS4D01G264100;TraesCS2D01G123000;TraesCS2A01G121000;TraesCS3D01G126600;TraesCS4B01G217300;TraesCS3A01G370300;TraesCS1D01G322000;TraesCS6D01G084300;TraesCS3A01G125300;TraesCS7D01G243000;TraesCS1D01G118600;TraesCS7D01G184400;TraesCS1A01G267900;TraesCS2D01G392200;TraesCS5B01G242000;TraesCS1B01G137300;TraesCS6A01G098500;TraesCS2B01G141900;TraesCS6B01G126400;TraesCS6B01G059000;TraesCS3D01G188000;TraesCS6A01G402000;TraesCSU01G096900;TraesCS3B01G213600;TraesCS6D01G049600</t>
  </si>
  <si>
    <t>TraesCS1A01G234800;TraesCS3B01G344600;TraesCS2A01G378300;TraesCS2B01G395200;TraesCS3A01G321100;TraesCS3D01G310200</t>
  </si>
  <si>
    <t>TraesCS4D01G093600;TraesCS7A01G501400;TraesCS7B01G408900;TraesCS5A01G153900;TraesCS2D01G393900;TraesCS7D01G488800;TraesCS4A01G218400;TraesCS5B01G152600;TraesCS6D01G071600;TraesCS1A01G150800;TraesCS7D01G071200;TraesCS1A01G150900;TraesCS2B01G414500;TraesCS4B01G097200;TraesCS7A01G075600;TraesCS5D01G159100;TraesCS7B01G019600;TraesCS1B01G142000;TraesCS1B01G168500;TraesCS1D01G420900;TraesCS5D01G228300</t>
  </si>
  <si>
    <t>TraesCS6A01G344000;TraesCS1A01G234800;TraesCS3B01G344600;TraesCS2A01G378300;TraesCS2B01G395200;TraesCS3A01G321100;TraesCS3D01G310200</t>
  </si>
  <si>
    <t>TraesCS1B01G209700</t>
  </si>
  <si>
    <t>TraesCS1D01G352600;TraesCS1B01G364200;TraesCS4D01G093600;TraesCS2B01G017200;TraesCS7D01G271100;TraesCS4B01G009700;TraesCS2D01G393900;TraesCSU01G084800;TraesCS1B01G286300;TraesCS1A01G150800;TraesCS1A01G150900;TraesCS2D01G331100;TraesCS2B01G414500;TraesCS4B01G097200;TraesCS5D01G244900;TraesCS7B01G168800;TraesCS3B01G044900;TraesCS2B01G091500;TraesCS1A01G406300;TraesCS7A01G501400;TraesCS7B01G408900;TraesCS1A01G349900;TraesCS6A01G185100;TraesCS2A01G006400;TraesCS7D01G488800;TraesCS4A01G218400;TraesCS3D01G084900;TraesCS1B01G168500;TraesCS2B01G058000;TraesCS5B01G402800;TraesCS6B01G298500;TraesCS5D01G228300</t>
  </si>
  <si>
    <t>TraesCS4D01G093600;TraesCS7A01G501400;TraesCS7B01G408900;TraesCS2D01G393900;TraesCS7D01G488800;TraesCS4A01G218400;TraesCS6D01G071600;TraesCS1A01G150800;TraesCS1A01G150900;TraesCS2B01G414500;TraesCS4B01G097200;TraesCS1B01G168500;TraesCS1D01G420900;TraesCS5D01G228300</t>
  </si>
  <si>
    <t>TraesCS4D01G093600;TraesCS7A01G501400;TraesCS7B01G408900;TraesCS2D01G393900;TraesCS7D01G488800;TraesCS4A01G218400;TraesCS6D01G071600;TraesCS1A01G150800;TraesCS6B01G392700;TraesCS1A01G150900;TraesCS2B01G414500;TraesCS4B01G097200;TraesCS5B01G235800;TraesCS1B01G168500;TraesCS1D01G420900;TraesCS5D01G228300</t>
  </si>
  <si>
    <t>TraesCS1B01G262000</t>
  </si>
  <si>
    <t>TraesCS6A01G098500;TraesCS6D01G084300;TraesCS6B01G126400;TraesCS3A01G125300;TraesCS3D01G126600</t>
  </si>
  <si>
    <t>TraesCS4A01G045800;TraesCS7D01G418600;TraesCS5A01G315700;TraesCS6B01G332900;TraesCS3A01G346900;TraesCS4D01G259100;TraesCS5A01G084100;TraesCS1B01G249000;TraesCS2A01G507500;TraesCS4A01G085300;TraesCS2B01G535500;TraesCS2B01G516700;TraesCS7B01G327400;TraesCS6A01G023200;TraesCS3A01G329200;TraesCS2D01G507900;TraesCS1A01G235700;TraesCS4A01G188300;TraesCS4B01G259400;TraesCS7A01G427000;TraesCS2A01G488900;TraesCS7B01G256000;TraesCS2D01G362300;TraesCS3A01G093500;TraesCS1A01G250100;TraesCS2A01G130200;TraesCS6B01G031700;TraesCS2D01G132200;TraesCS4B01G062600;TraesCS6B01G031500;TraesCS3B01G193000;TraesCS4D01G210900;TraesCS7D01G010000;TraesCS7D01G417600;TraesCS6A01G311000;TraesCS7B01G305000;TraesCS6D01G026500;TraesCS3D01G249300;TraesCS4B01G070500;TraesCS5B01G561300;TraesCS2B01G382900;TraesCS7B01G191400;TraesCS3B01G378600;TraesCS7D01G419100;TraesCS2D01G382600;TraesCS7A01G426600;TraesCS1D01G232700;TraesCS6D01G026300;TraesCS7D01G418900;TraesCS3A01G151300;TraesCS3A01G287500;TraesCS4D01G125100;TraesCS6D01G282800;TraesCS7D01G269400;TraesCS2A01G507400;TraesCS3D01G340500;TraesCS2B01G535400;TraesCS2D01G489200;TraesCS5D01G353600;TraesCS1D01G101900;TraesCS6A01G023100;TraesCS3B01G096500;TraesCS7A01G427100;TraesCS1D01G237500;TraesCS4B01G217300;TraesCS4A01G006900;TraesCS7A01G423900;TraesCS2D01G513600;TraesCS6B01G031300;TraesCS4A01G172000;TraesCS1D01G267600;TraesCS3B01G359400;TraesCS7D01G226300;TraesCS6B01G031600;TraesCS7B01G326900;TraesCS7A01G113600;TraesCS4A01G484800;TraesCS7A01G268800;TraesCS7A01G450500;TraesCS4B01G077600;TraesCS3D01G249000;TraesCS6D01G026600;TraesCS4B01G210100;TraesCS1A01G234600;TraesCS3A01G249300;TraesCS1B01G443300;TraesCS7A01G426900;TraesCS1A01G238600;TraesCS6A01G303200;TraesCS5D01G321800;TraesCS6D01G026400</t>
  </si>
  <si>
    <t>TraesCS2D01G408700;TraesCS7A01G309600;TraesCS3D01G157800;TraesCS4A01G043400;TraesCS3A01G231500;TraesCS3A01G149900;TraesCS7A01G244400;TraesCS7B01G088100;TraesCS6B01G282100;TraesCS5B01G261500;TraesCS3B01G323500;TraesCS5B01G261800;TraesCS6B01G444100;TraesCS5A01G263100;TraesCS4D01G264100;TraesCS2D01G123000;TraesCS2A01G121000;TraesCS3D01G126600;TraesCS4A01G006900;TraesCS1D01G322000;TraesCS6D01G084300;TraesCS7D01G306300;TraesCS3A01G125300;TraesCS7D01G243000;TraesCS2A01G411200;TraesCS1A01G267900;TraesCS6A01G098500;TraesCS3B01G563200;TraesCS2B01G141900;TraesCS6B01G126400;TraesCS2B01G430000;TraesCS3D01G188000;TraesCS6A01G402000;TraesCSU01G096900;TraesCS7A01G183100;TraesCS3B01G213600</t>
  </si>
  <si>
    <t>anion transport</t>
  </si>
  <si>
    <t>TraesCS6D01G084300;TraesCS4A01G043400;TraesCS3A01G125300;TraesCS1D01G118600;TraesCS1A01G117500;TraesCS1B01G137300;TraesCS6A01G098500;TraesCS3B01G323500;TraesCS6B01G126400;TraesCS4D01G264100;TraesCS6A01G402000;TraesCS3D01G126600;TraesCS4B01G217300;TraesCS3A01G370300</t>
  </si>
  <si>
    <t>inorganic anion transport</t>
  </si>
  <si>
    <t>TraesCS6A01G098500;TraesCS3B01G323500;TraesCS6D01G084300;TraesCS4A01G043400;TraesCS6B01G126400;TraesCS3A01G125300;TraesCS4D01G264100;TraesCS6A01G402000;TraesCS3D01G126600</t>
  </si>
  <si>
    <t>TraesCS1B01G364200</t>
  </si>
  <si>
    <t>TraesCS7D01G418600;TraesCS5A01G253200;TraesCS7D01G418900;TraesCS7B01G326900;TraesCS7A01G337000;TraesCS7B01G327400;TraesCS7A01G427100;TraesCS7A01G427000;TraesCS7A01G426900;TraesCS2D01G301000;TraesCS5B01G252100;TraesCS7D01G419100;TraesCS3A01G093500;TraesCS5D01G261000;TraesCS7A01G426600</t>
  </si>
  <si>
    <t>TraesCS1B01G366500</t>
  </si>
  <si>
    <t>TraesCS1B01G443300</t>
  </si>
  <si>
    <t>TraesCS1D01G083100</t>
  </si>
  <si>
    <t>transferase activity, transferring nitrogenous groups</t>
  </si>
  <si>
    <t>TraesCS1B01G308900;TraesCS6A01G338600;TraesCS4A01G059800;TraesCS4B01G235400;TraesCS1D01G292100;TraesCS6D01G319300;TraesCS4D01G236800</t>
  </si>
  <si>
    <t>transaminase activity</t>
  </si>
  <si>
    <t>TraesCS1D01G101900</t>
  </si>
  <si>
    <t>TraesCS4D01G093600;TraesCS7A01G501400;TraesCS7B01G408900;TraesCS2B01G575200;TraesCS2D01G284100;TraesCS7A01G248800;TraesCS2D01G393900;TraesCS7D01G488800;TraesCS3D01G267000;TraesCS4A01G218400;TraesCS6D01G071600;TraesCS7D01G247800;TraesCS1A01G150800;TraesCS1A01G150900;TraesCS2D01G331100;TraesCS4B01G070500;TraesCS5A01G322100;TraesCS2B01G414500;TraesCS4B01G097200;TraesCS2B01G302400;TraesCS1B01G168500;TraesCS1D01G420900;TraesCS5D01G228300</t>
  </si>
  <si>
    <t>TraesCS1D01G117100</t>
  </si>
  <si>
    <t>TraesCS1D01G322000;TraesCS6D01G084300;TraesCS4A01G043400;TraesCS3A01G125300;TraesCS7B01G243000;TraesCS1D01G118600;TraesCS3A01G149900;TraesCS7A01G244400;TraesCS1A01G267900;TraesCS1A01G117500;TraesCS3B01G402200;TraesCS1B01G137300;TraesCS6A01G098500;TraesCS2B01G141900;TraesCS3B01G323500;TraesCS6B01G126400;TraesCS4D01G264100;TraesCS6A01G402000;TraesCS2D01G123000;TraesCS2A01G121000;TraesCS3D01G126600;TraesCS3A01G370300</t>
  </si>
  <si>
    <t>TraesCS1D01G118600</t>
  </si>
  <si>
    <t>TraesCS4B01G167500;TraesCS7D01G418600;TraesCS5A01G253200;TraesCS7D01G418900;TraesCS7B01G326900;TraesCS4A01G140000;TraesCS7A01G337000;TraesCS7B01G327400;TraesCS7A01G427100;TraesCS4D01G169800;TraesCS7A01G427000;TraesCS1B01G142000;TraesCS7A01G426900;TraesCS2D01G301000;TraesCS5B01G252100;TraesCS7D01G419100;TraesCS3A01G093500;TraesCS5D01G261000;TraesCS7A01G426600</t>
  </si>
  <si>
    <t>TraesCS1D01G123200</t>
  </si>
  <si>
    <t>TraesCS7D01G243000;TraesCS7D01G184400;TraesCS7A01G244400;TraesCS1A01G267900;TraesCS2D01G392200;TraesCS5B01G242000;TraesCS5B01G261500;TraesCS2B01G141900;TraesCS5B01G261800;TraesCS5A01G263100;TraesCS6B01G059000;TraesCS3D01G188000;TraesCS2D01G123000;TraesCSU01G096900;TraesCS2A01G121000;TraesCS3B01G213600;TraesCS6D01G049600</t>
  </si>
  <si>
    <t>TraesCS7D01G418600;TraesCS7D01G418900;TraesCS7B01G326900;TraesCS7A01G427100;TraesCS7B01G243000;TraesCS7A01G427000;TraesCS7A01G426900;TraesCS7D01G419100;TraesCS3A01G093500;TraesCS7A01G426600;TraesCS7A01G450500;TraesCS7B01G327400</t>
  </si>
  <si>
    <t>TraesCS2A01G507400;TraesCS2A01G507500;TraesCS2B01G535500;TraesCS2B01G535400;TraesCS4A01G429700;TraesCS3A01G365300;TraesCS7D01G071200;TraesCS2D01G507900;TraesCS3D01G249300;TraesCS7A01G075600;TraesCS3A01G249300;TraesCS7B01G019600;TraesCS3D01G358500;TraesCS1B01G142000;TraesCS6D01G284200;TraesCS3B01G397200</t>
  </si>
  <si>
    <t>TraesCS4D01G093600;TraesCS7A01G501400;TraesCS7B01G408900;TraesCS5A01G153900;TraesCS2D01G393900;TraesCS7D01G488800;TraesCS4A01G218400;TraesCS5B01G152600;TraesCS6D01G071600;TraesCS1A01G150800;TraesCS6B01G392700;TraesCS7D01G071200;TraesCS1A01G150900;TraesCS2B01G414500;TraesCS4B01G097200;TraesCS5B01G235800;TraesCS7A01G075600;TraesCS5D01G159100;TraesCS7B01G019600;TraesCS1B01G142000;TraesCS1B01G168500;TraesCS1D01G420900;TraesCS5D01G228300</t>
  </si>
  <si>
    <t>TraesCS1D01G253900</t>
  </si>
  <si>
    <t>TraesCS5D01G353600;TraesCS2D01G331100;TraesCS5B01G561300;TraesCS1A01G234800;TraesCS7B01G019600;TraesCS3B01G344600;TraesCS2A01G378300;TraesCS2B01G395200;TraesCS3A01G321100;TraesCS3D01G310200</t>
  </si>
  <si>
    <t>TraesCS1D01G263700</t>
  </si>
  <si>
    <t>TraesCS1D01G267600</t>
  </si>
  <si>
    <t>TraesCS5D01G231300;TraesCS5D01G353600;TraesCS2D01G331100;TraesCS5B01G561300;TraesCS1A01G234800;TraesCS7B01G019600;TraesCS3B01G344600;TraesCS2A01G378300;TraesCS2B01G395200;TraesCS3A01G321100;TraesCS3D01G310200</t>
  </si>
  <si>
    <t>TraesCS1D01G279000</t>
  </si>
  <si>
    <t>TraesCS4D01G093600;TraesCS2B01G575200;TraesCS2D01G284100;TraesCS5A01G084100;TraesCS7A01G248800;TraesCS2D01G393900;TraesCS6B01G309300;TraesCS1A01G150800;TraesCS6B01G392700;TraesCS1A01G150900;TraesCS2D01G331100;TraesCS5A01G322100;TraesCS2B01G414500;TraesCS4B01G097200;TraesCS5B01G235800;TraesCS6D01G260300;TraesCS4B01G217300;TraesCS6A01G233100;TraesCS1D01G420900;TraesCS7A01G501400;TraesCS7B01G408900;TraesCS7A01G113600;TraesCS7D01G488800;TraesCS3D01G267000;TraesCS4A01G218400;TraesCS6A01G311000;TraesCS6D01G071600;TraesCS7D01G247800;TraesCS4B01G070500;TraesCS2B01G302400;TraesCS1B01G443300;TraesCS1B01G168500;TraesCS5D01G228300</t>
  </si>
  <si>
    <t>TraesCS1D01G322000</t>
  </si>
  <si>
    <t>TraesCS7D01G418600;TraesCS5A01G315700;TraesCS7D01G418900;TraesCS7B01G326900;TraesCS7A01G427100;TraesCS7A01G427000;TraesCS7A01G426900;TraesCS7D01G419100;TraesCS3A01G093500;TraesCS7A01G426600;TraesCS7B01G327400</t>
  </si>
  <si>
    <t>TraesCS1D01G352200</t>
  </si>
  <si>
    <t>TraesCS2D01G408700;TraesCS5D01G231300;TraesCS7A01G309600;TraesCS7B01G243000;TraesCS7A01G244400;TraesCS7B01G088100;TraesCS1A01G117500;TraesCS5B01G261800;TraesCS6B01G444100;TraesCS5A01G263100;TraesCS4D01G264100;TraesCS2D01G123000;TraesCS3D01G126600;TraesCSU01G057300;TraesCS3A01G370300;TraesCS1D01G322000;TraesCS6D01G084300;TraesCS7D01G306300;TraesCS7D01G243000;TraesCS2D01G583400;TraesCS5D01G419200;TraesCS3B01G441800;TraesCS1D01G118600;TraesCS2D01G392200;TraesCS5B01G242000;TraesCS6A01G098500;TraesCS2B01G430000;TraesCSU01G096900;TraesCS7A01G183100;TraesCS3B01G213600;TraesCS1A01G257400;TraesCS6D01G049600;TraesCS3D01G157800;TraesCS4A01G043400;TraesCS3A01G231500;TraesCS3A01G149900;TraesCS6B01G282100;TraesCS5B01G261500;TraesCS3B01G323500;TraesCS1D01G256700;TraesCS3B01G096500;TraesCS2A01G121000;TraesCS4B01G217300;TraesCS4A01G006900;TraesCSU01G057200;TraesCS4A01G004400;TraesCS5B01G414000;TraesCS3A01G125300;TraesCS7A01G381800;TraesCS2A01G411200;TraesCS7D01G184400;TraesCS1A01G267900;TraesCS1B01G137300;TraesCS3B01G563200;TraesCS2B01G141900;TraesCS5A01G409600;TraesCS6B01G126400;TraesCS3A01G304400;TraesCS6B01G059000;TraesCS3D01G188000;TraesCS6A01G402000;TraesCS6D01G009600</t>
  </si>
  <si>
    <t>TraesCS1D01G352600</t>
  </si>
  <si>
    <t>TraesCS1D01G369000</t>
  </si>
  <si>
    <t>TraesCS4D01G093600;TraesCS7A01G501400;TraesCS7B01G408900;TraesCS5A01G153900;TraesCS2D01G393900;TraesCS7D01G488800;TraesCS3A01G149900;TraesCS4A01G218400;TraesCS5B01G152600;TraesCS6D01G071600;TraesCS1A01G150800;TraesCS7D01G071200;TraesCS1A01G150900;TraesCS4A01G059800;TraesCS2B01G414500;TraesCS4B01G097200;TraesCS7A01G075600;TraesCS5D01G159100;TraesCS7B01G019600;TraesCS1B01G142000;TraesCS1B01G168500;TraesCS1D01G420900;TraesCS5D01G228300</t>
  </si>
  <si>
    <t>gamma-aminobutyric acid transmembrane transporter activity</t>
  </si>
  <si>
    <t>TraesCS3A01G370300;TraesCS3B01G402200</t>
  </si>
  <si>
    <t>channel inhibitor activity</t>
  </si>
  <si>
    <t>TraesCS6B01G024600;TraesCS6B01G024500</t>
  </si>
  <si>
    <t>TraesCS2A01G006400</t>
  </si>
  <si>
    <t>ion channel regulator activity</t>
  </si>
  <si>
    <t>ion channel inhibitor activity</t>
  </si>
  <si>
    <t>TraesCS2A01G121000</t>
  </si>
  <si>
    <t>TraesCS4D01G093600;TraesCS2D01G284100;TraesCS7A01G248800;TraesCS2D01G393900;TraesCS1A01G150800;TraesCS6B01G392700;TraesCS1A01G150900;TraesCS5A01G322100;TraesCS2B01G414500;TraesCS4B01G097200;TraesCS5B01G235800;TraesCS4B01G217300;TraesCS6A01G233100;TraesCS1D01G420900;TraesCS7A01G501400;TraesCS7B01G408900;TraesCS7D01G488800;TraesCS3D01G267000;TraesCS4A01G218400;TraesCS6D01G071600;TraesCS7D01G247800;TraesCS4B01G070500;TraesCS2B01G302400;TraesCS1B01G168500;TraesCS5D01G228300</t>
  </si>
  <si>
    <t>TraesCS4D01G093600;TraesCS2D01G284100;TraesCS5A01G153900;TraesCS2D01G393900;TraesCS3A01G149900;TraesCS5B01G152600;TraesCS1A01G150800;TraesCS7D01G071200;TraesCS1A01G150900;TraesCS2B01G414500;TraesCS4B01G097200;TraesCS7A01G075600;TraesCS7B01G019600;TraesCS1B01G142000;TraesCS1D01G420900;TraesCS7A01G501400;TraesCS7B01G408900;TraesCS3D01G339300;TraesCS7D01G488800;TraesCS4A01G218400;TraesCS6D01G071600;TraesCS4A01G059800;TraesCS5D01G159100;TraesCS2B01G302400;TraesCS1B01G168500;TraesCS5D01G228300</t>
  </si>
  <si>
    <t>TraesCS2A01G166900</t>
  </si>
  <si>
    <t>TraesCS2A01G177200</t>
  </si>
  <si>
    <t>TraesCS2A01G186700</t>
  </si>
  <si>
    <t>anion channel activity</t>
  </si>
  <si>
    <t>voltage-gated anion channel activity</t>
  </si>
  <si>
    <t>TraesCS2A01G285300</t>
  </si>
  <si>
    <t>inorganic anion exchanger activity</t>
  </si>
  <si>
    <t>TraesCS1B01G137300;TraesCS1D01G118600;TraesCS1A01G117500</t>
  </si>
  <si>
    <t>amine metabolic process</t>
  </si>
  <si>
    <t>TraesCS2A01G324200</t>
  </si>
  <si>
    <t>TraesCS5B01G261500;TraesCS2B01G141900;TraesCS5B01G261800;TraesCS5A01G263100;TraesCS7D01G243000;TraesCS3D01G188000;TraesCS2D01G123000;TraesCSU01G096900;TraesCS2A01G121000;TraesCS3B01G213600;TraesCS7A01G244400;TraesCS1A01G267900</t>
  </si>
  <si>
    <t>TraesCS2A01G363800</t>
  </si>
  <si>
    <t>TraesCS6A01G098500;TraesCS6D01G084300;TraesCS6B01G126400;TraesCS3A01G125300;TraesCS3D01G126600;TraesCS1A01G267900</t>
  </si>
  <si>
    <t>TraesCS2A01G387700</t>
  </si>
  <si>
    <t>TraesCS1B01G213800;TraesCS2D01G408700;TraesCS3D01G403300;TraesCS4D01G093600;TraesCS7A01G248800;TraesCS7B01G243000;TraesCS5D01G369400;TraesCS7D01G206200;TraesCS7B01G088100;TraesCS4A01G429700;TraesCS1A01G117500;TraesCS1A01G150800;TraesCS6A01G023200;TraesCS6B01G444100;TraesCS2B01G544300;TraesCS5D01G074300;TraesCS4D01G264100;TraesCS2D01G123000;TraesCS3D01G126600;TraesCS3A01G370300;TraesCS6D01G084300;TraesCS3B01G441800;TraesCS1D01G118600;TraesCS4B01G091500;TraesCS3B01G336800;TraesCS4A01G218400;TraesCS7D01G247800;TraesCS2B01G430000;TraesCS4B01G285500;TraesCS5D01G180000;TraesCS7A01G183100;TraesCS3B01G213600;TraesCS1D01G309800;TraesCS3A01G408200;TraesCS4D01G057400;TraesCS4A01G018400;TraesCS4A01G043400;TraesCS7B01G050500;TraesCS4B01G009700;TraesCS3A01G231500;TraesCS2D01G393900;TraesCS6B01G282100;TraesCS6A01G337400;TraesCS3B01G402200;TraesCS6A01G023100;TraesCS6B01G392700;TraesCS3B01G323500;TraesCS2B01G414500;TraesCS4B01G097200;TraesCS2A01G121000;TraesCS3B01G413100;TraesCS4A01G006900;TraesCS4A01G004400;TraesCS6A01G170700;TraesCS5B01G414000;TraesCS3A01G125300;TraesCS2A01G411200;TraesCS2D01G174500;TraesCS3B01G336900;TraesCS1B01G137300;TraesCS2B01G141900;TraesCS6A01G402000;TraesCS7A01G147300;TraesCS2A01G166900;TraesCS1B01G168500;TraesCS6D01G009600;TraesCS5D01G413600</t>
  </si>
  <si>
    <t>TraesCS2A01G393900</t>
  </si>
  <si>
    <t>TraesCS3D01G358500;TraesCS4A01G429700;TraesCS6B01G296400;TraesCS3A01G365300;TraesCS6D01G284200;TraesCS3B01G397200</t>
  </si>
  <si>
    <t>cytidine deaminase activity</t>
  </si>
  <si>
    <t>TraesCS3D01G249300;TraesCS3A01G249300</t>
  </si>
  <si>
    <t>cytidine metabolic process</t>
  </si>
  <si>
    <t>pyrimidine nucleoside catabolic process</t>
  </si>
  <si>
    <t>pyrimidine ribonucleoside catabolic process</t>
  </si>
  <si>
    <t>cytidine catabolic process</t>
  </si>
  <si>
    <t>cytidine deamination</t>
  </si>
  <si>
    <t>potassium ion homeostasis</t>
  </si>
  <si>
    <t>TraesCS2B01G141900;TraesCS2D01G123000;TraesCS2A01G121000</t>
  </si>
  <si>
    <t>TraesCS3D01G358500;TraesCS4A01G429700;TraesCS3A01G365300;TraesCS6D01G284200;TraesCS3B01G397200</t>
  </si>
  <si>
    <t>TraesCS2A01G586800</t>
  </si>
  <si>
    <t>regulation of biological quality</t>
  </si>
  <si>
    <t>TraesCS5D01G231300;TraesCS5A01G044700;TraesCS2B01G118100;TraesCS2A01G378300;TraesCS1A01G267900;TraesCS3A01G321100;TraesCS4D01G176100;TraesCS5A01G094800;TraesCS5D01G353600;TraesCS2B01G141900;TraesCS2D01G331100;TraesCS5B01G561300;TraesCS1A01G234800;TraesCS7B01G019600;TraesCS1B01G142000;TraesCS2D01G123000;TraesCS3B01G344600;TraesCS2A01G121000;TraesCS2B01G395200;TraesCS3D01G310200</t>
  </si>
  <si>
    <t>TraesCS6A01G098500;TraesCS6D01G084300;TraesCS7B01G314500;TraesCS3A01G125300;TraesCS3D01G126600;TraesCS7A01G414600</t>
  </si>
  <si>
    <t>TraesCS2B01G017200</t>
  </si>
  <si>
    <t>TraesCS1B01G213800;TraesCS5D01G231300;TraesCS7D01G418600;TraesCS7D01G418900;TraesCS4A01G043400;TraesCS7B01G326900;TraesCS7B01G243000;TraesCS6B01G117400;TraesCS7A01G450500;TraesCS3B01G402200;TraesCS7B01G327400;TraesCS2B01G141900;TraesCS4D01G264100;TraesCS7A01G427100;TraesCS7A01G427000;TraesCS2D01G123000;TraesCS7A01G426900;TraesCS7D01G419100;TraesCS2A01G121000;TraesCS3A01G093500;TraesCS7A01G426600;TraesCS3A01G370300;TraesCS5D01G413600</t>
  </si>
  <si>
    <t>TraesCS2B01G058000</t>
  </si>
  <si>
    <t>sodium:proton antiporter activity</t>
  </si>
  <si>
    <t>TraesCS2B01G119000</t>
  </si>
  <si>
    <t>TraesCS2B01G141900</t>
  </si>
  <si>
    <t>TraesCS4D01G093600;TraesCS5A01G153900;TraesCS2D01G393900;TraesCS3A01G149900;TraesCS5B01G152600;TraesCS4D01G236800;TraesCS1A01G150800;TraesCS6A01G344000;TraesCS6B01G392700;TraesCS7D01G071200;TraesCS1A01G150900;TraesCS2B01G414500;TraesCS4B01G097200;TraesCS5B01G235800;TraesCS7A01G075600;TraesCS7B01G019600;TraesCS1B01G142000;TraesCS1D01G420900;TraesCS7A01G387000;TraesCS6A01G338600;TraesCS7A01G501400;TraesCS7B01G408900;TraesCS7D01G488800;TraesCS4A01G218400;TraesCS6D01G071600;TraesCS4A01G059800;TraesCS4B01G235400;TraesCS2B01G545300;TraesCS6D01G319300;TraesCS5D01G159100;TraesCS1B01G168500;TraesCS5D01G228300</t>
  </si>
  <si>
    <t>TraesCS6A01G098500;TraesCS1D01G322000;TraesCS6D01G084300;TraesCS6B01G126400;TraesCS3A01G125300;TraesCS7B01G243000;TraesCS3D01G126600;TraesCS1A01G267900</t>
  </si>
  <si>
    <t>regulation of anion transport</t>
  </si>
  <si>
    <t>TraesCS6A01G098500;TraesCS6D01G084300;TraesCS3A01G125300;TraesCS3D01G126600</t>
  </si>
  <si>
    <t>TraesCS2B01G323500</t>
  </si>
  <si>
    <t>neurotransmitter transporter activity</t>
  </si>
  <si>
    <t>channel regulator activity</t>
  </si>
  <si>
    <t>TraesCS2B01G386900</t>
  </si>
  <si>
    <t>TraesCS4D01G093600;TraesCS2B01G118100;TraesCS2D01G284100;TraesCS7A01G248800;TraesCS4D01G125100;TraesCS5A01G153900;TraesCS2D01G393900;TraesCS3A01G149900;TraesCS5B01G152600;TraesCS4D01G236800;TraesCS1A01G150800;TraesCS6A01G344000;TraesCS6B01G392700;TraesCS7D01G071200;TraesCS1A01G150900;TraesCS2B01G414500;TraesCS4B01G097200;TraesCS5B01G235800;TraesCS7A01G075600;TraesCS7B01G019600;TraesCS4A01G188300;TraesCS1B01G142000;TraesCS1D01G420900;TraesCS7A01G387000;TraesCS6A01G338600;TraesCS7A01G501400;TraesCS7B01G408900;TraesCS3D01G339300;TraesCS7D01G488800;TraesCS4A01G218400;TraesCS4D01G176100;TraesCS6D01G071600;TraesCS7D01G247800;TraesCS7A01G537600;TraesCS3D01G249300;TraesCS4A01G059800;TraesCS4B01G235400;TraesCS2B01G545300;TraesCS6D01G319300;TraesCS3A01G249300;TraesCS5D01G159100;TraesCS2B01G302400;TraesCS1B01G168500;TraesCS5D01G228300</t>
  </si>
  <si>
    <t>TraesCS2B01G395200</t>
  </si>
  <si>
    <t>TraesCS2B01G414500</t>
  </si>
  <si>
    <t>TraesCS4A01G045800;TraesCS7D01G418600;TraesCS1B01G127400;TraesCS3A01G346900;TraesCS4D01G259100;TraesCS5A01G084100;TraesCS2B01G535500;TraesCS4A01G140000;TraesCS3A01G365300;TraesCS2B01G516700;TraesCS7A01G414600;TraesCS7B01G327400;TraesCS1A01G150800;TraesCS3A01G329200;TraesCS6A01G344000;TraesCS2D01G507900;TraesCS1A01G235700;TraesCS5B01G235800;TraesCS2D01G305300;TraesCS7B01G019600;TraesCS4A01G188300;TraesCS7A01G427000;TraesCS1B01G142000;TraesCS7B01G256000;TraesCS6A01G233100;TraesCS6B01G031700;TraesCS5A01G253200;TraesCS4B01G062600;TraesCS4D01G210900;TraesCS7D01G010000;TraesCS6B01G117400;TraesCS3D01G267000;TraesCS3D01G249300;TraesCS4A01G059800;TraesCS4B01G070500;TraesCS4B01G235400;TraesCS7B01G314500;TraesCS5B01G561300;TraesCS2B01G545300;TraesCS7B01G191400;TraesCS2B01G323500;TraesCS5D01G159100;TraesCS6D01G284200;TraesCS7A01G426600;TraesCS6D01G026300;TraesCS2D01G284100;TraesCS4D01G125100;TraesCS6D01G282800;TraesCS3D01G340500;TraesCS6B01G309300;TraesCS2B01G535400;TraesCS1A01G096300;TraesCS3A01G321100;TraesCS2D01G489200;TraesCS5D01G353600;TraesCS6A01G023100;TraesCS5A01G322100;TraesCSU01G097100;TraesCS2B01G414500;TraesCS4B01G097200;TraesCS4D01G169800;TraesCS2D01G301000;TraesCS7D01G527100;TraesCS4B01G217300;TraesCS7A01G423900;TraesCS7D01G236600;TraesCS4B01G167500;TraesCS1D01G267600;TraesCS6A01G338600;TraesCS7D01G226300;TraesCS6B01G031600;TraesCS7B01G408900;TraesCS7B01G326900;TraesCS2B01G119000;TraesCS7A01G113600;TraesCS2D01G174500;TraesCS4A01G484800;TraesCS4D01G176100;TraesCS4B01G077600;TraesCS6D01G071600;TraesCS6D01G026600;TraesCS4B01G210100;TraesCS1A01G234600;TraesCS1B01G443300;TraesCS7A01G426900;TraesCS2A01G166900;TraesCS5D01G231300;TraesCS4D01G093600;TraesCS6B01G332900;TraesCS2B01G193000;TraesCS2B01G118100;TraesCS2B01G575200;TraesCS7A01G248800;TraesCS1B01G249000;TraesCS2A01G507500;TraesCS4A01G429700;TraesCS5B01G152600;TraesCS6A01G023200;TraesCS7D01G071200;TraesCS7A01G075600;TraesCS4B01G259400;TraesCS2A01G488900;TraesCS5B01G252100;TraesCS1D01G420900;TraesCS2B01G395200;TraesCS3A01G093500;TraesCS5D01G261000;TraesCS2B01G175800;TraesCS6B01G031500;TraesCS7D01G417600;TraesCS4B01G091500;TraesCS7A01G337000;TraesCS4A01G218400;TraesCS2D01G155700;TraesCS6A01G311000;TraesCS7B01G305000;TraesCS7D01G247800;TraesCS6D01G026500;TraesCS6D01G319300;TraesCS3B01G378600;TraesCS3D01G358500;TraesCS7D01G419100;TraesCS3A01G314300;TraesCS2D01G382600;TraesCS3D01G310200;TraesCS1D01G232700;TraesCS7D01G418900;TraesCS2A01G324200;TraesCS5A01G153900;TraesCS2A01G507400;TraesCS2D01G393900;TraesCS2A01G378300;TraesCS3A01G149900;TraesCS4D01G236800;TraesCS1D01G101900;TraesCS6B01G392700;TraesCS1A01G150900;TraesCS2D01G331100;TraesCS2A01G272400;TraesCS6D01G260300;TraesCS7A01G427100;TraesCS7D01G129500;TraesCS1D01G237500;TraesCS3B01G344600;TraesCS4D01G276100;TraesCS2B01G399700;TraesCS2D01G513600;TraesCS7A01G387000;TraesCS6B01G031300;TraesCS4A01G172000;TraesCS3B01G359400;TraesCS7A01G501400;TraesCS3B01G470000;TraesCS3D01G339300;TraesCS2A01G306800;TraesCS7D01G488800;TraesCS6A01G376200;TraesCS7A01G450500;TraesCS3D01G249000;TraesCS3D01G276600;TraesCS1A01G234800;TraesCS3A01G249300;TraesCS2B01G302400;TraesCS2A01G577000;TraesCS1A01G238600;TraesCS1B01G168500;TraesCS6A01G303200;TraesCS7B01G392900;TraesCS3B01G397200;TraesCS6D01G026400;TraesCS5D01G228300;TraesCS7A01G122100</t>
  </si>
  <si>
    <t>TraesCS4B01G167500;TraesCS5A01G253200;TraesCS4D01G169800;TraesCS2D01G301000;TraesCS5B01G252100;TraesCS4A01G140000;TraesCS5D01G261000</t>
  </si>
  <si>
    <t>TraesCS7D01G071200;TraesCS2D01G507900;TraesCS3D01G249300;TraesCS7A01G075600;TraesCS3A01G249300;TraesCS1B01G142000;TraesCS2A01G507400;TraesCS2A01G507500;TraesCS2B01G535500;TraesCS2B01G535400</t>
  </si>
  <si>
    <t>TraesCS2B01G430000</t>
  </si>
  <si>
    <t>TraesCS6B01G355900;TraesCS2B01G017200;TraesCS5B01G566100;TraesCS7D01G271100;TraesCS4B01G009700;TraesCS6B01G309300;TraesCSU01G084800;TraesCS1B01G286300;TraesCS2D01G331100;TraesCS5B01G235800;TraesCS5D01G244900;TraesCS6D01G260300;TraesCS7B01G168800;TraesCS3B01G044900;TraesCS2B01G091500;TraesCS1B01G262000;TraesCS6A01G185100;TraesCS2A01G006400;TraesCS3D01G084900;TraesCS6D01G305400;TraesCS5B01G232600;TraesCS6D01G305100;TraesCS2B01G058000;TraesCS5B01G402800;TraesCS6B01G298500</t>
  </si>
  <si>
    <t>TraesCS2B01G474700</t>
  </si>
  <si>
    <t>regulation of pH</t>
  </si>
  <si>
    <t>TraesCS3B01G323500;TraesCS4A01G043400;TraesCS4D01G264100</t>
  </si>
  <si>
    <t>TraesCS4B01G167500;TraesCS7D01G418600;TraesCS5A01G253200;TraesCS7D01G418900;TraesCS7A01G492800;TraesCS7B01G326900;TraesCS4A01G140000;TraesCS2D01G374400;TraesCS7B01G327400;TraesCS7A01G427100;TraesCS4D01G169800;TraesCS7A01G427000;TraesCS7B01G424600;TraesCS7A01G426900;TraesCS2D01G301000;TraesCS5B01G252100;TraesCS7D01G419100;TraesCS3A01G093500;TraesCS5D01G261000;TraesCS7A01G426600;TraesCS3B01G137400;TraesCS3B01G158500</t>
  </si>
  <si>
    <t>sodium ion transmembrane transporter activity</t>
  </si>
  <si>
    <t>TraesCS2B01G544300</t>
  </si>
  <si>
    <t>monovalent inorganic cation homeostasis</t>
  </si>
  <si>
    <t>TraesCS2B01G545300</t>
  </si>
  <si>
    <t>TraesCS1B01G137300;TraesCS3B01G563200;TraesCS2B01G141900;TraesCS3B01G323500;TraesCS4A01G043400;TraesCS4D01G264100;TraesCS2D01G123000;TraesCS1D01G118600;TraesCS2A01G121000;TraesCS1A01G117500</t>
  </si>
  <si>
    <t>TraesCS2B01G575200</t>
  </si>
  <si>
    <t>xylem development</t>
  </si>
  <si>
    <t>TraesCS2B01G323500;TraesCS2D01G305300;TraesCS2A01G306800</t>
  </si>
  <si>
    <t>TraesCS2B01G575600</t>
  </si>
  <si>
    <t>TraesCS6A01G098500;TraesCS1D01G322000;TraesCS6D01G084300;TraesCS6B01G126400;TraesCS3A01G125300;TraesCS3D01G126600;TraesCS1A01G267900</t>
  </si>
  <si>
    <t>TraesCS2D01G035200</t>
  </si>
  <si>
    <t>TraesCS7A01G248800;TraesCS7D01G247800</t>
  </si>
  <si>
    <t>TraesCS2D01G037100</t>
  </si>
  <si>
    <t>TraesCS2D01G123000</t>
  </si>
  <si>
    <t>TraesCS4B01G167500;TraesCS4D01G169800;TraesCS4A01G140000</t>
  </si>
  <si>
    <t>TraesCS2D01G174500</t>
  </si>
  <si>
    <t>TraesCS7D01G071200;TraesCS2D01G507900;TraesCS3D01G249300;TraesCS7A01G075600;TraesCS3A01G249300;TraesCS7B01G019600;TraesCS1B01G142000;TraesCS2A01G507400;TraesCS2A01G507500;TraesCS2B01G535500;TraesCS2B01G535400</t>
  </si>
  <si>
    <t>TraesCS2D01G187700</t>
  </si>
  <si>
    <t>TraesCS2D01G250300</t>
  </si>
  <si>
    <t>TraesCS2D01G284100</t>
  </si>
  <si>
    <t>pyrimidine-containing compound catabolic process</t>
  </si>
  <si>
    <t>TraesCS6D01G170500;TraesCS6A01G184500</t>
  </si>
  <si>
    <t>TraesCS2D01G305300</t>
  </si>
  <si>
    <t>TraesCS2D01G331100</t>
  </si>
  <si>
    <t>TraesCS1D01G352600;TraesCS1B01G364200;TraesCS4D01G093600;TraesCS6B01G355900;TraesCS5B01G163500;TraesCS6B01G355700;TraesCS2B01G017200;TraesCS5A01G453900;TraesCS7A01G386800;TraesCS7D01G271100;TraesCS7B01G289600;TraesCS7D01G206200;TraesCSU01G084800;TraesCS1B01G286300;TraesCS7B01G088100;TraesCS4A01G429700;TraesCS1D01G096400;TraesCS2A01G586800;TraesCS3A01G365300;TraesCS1A01G150800;TraesCS7D01G071200;TraesCS5B01G235800;TraesCS5D01G244900;TraesCS6B01G211400;TraesCS7A01G075600;TraesCS7B01G118200;TraesCS3A01G107000;TraesCS7A01G257600;TraesCS6B01G406300;TraesCS4D01G042200;TraesCS4D01G210900;TraesCS7D01G417600;TraesCS6A01G185100;TraesCS2D01G392200;TraesCS4A01G218400;TraesCS2D01G432800;TraesCS5B01G242000;TraesCS2B01G251300;TraesCS3D01G249300;TraesCS6A01G286400;TraesCS3D01G358500;TraesCS7A01G183100;TraesCS5B01G232600;TraesCS6D01G305100;TraesCS6A01G404600;TraesCS5B01G402800;TraesCS6D01G284200;TraesCS7A01G202900;TraesCS6B01G298500;TraesCS6D01G049600;TraesCS6D01G387900;TraesCS5B01G566100;TraesCS4B01G009700;TraesCS2D01G393900;TraesCS2A01G437200;TraesCS4D01G064500;TraesCS5A01G166100;TraesCS2B01G456100;TraesCS1A01G150900;TraesCS2D01G331100;TraesCS2B01G414500;TraesCS4B01G097200;TraesCS3D01G483200;TraesCS7B01G168800;TraesCS4B01G217300;TraesCS3B01G044900;TraesCS7A01G423900;TraesCS2B01G091500;TraesCS1A01G406300;TraesCS7A01G501400;TraesCS7B01G408900;TraesCS1A01G349900;TraesCS2A01G006400;TraesCS7D01G184400;TraesCS7D01G488800;TraesCS6A01G376200;TraesCS3D01G084900;TraesCS3D01G249000;TraesCS7A01G537600;TraesCS4A01G269400;TraesCS4B01G210100;TraesCS6B01G059000;TraesCS3A01G249300;TraesCS4B01G044700;TraesCS7D01G388100;TraesCS1B01G168500;TraesCS2B01G058000;TraesCS3B01G397200;TraesCS6D01G267100;TraesCS5D01G170700;TraesCS5D01G228300</t>
  </si>
  <si>
    <t>TraesCS2D01G358500</t>
  </si>
  <si>
    <t>TraesCS1D01G267600;TraesCS6D01G282800;TraesCS6A01G303200</t>
  </si>
  <si>
    <t>TraesCS2D01G364500</t>
  </si>
  <si>
    <t>TraesCS2D01G374400</t>
  </si>
  <si>
    <t>transition metal ion binding</t>
  </si>
  <si>
    <t>TraesCS1D01G352600;TraesCS1B01G364200;TraesCS4D01G093600;TraesCS5B01G163500;TraesCS6B01G355700;TraesCS2B01G017200;TraesCS7A01G386800;TraesCS7D01G271100;TraesCS7B01G289600;TraesCSU01G084800;TraesCS1B01G286300;TraesCS4A01G429700;TraesCS2A01G586800;TraesCS3A01G365300;TraesCS1A01G150800;TraesCS5D01G244900;TraesCS6B01G211400;TraesCS3A01G107000;TraesCS7A01G257600;TraesCS6B01G406300;TraesCS4D01G042200;TraesCS6A01G185100;TraesCS4A01G218400;TraesCS2D01G432800;TraesCS2B01G251300;TraesCS3D01G249300;TraesCS6A01G286400;TraesCS3D01G358500;TraesCS5B01G402800;TraesCS6D01G284200;TraesCS6B01G298500;TraesCS4B01G009700;TraesCS2D01G393900;TraesCS2A01G437200;TraesCS4D01G064500;TraesCS5A01G166100;TraesCS2B01G456100;TraesCS1A01G150900;TraesCS2D01G331100;TraesCS2B01G414500;TraesCS4B01G097200;TraesCS7B01G168800;TraesCS3B01G044900;TraesCS2B01G091500;TraesCS1A01G406300;TraesCS7A01G501400;TraesCS7B01G408900;TraesCS1A01G349900;TraesCS2A01G006400;TraesCS7D01G488800;TraesCS3D01G084900;TraesCS7A01G537600;TraesCS4A01G269400;TraesCS3A01G249300;TraesCS4B01G044700;TraesCS7D01G388100;TraesCS1B01G168500;TraesCS2B01G058000;TraesCS3B01G397200;TraesCS6D01G267100;TraesCS5D01G170700;TraesCS5D01G228300</t>
  </si>
  <si>
    <t>TraesCS2D01G432800</t>
  </si>
  <si>
    <t>phenylpropanoid metabolic process</t>
  </si>
  <si>
    <t>TraesCS1D01G352600;TraesCS1B01G364200;TraesCS4D01G093600;TraesCS6B01G355900;TraesCS5B01G163500;TraesCS6B01G355700;TraesCS2B01G017200;TraesCS5A01G453900;TraesCS7A01G386800;TraesCS7D01G271100;TraesCS7B01G289600;TraesCS7D01G206200;TraesCSU01G084800;TraesCS1B01G286300;TraesCS7B01G088100;TraesCS4A01G429700;TraesCS1D01G096400;TraesCS2A01G586800;TraesCS3A01G365300;TraesCS1A01G150800;TraesCS7D01G071200;TraesCS5B01G235800;TraesCS5D01G244900;TraesCS6B01G211400;TraesCS7A01G075600;TraesCS7B01G118200;TraesCS3A01G107000;TraesCS7A01G257600;TraesCS6B01G406300;TraesCS4D01G042200;TraesCS7D01G417600;TraesCS6A01G185100;TraesCS2D01G392200;TraesCS4A01G218400;TraesCS2D01G432800;TraesCS5B01G242000;TraesCS2B01G251300;TraesCS3D01G249300;TraesCS6A01G286400;TraesCS3D01G358500;TraesCS7A01G183100;TraesCS5B01G232600;TraesCS6D01G305100;TraesCS6A01G404600;TraesCS5B01G402800;TraesCS6D01G284200;TraesCS7A01G202900;TraesCS6B01G298500;TraesCS6D01G049600;TraesCS6D01G387900;TraesCS5B01G566100;TraesCS4B01G009700;TraesCS2D01G393900;TraesCS2A01G437200;TraesCS4D01G064500;TraesCS5A01G166100;TraesCS2B01G456100;TraesCS1A01G150900;TraesCS2D01G331100;TraesCS2B01G414500;TraesCS4B01G097200;TraesCS3D01G483200;TraesCS7B01G168800;TraesCS4B01G217300;TraesCS3B01G044900;TraesCS7A01G423900;TraesCS2B01G091500;TraesCS1A01G406300;TraesCS7A01G501400;TraesCS7B01G408900;TraesCS1A01G349900;TraesCS2A01G006400;TraesCS7D01G184400;TraesCS7D01G488800;TraesCS6A01G376200;TraesCS3D01G084900;TraesCS7A01G537600;TraesCS4A01G269400;TraesCS4B01G210100;TraesCS6B01G059000;TraesCS3A01G249300;TraesCS4B01G044700;TraesCS7D01G388100;TraesCS1B01G168500;TraesCS2B01G058000;TraesCS3B01G397200;TraesCS6D01G267100;TraesCS5D01G170700;TraesCS5D01G228300</t>
  </si>
  <si>
    <t>TraesCS6D01G282800;TraesCS6A01G303200</t>
  </si>
  <si>
    <t>TraesCS2D01G513600</t>
  </si>
  <si>
    <t>TraesCS2D01G517300</t>
  </si>
  <si>
    <t>UDP-N-acetylmuramate dehydrogenase activity</t>
  </si>
  <si>
    <t>TraesCS1A01G234800;TraesCS2A01G378300;TraesCS2B01G395200</t>
  </si>
  <si>
    <t>TraesCS2D01G539300</t>
  </si>
  <si>
    <t>TraesCS5A01G253200;TraesCS2D01G301000;TraesCS5B01G252100;TraesCS5D01G261000</t>
  </si>
  <si>
    <t>TraesCS2D01G583400</t>
  </si>
  <si>
    <t>polyprenol biosynthetic process</t>
  </si>
  <si>
    <t>TraesCS2D01G284100;TraesCS2B01G302400</t>
  </si>
  <si>
    <t>dolichol biosynthetic process</t>
  </si>
  <si>
    <t>oxidoreductase activity, acting on CH-OH group of donors</t>
  </si>
  <si>
    <t>TraesCS1D01G426600;TraesCS2D01G037100;TraesCS7A01G248800;TraesCS1A01G234800;TraesCS3B01G344600;TraesCS2A01G378300;TraesCS2B01G395200;TraesCS3A01G321100;TraesCS3D01G310200;TraesCS7D01G247800</t>
  </si>
  <si>
    <t>pathogenesis</t>
  </si>
  <si>
    <t>TraesCS3A01G093500</t>
  </si>
  <si>
    <t>TraesCS1D01G352600;TraesCS2B01G151800;TraesCS1B01G364200;TraesCS3B01G549000;TraesCS2A01G177200;TraesCS3B01G549200;TraesCS2B01G017200;TraesCS7A01G248800;TraesCS7D01G271100;TraesCS4B01G009700;TraesCSU01G084800;TraesCS2A01G378300;TraesCS1B01G286300;TraesCS3A01G321100;TraesCS1D01G096400;TraesCS1B01G308900;TraesCS2D01G331100;TraesCS1D01G426600;TraesCS2D01G037100;TraesCS5D01G244900;TraesCS7B01G118200;TraesCS7B01G168800;TraesCS3B01G344600;TraesCS2B01G395200;TraesCS3B01G044900;TraesCS7A01G387000;TraesCS2B01G091500;TraesCS1A01G406300;TraesCS6A01G338600;TraesCS1D01G292100;TraesCS1A01G349900;TraesCS6A01G185100;TraesCS2A01G006400;TraesCS3D01G084900;TraesCS7D01G247800;TraesCS2B01G545300;TraesCS6D01G319300;TraesCS1A01G234800;TraesCS2B01G058000;TraesCS3D01G310200;TraesCS5B01G402800;TraesCS6B01G298500</t>
  </si>
  <si>
    <t>TraesCS4B01G167500;TraesCS7D01G418600;TraesCS5A01G253200;TraesCS7D01G418900;TraesCS7A01G492800;TraesCS7B01G326900;TraesCS4A01G140000;TraesCS2D01G374400;TraesCS7B01G327400;TraesCS7A01G177400;TraesCS7A01G427100;TraesCS4D01G169800;TraesCS7A01G427000;TraesCS7B01G424600;TraesCS7A01G426900;TraesCS2D01G301000;TraesCS5B01G252100;TraesCS7D01G419100;TraesCS3A01G093500;TraesCS5D01G261000;TraesCS7A01G426600;TraesCS3B01G137400;TraesCS3B01G158500</t>
  </si>
  <si>
    <t>TraesCS3A01G125300</t>
  </si>
  <si>
    <t>oxidoreductase activity, acting on paired donors, with incorporation or reduction of molecular oxygen, 2-oxoglutarate as one donor, and incorporation of one atom each of oxygen into both donors</t>
  </si>
  <si>
    <t>TraesCS6B01G355900;TraesCS5B01G566100;TraesCS1B01G262000;TraesCS6D01G305400;TraesCS5B01G232600;TraesCS6D01G305100</t>
  </si>
  <si>
    <t>TraesCS3A01G213900</t>
  </si>
  <si>
    <t>amino acid binding</t>
  </si>
  <si>
    <t>TraesCS2D01G284100;TraesCS2B01G302400;TraesCS2A01G577000;TraesCS2A01G285300</t>
  </si>
  <si>
    <t>TraesCS3A01G231500</t>
  </si>
  <si>
    <t>dolichol metabolic process</t>
  </si>
  <si>
    <t>phosphopyruvate hydratase complex</t>
  </si>
  <si>
    <t>TraesCS7D01G071200;TraesCS7A01G075600</t>
  </si>
  <si>
    <t>TraesCS3A01G249300</t>
  </si>
  <si>
    <t>phosphopyruvate hydratase activity</t>
  </si>
  <si>
    <t>TraesCS1B01G127400;TraesCS3B01G314600;TraesCS6D01G387900;TraesCS1D01G369000;TraesCS2A01G306800;TraesCS4B01G245700;TraesCS1A01G096300;TraesCS1B01G232700;TraesCS3D01G140200;TraesCS7D01G213200;TraesCS6B01G364000;TraesCS7B01G118500;TraesCS2B01G323500;TraesCS2D01G305300;TraesCS3D01G280600;TraesCS3A01G314300;TraesCS4D01G276100;TraesCS6A01G404600;TraesCS1B01G441300;TraesCS3A01G378700;TraesCS3A01G280800;TraesCS7A01G122100</t>
  </si>
  <si>
    <t>TraesCS3A01G260700</t>
  </si>
  <si>
    <t>phloem or xylem histogenesis</t>
  </si>
  <si>
    <t>TraesCS4A01G269400;TraesCS4D01G042200;TraesCS4B01G044700;TraesCS3D01G358500;TraesCS4A01G429700;TraesCS3A01G365300;TraesCS6D01G284200;TraesCS3B01G397200</t>
  </si>
  <si>
    <t>TraesCS3A01G287500</t>
  </si>
  <si>
    <t>polyprenol metabolic process</t>
  </si>
  <si>
    <t>TraesCS3A01G299600</t>
  </si>
  <si>
    <t>TraesCS4A01G043400;TraesCS7B01G243000;TraesCS3A01G149900;TraesCS7A01G244400;TraesCS1A01G117500;TraesCS3B01G402200;TraesCS3B01G323500;TraesCS4D01G264100;TraesCS2D01G123000;TraesCS2A01G121000;TraesCS3D01G126600;TraesCS4A01G006900;TraesCS3A01G370300;TraesCS1D01G322000;TraesCS6D01G084300;TraesCS3A01G125300;TraesCS1D01G118600;TraesCS1A01G267900;TraesCS1B01G137300;TraesCS6A01G098500;TraesCS3B01G563200;TraesCS2B01G141900;TraesCS6B01G126400;TraesCS6A01G402000;TraesCS1D01G309800</t>
  </si>
  <si>
    <t>TraesCS3A01G299800</t>
  </si>
  <si>
    <t>TraesCS4D01G125100;TraesCS4A01G188300</t>
  </si>
  <si>
    <t>organic acid transmembrane transporter activity</t>
  </si>
  <si>
    <t>TraesCS3A01G149900;TraesCS7A01G244400;TraesCS3A01G370300;TraesCS3B01G402200</t>
  </si>
  <si>
    <t>TraesCS3A01G329200</t>
  </si>
  <si>
    <t>carboxylic acid transmembrane transporter activity</t>
  </si>
  <si>
    <t>regulation of membrane potential</t>
  </si>
  <si>
    <t>gamma-aminobutyric acid transport</t>
  </si>
  <si>
    <t>TraesCS3A01G370300</t>
  </si>
  <si>
    <t>TraesCS3B01G137400</t>
  </si>
  <si>
    <t>TraesCS5B01G235800;TraesCS6D01G260300;TraesCS6B01G309300</t>
  </si>
  <si>
    <t>TraesCS3B01G158500</t>
  </si>
  <si>
    <t>TraesCS4B01G167500;TraesCS5A01G253200;TraesCS4D01G169800;TraesCS2D01G301000;TraesCS5B01G252100;TraesCS4A01G140000;TraesCS5D01G261000;TraesCS3B01G158500</t>
  </si>
  <si>
    <t>branched-chain amino acid metabolic process</t>
  </si>
  <si>
    <t>TraesCS6D01G333000;TraesCS6D01G333200;TraesCS7D01G549900;TraesCS6B01G383600;TraesCS7A01G337000</t>
  </si>
  <si>
    <t>TraesCS3B01G336800</t>
  </si>
  <si>
    <t>TraesCS4A01G045800;TraesCS7D01G418600;TraesCS1B01G127400;TraesCS3A01G346900;TraesCS4D01G259100;TraesCS5A01G084100;TraesCS2B01G535500;TraesCS4A01G140000;TraesCS2B01G516700;TraesCS7A01G414600;TraesCS7B01G327400;TraesCS1A01G150800;TraesCS3A01G329200;TraesCS6A01G344000;TraesCS2D01G507900;TraesCS1A01G235700;TraesCS5B01G235800;TraesCS2D01G305300;TraesCS7B01G019600;TraesCS4A01G188300;TraesCS7A01G427000;TraesCS1B01G142000;TraesCS7B01G256000;TraesCS6A01G233100;TraesCS6B01G031700;TraesCS5A01G253200;TraesCS4B01G062600;TraesCS4D01G210900;TraesCS7D01G010000;TraesCS6B01G117400;TraesCS3D01G267000;TraesCS3D01G249300;TraesCS4A01G059800;TraesCS4B01G070500;TraesCS4B01G235400;TraesCS7B01G314500;TraesCS2B01G545300;TraesCS7B01G191400;TraesCS2B01G323500;TraesCS5D01G159100;TraesCS7A01G426600;TraesCS6D01G026300;TraesCS2D01G284100;TraesCS4D01G125100;TraesCS6D01G282800;TraesCS3D01G340500;TraesCS6B01G309300;TraesCS2B01G535400;TraesCS1A01G096300;TraesCS2D01G489200;TraesCS6A01G023100;TraesCS5A01G322100;TraesCSU01G097100;TraesCS2B01G414500;TraesCS4B01G097200;TraesCS4D01G169800;TraesCS2D01G301000;TraesCS7D01G527100;TraesCS4B01G217300;TraesCS7A01G423900;TraesCS7D01G236600;TraesCS4B01G167500;TraesCS1D01G267600;TraesCS6A01G338600;TraesCS7D01G226300;TraesCS6B01G031600;TraesCS7B01G408900;TraesCS7B01G326900;TraesCS2B01G119000;TraesCS7A01G113600;TraesCS2D01G174500;TraesCS4A01G484800;TraesCS4B01G077600;TraesCS6D01G071600;TraesCS6D01G026600;TraesCS4B01G210100;TraesCS1A01G234600;TraesCS1B01G443300;TraesCS7A01G426900;TraesCS2A01G166900;TraesCS5D01G231300;TraesCS4D01G093600;TraesCS6B01G332900;TraesCS2B01G193000;TraesCS2B01G575200;TraesCS7A01G248800;TraesCS1B01G249000;TraesCS2A01G507500;TraesCS5B01G152600;TraesCS6A01G023200;TraesCS7D01G071200;TraesCS7A01G075600;TraesCS4B01G259400;TraesCS2A01G488900;TraesCS5B01G252100;TraesCS1D01G420900;TraesCS3A01G093500;TraesCS5D01G261000;TraesCS2B01G175800;TraesCS6B01G031500;TraesCS7D01G417600;TraesCS4B01G091500;TraesCS7A01G337000;TraesCS4A01G218400;TraesCS2D01G155700;TraesCS6A01G311000;TraesCS7B01G305000;TraesCS7D01G247800;TraesCS6D01G026500;TraesCS6D01G319300;TraesCS3B01G378600;TraesCS7D01G419100;TraesCS3A01G314300;TraesCS2D01G382600;TraesCS1D01G232700;TraesCS7D01G418900;TraesCS2A01G324200;TraesCS5A01G153900;TraesCS2A01G507400;TraesCS2D01G393900;TraesCS3A01G149900;TraesCS4D01G236800;TraesCS1D01G101900;TraesCS6B01G392700;TraesCS1A01G150900;TraesCS2D01G331100;TraesCS2A01G272400;TraesCS6D01G260300;TraesCS7A01G427100;TraesCS7D01G129500;TraesCS1D01G237500;TraesCS4D01G276100;TraesCS2B01G399700;TraesCS2D01G513600;TraesCS7A01G387000;TraesCS6B01G031300;TraesCS4A01G172000;TraesCS3B01G359400;TraesCS7A01G501400;TraesCS3B01G470000;TraesCS2A01G306800;TraesCS7D01G488800;TraesCS6A01G376200;TraesCS7A01G450500;TraesCS3D01G249000;TraesCS3D01G276600;TraesCS3A01G249300;TraesCS2B01G302400;TraesCS2A01G577000;TraesCS1A01G238600;TraesCS1B01G168500;TraesCS6A01G303200;TraesCS7B01G392900;TraesCS6D01G026400;TraesCS5D01G228300;TraesCS7A01G122100</t>
  </si>
  <si>
    <t>TraesCS3B01G337000</t>
  </si>
  <si>
    <t>TraesCS4B01G210100;TraesCS4D01G210900;TraesCS7D01G417600;TraesCS7A01G423900;TraesCS3D01G249000</t>
  </si>
  <si>
    <t>organic anion transmembrane transporter activity</t>
  </si>
  <si>
    <t>cytokinin biosynthetic process</t>
  </si>
  <si>
    <t>TraesCS5D01G353600;TraesCS5B01G561300</t>
  </si>
  <si>
    <t>TraesCS6A01G098500;TraesCS2B01G141900;TraesCS3B01G323500;TraesCS6D01G084300;TraesCS4A01G043400;TraesCS6B01G126400;TraesCS3A01G125300;TraesCS4D01G264100;TraesCS2D01G123000;TraesCS2A01G121000;TraesCS3D01G126600</t>
  </si>
  <si>
    <t>TraesCS3B01G383900</t>
  </si>
  <si>
    <t>amine transmembrane transporter activity</t>
  </si>
  <si>
    <t>methylammonium transmembrane transporter activity</t>
  </si>
  <si>
    <t>TraesCS3B01G402200</t>
  </si>
  <si>
    <t>amino acid transmembrane transporter activity</t>
  </si>
  <si>
    <t>TraesCS3A01G149900;TraesCS3A01G370300;TraesCS3B01G402200</t>
  </si>
  <si>
    <t>TraesCS3B01G413100</t>
  </si>
  <si>
    <t>TraesCS1B01G308900;TraesCS6A01G338600;TraesCS1D01G292100;TraesCS2B01G545300;TraesCS6D01G319300;TraesCS7A01G387000</t>
  </si>
  <si>
    <t>TraesCS4B01G210100;TraesCS4B01G070500;TraesCS2B01G382900;TraesCS4D01G210900;TraesCS3A01G287500;TraesCS7D01G417600;TraesCS2D01G362300;TraesCS7A01G423900;TraesCS3D01G249000</t>
  </si>
  <si>
    <t>TraesCS3B01G482600</t>
  </si>
  <si>
    <t>metal ion homeostasis</t>
  </si>
  <si>
    <t>organic acid binding</t>
  </si>
  <si>
    <t>carboxylic acid binding</t>
  </si>
  <si>
    <t>TraesCS3B01G563200</t>
  </si>
  <si>
    <t>TraesCS2B01G151800;TraesCS2A01G177200;TraesCS6A01G338600;TraesCS1D01G292100;TraesCS7A01G248800;TraesCS2A01G378300;TraesCS3A01G321100;TraesCS7D01G247800;TraesCS1B01G308900;TraesCS1D01G426600;TraesCS2D01G037100;TraesCS2B01G545300;TraesCS6D01G319300;TraesCS1A01G234800;TraesCS3B01G344600;TraesCS2B01G395200;TraesCS3D01G310200;TraesCS7A01G387000</t>
  </si>
  <si>
    <t>deaminase activity</t>
  </si>
  <si>
    <t>TraesCS3D01G157800</t>
  </si>
  <si>
    <t>TraesCS3D01G249300</t>
  </si>
  <si>
    <t>apical protein localization</t>
  </si>
  <si>
    <t>TraesCS5D01G231300</t>
  </si>
  <si>
    <t>arsenite transmembrane transporter activity</t>
  </si>
  <si>
    <t>TraesCS3D01G267000</t>
  </si>
  <si>
    <t>arsenite transport</t>
  </si>
  <si>
    <t>storage vacuole</t>
  </si>
  <si>
    <t>TraesCS3D01G281500</t>
  </si>
  <si>
    <t>protein storage vacuole</t>
  </si>
  <si>
    <t>central vacuole</t>
  </si>
  <si>
    <t>TraesCS3D01G302200</t>
  </si>
  <si>
    <t>TraesCS3D01G320300</t>
  </si>
  <si>
    <t>flavin adenine dinucleotide binding</t>
  </si>
  <si>
    <t>TraesCS1D01G426600;TraesCS2D01G037100;TraesCS1A01G234800;TraesCS3B01G344600;TraesCS2A01G378300;TraesCS2B01G395200;TraesCS3A01G321100;TraesCS3D01G310200</t>
  </si>
  <si>
    <t>L-ornithine transmembrane transporter activity</t>
  </si>
  <si>
    <t>aromatic amino acid transmembrane transporter activity</t>
  </si>
  <si>
    <t>azole transmembrane transporter activity</t>
  </si>
  <si>
    <t>L-histidine transmembrane transporter activity</t>
  </si>
  <si>
    <t>TraesCS3D01G403300</t>
  </si>
  <si>
    <t>neurotransmitter transport</t>
  </si>
  <si>
    <t>TraesCS3D01G483200</t>
  </si>
  <si>
    <t>TraesCS4A01G006900</t>
  </si>
  <si>
    <t>TraesCS6A01G344000;TraesCS7A01G248800;TraesCS7D01G247800</t>
  </si>
  <si>
    <t>TraesCS4A01G018400</t>
  </si>
  <si>
    <t>TraesCS4A01G045800</t>
  </si>
  <si>
    <t>inorganic ion homeostasis</t>
  </si>
  <si>
    <t>TraesCS4A01G072100</t>
  </si>
  <si>
    <t>biosynthetic process</t>
  </si>
  <si>
    <t>TraesCS1B01G127400;TraesCS4D01G093600;TraesCS2B01G575200;TraesCS7A01G248800;TraesCS4A01G140000;TraesCS5B01G152600;TraesCS7A01G414600;TraesCS1A01G150800;TraesCS6A01G344000;TraesCS7D01G071200;TraesCS7A01G075600;TraesCS2D01G305300;TraesCS7B01G019600;TraesCS1B01G142000;TraesCS5B01G252100;TraesCS1D01G420900;TraesCS5D01G261000;TraesCS5A01G253200;TraesCS7A01G337000;TraesCS3D01G267000;TraesCS4A01G218400;TraesCS7D01G247800;TraesCS2B01G006700;TraesCS4A01G059800;TraesCS4B01G070500;TraesCS7B01G314500;TraesCS5B01G561300;TraesCS2B01G006300;TraesCS6D01G319300;TraesCS2B01G323500;TraesCS5D01G159100;TraesCS3A01G314300;TraesCS2D01G284100;TraesCS5A01G153900;TraesCS2D01G393900;TraesCS5D01G202800;TraesCS3A01G149900;TraesCS1A01G096300;TraesCS5D01G353600;TraesCS1A01G150900;TraesCS2D01G331100;TraesCS5A01G322100;TraesCS2B01G414500;TraesCS4B01G097200;TraesCS4D01G169800;TraesCS5B01G195400;TraesCS2D01G301000;TraesCS4D01G276100;TraesCS2B01G399700;TraesCS6A01G338600;TraesCS7A01G501400;TraesCS7B01G408900;TraesCS3B01G470000;TraesCS3D01G339300;TraesCS2B01G119000;TraesCS2A01G306800;TraesCS7D01G488800;TraesCS6D01G071600;TraesCS2B01G006800;TraesCS3D01G276600;TraesCS2B01G302400;TraesCS1B01G168500;TraesCS5D01G228300;TraesCS7A01G122100</t>
  </si>
  <si>
    <t>regulation of programmed cell death</t>
  </si>
  <si>
    <t>TraesCS2D01G284100;TraesCS3D01G339300;TraesCS2B01G302400</t>
  </si>
  <si>
    <t>dioxygenase activity</t>
  </si>
  <si>
    <t>TraesCS1B01G137300;TraesCS3B01G563200;TraesCS2B01G141900;TraesCS3B01G323500;TraesCS4A01G043400;TraesCS4D01G264100;TraesCS2D01G123000;TraesCS1D01G118600;TraesCS2A01G121000;TraesCS4A01G006900;TraesCS1A01G117500</t>
  </si>
  <si>
    <t>TraesCS4A01G295100</t>
  </si>
  <si>
    <t>TraesCS2A01G507400;TraesCS2A01G507500;TraesCS2B01G535500;TraesCS2B01G535400;TraesCS4A01G429700;TraesCS1D01G096400;TraesCS3A01G365300;TraesCS5B01G152600;TraesCS6A01G344000;TraesCS6B01G392700;TraesCS7D01G071200;TraesCS2D01G507900;TraesCS3D01G249300;TraesCS7A01G075600;TraesCS3A01G249300;TraesCS7B01G019600;TraesCS7B01G118200;TraesCS3D01G358500;TraesCS1B01G142000;TraesCS6D01G284200;TraesCS3B01G397200</t>
  </si>
  <si>
    <t>TraesCS4A01G333600</t>
  </si>
  <si>
    <t>protein dephosphorylation</t>
  </si>
  <si>
    <t>plasma membrane</t>
  </si>
  <si>
    <t>TraesCS1B01G213800;TraesCS5D01G231300;TraesCS2B01G141900;TraesCS4A01G043400;TraesCS4D01G264100;TraesCS7B01G243000;TraesCS2D01G123000;TraesCS2A01G121000;TraesCS6B01G117400;TraesCS3A01G370300;TraesCS5D01G413600;TraesCS3B01G402200</t>
  </si>
  <si>
    <t>TraesCS4A01G437300</t>
  </si>
  <si>
    <t>hydrolase activity, acting on carbon-nitrogen (but not peptide) bonds, in cyclic amidines</t>
  </si>
  <si>
    <t>regulation of cell death</t>
  </si>
  <si>
    <t>TraesCS4A01G484700</t>
  </si>
  <si>
    <t>protein-L-isoaspartate (D-aspartate) O-methyltransferase activity</t>
  </si>
  <si>
    <t>TraesCS4B01G062600</t>
  </si>
  <si>
    <t>TraesCS4B01G217300;TraesCS3A01G370300</t>
  </si>
  <si>
    <t>chemical homeostasis</t>
  </si>
  <si>
    <t>TraesCS2B01G141900;TraesCS1B01G142000;TraesCS2D01G123000;TraesCS2A01G121000</t>
  </si>
  <si>
    <t>pyrimidine nucleoside metabolic process</t>
  </si>
  <si>
    <t>pyrimidine ribonucleoside metabolic process</t>
  </si>
  <si>
    <t>TraesCS4B01G091500</t>
  </si>
  <si>
    <t>pentose metabolic process</t>
  </si>
  <si>
    <t>TraesCS5A01G322100;TraesCS3D01G267000</t>
  </si>
  <si>
    <t>TraesCS4B01G210100;TraesCS4B01G070500;TraesCS2B01G382900;TraesCS4D01G210900;TraesCS7D01G417600;TraesCS7A01G423900;TraesCS3D01G249000</t>
  </si>
  <si>
    <t>L-leucine transaminase activity</t>
  </si>
  <si>
    <t>L-valine transaminase activity</t>
  </si>
  <si>
    <t>L-isoleucine transaminase activity</t>
  </si>
  <si>
    <t>organic cation transmembrane transporter activity</t>
  </si>
  <si>
    <t>TraesCS4B01G285500</t>
  </si>
  <si>
    <t>water transmembrane transporter activity</t>
  </si>
  <si>
    <t>water channel activity</t>
  </si>
  <si>
    <t>TraesCS4D01G055600</t>
  </si>
  <si>
    <t>organic substance catabolic process</t>
  </si>
  <si>
    <t>TraesCS2A01G507400;TraesCS2A01G507500;TraesCS2B01G535500;TraesCS2B01G535400;TraesCS4A01G429700;TraesCS3A01G365300;TraesCS5B01G152600;TraesCS6A01G344000;TraesCS6B01G392700;TraesCS7D01G071200;TraesCS2D01G507900;TraesCS3D01G249300;TraesCS7A01G075600;TraesCS3A01G249300;TraesCS7B01G019600;TraesCS3D01G358500;TraesCS1B01G142000;TraesCS4B01G217300;TraesCS6D01G284200;TraesCS3B01G397200</t>
  </si>
  <si>
    <t>TraesCS4D01G057400</t>
  </si>
  <si>
    <t>cellular amino acid metabolic process</t>
  </si>
  <si>
    <t>TraesCS6A01G338600;TraesCS5A01G153900;TraesCS3A01G149900;TraesCS5B01G152600;TraesCS4D01G236800;TraesCS6A01G344000;TraesCS4A01G059800;TraesCS4B01G235400;TraesCS2B01G545300;TraesCS6D01G319300;TraesCS5D01G159100;TraesCS7B01G019600;TraesCS7A01G387000</t>
  </si>
  <si>
    <t>TraesCS4D01G076400</t>
  </si>
  <si>
    <t>actin filament organization</t>
  </si>
  <si>
    <t>TraesCS1D01G101900;TraesCS5B01G491800;TraesCS5A01G478800</t>
  </si>
  <si>
    <t>carboxyl-O-methyltransferase activity</t>
  </si>
  <si>
    <t>protein carboxyl O-methyltransferase activity</t>
  </si>
  <si>
    <t>basipetal auxin transport</t>
  </si>
  <si>
    <t>TraesCS4D01G210600</t>
  </si>
  <si>
    <t>TraesCS4D01G259100</t>
  </si>
  <si>
    <t>TraesCS4D01G264100</t>
  </si>
  <si>
    <t>TraesCS4D01G276100</t>
  </si>
  <si>
    <t>TraesCS5A01G080800</t>
  </si>
  <si>
    <t>TraesCS5A01G094800</t>
  </si>
  <si>
    <t>TraesCS5A01G130100</t>
  </si>
  <si>
    <t>TraesCS5A01G164600</t>
  </si>
  <si>
    <t>TraesCS5A01G253200</t>
  </si>
  <si>
    <t>TraesCS5A01G322100</t>
  </si>
  <si>
    <t>TraesCS5A01G453900</t>
  </si>
  <si>
    <t>TraesCS5B01G104700</t>
  </si>
  <si>
    <t>TraesCS5B01G162100</t>
  </si>
  <si>
    <t>TraesCS5B01G195400</t>
  </si>
  <si>
    <t>TraesCS5B01G196900</t>
  </si>
  <si>
    <t>TraesCS5B01G235800</t>
  </si>
  <si>
    <t>TraesCS5B01G252100</t>
  </si>
  <si>
    <t>TraesCS5B01G261500</t>
  </si>
  <si>
    <t>TraesCS5B01G261800</t>
  </si>
  <si>
    <t>TraesCS5B01G402800</t>
  </si>
  <si>
    <t>TraesCS5B01G504100</t>
  </si>
  <si>
    <t>TraesCS5B01G552100</t>
  </si>
  <si>
    <t>TraesCS5B01G561300</t>
  </si>
  <si>
    <t>TraesCS5D01G015800</t>
  </si>
  <si>
    <t>TraesCS5D01G094300</t>
  </si>
  <si>
    <t>TraesCS5D01G180000</t>
  </si>
  <si>
    <t>TraesCS5D01G202800</t>
  </si>
  <si>
    <t>TraesCS5D01G204100</t>
  </si>
  <si>
    <t>TraesCS5D01G228300</t>
  </si>
  <si>
    <t>TraesCS5D01G538300</t>
  </si>
  <si>
    <t>TraesCS5D01G558400</t>
  </si>
  <si>
    <t>TraesCS6A01G170700</t>
  </si>
  <si>
    <t>TraesCS6A01G185100</t>
  </si>
  <si>
    <t>TraesCS6A01G231300</t>
  </si>
  <si>
    <t>TraesCS6A01G337400</t>
  </si>
  <si>
    <t>TraesCS6A01G338600</t>
  </si>
  <si>
    <t>TraesCS6B01G024500</t>
  </si>
  <si>
    <t>TraesCS6B01G024600</t>
  </si>
  <si>
    <t>TraesCS6B01G059000</t>
  </si>
  <si>
    <t>TraesCS6B01G126400</t>
  </si>
  <si>
    <t>TraesCS6B01G211400</t>
  </si>
  <si>
    <t>TraesCS6B01G275300</t>
  </si>
  <si>
    <t>TraesCS6B01G309300</t>
  </si>
  <si>
    <t>TraesCS6B01G312700</t>
  </si>
  <si>
    <t>TraesCS6B01G326000</t>
  </si>
  <si>
    <t>TraesCS6D01G049600</t>
  </si>
  <si>
    <t>TraesCS6D01G071600</t>
  </si>
  <si>
    <t>TraesCS6D01G084300</t>
  </si>
  <si>
    <t>TraesCS6D01G203800</t>
  </si>
  <si>
    <t>TraesCS6D01G282800</t>
  </si>
  <si>
    <t>TraesCS6D01G284200</t>
  </si>
  <si>
    <t>TraesCS6D01G296200</t>
  </si>
  <si>
    <t>TraesCS6D01G305400</t>
  </si>
  <si>
    <t>TraesCS6D01G319300</t>
  </si>
  <si>
    <t>TraesCS6D01G387900</t>
  </si>
  <si>
    <t>TraesCS7A01G010300</t>
  </si>
  <si>
    <t>TraesCS7A01G010400</t>
  </si>
  <si>
    <t>TraesCS7A01G177400</t>
  </si>
  <si>
    <t>TraesCS7A01G229500</t>
  </si>
  <si>
    <t>TraesCS7A01G268800</t>
  </si>
  <si>
    <t>TraesCS7A01G309600</t>
  </si>
  <si>
    <t>TraesCS7A01G386800</t>
  </si>
  <si>
    <t>TraesCS7A01G387000</t>
  </si>
  <si>
    <t>TraesCS7A01G492800</t>
  </si>
  <si>
    <t>TraesCS7A01G537600</t>
  </si>
  <si>
    <t>TraesCS7B01G021600</t>
  </si>
  <si>
    <t>TraesCS7B01G039100</t>
  </si>
  <si>
    <t>TraesCS7B01G118500</t>
  </si>
  <si>
    <t>TraesCS7B01G237100</t>
  </si>
  <si>
    <t>TraesCS7B01G256000</t>
  </si>
  <si>
    <t>TraesCS7B01G408900</t>
  </si>
  <si>
    <t>TraesCS7D01G010200</t>
  </si>
  <si>
    <t>TraesCS7D01G071200</t>
  </si>
  <si>
    <t>TraesCS7D01G129500</t>
  </si>
  <si>
    <t>TraesCS7D01G184400</t>
  </si>
  <si>
    <t>TraesCS7D01G213200</t>
  </si>
  <si>
    <t>TraesCS7D01G247800</t>
  </si>
  <si>
    <t>TraesCS7D01G366800</t>
  </si>
  <si>
    <t>TraesCS7D01G371000</t>
  </si>
  <si>
    <t>TraesCS7D01G408500</t>
  </si>
  <si>
    <t>TraesCS7D01G421400</t>
  </si>
  <si>
    <t>TraesCS7D01G527100</t>
  </si>
  <si>
    <t>TraesCS7D01G536800</t>
  </si>
  <si>
    <t>TraesCS7D01G540000</t>
  </si>
  <si>
    <t>TraesCSU01G057200</t>
  </si>
  <si>
    <t>TraesCSU01G057300</t>
  </si>
  <si>
    <t>TraesCSU01G097100</t>
  </si>
  <si>
    <t>Fg_down &amp; ABA+Fg_vs_Fg_down</t>
  </si>
  <si>
    <t>Gene list ( 279)</t>
  </si>
  <si>
    <t>TraesCS1A01G127500</t>
  </si>
  <si>
    <t>TraesCS1A01G221000</t>
  </si>
  <si>
    <t>TraesCS1A01G264800</t>
  </si>
  <si>
    <t>microtubule binding</t>
  </si>
  <si>
    <t>TraesCS7A01G260100;TraesCS7D01G261100;TraesCS1B01G354200;TraesCS4A01G074200;TraesCS7A01G167100;TraesCS3B01G207300;TraesCS3A01G177700;TraesCS4D01G244000;TraesCS7B01G158100</t>
  </si>
  <si>
    <t>tubulin binding</t>
  </si>
  <si>
    <t>TraesCS7A01G260100;TraesCS7D01G261100;TraesCS1B01G354200;TraesCS4A01G074200;TraesCS7A01G167100;TraesCS3B01G207300;TraesCS3A01G177700;TraesCS4D01G244000;TraesCS5D01G396300;TraesCS7B01G158100</t>
  </si>
  <si>
    <t>TraesCS1B01G073500</t>
  </si>
  <si>
    <t>TraesCS4D01G338000;TraesCS2A01G002900;TraesCS2D01G002800;TraesCS2D01G016000;TraesCS7D01G142100;TraesCS2D01G043500;TraesCS7B01G310900;TraesCS2A01G044900;TraesCS7A01G411700;TraesCS4B01G005900;TraesCS3B01G030300;TraesCS7A01G522200;TraesCS2D01G035500;TraesCS4D01G005600;TraesCS6A01G081900;TraesCSU01G134000;TraesCS6A01G081800;TraesCS3D01G077400;TraesCS2B01G057100;TraesCS4B01G344800;TraesCS6A01G082000</t>
  </si>
  <si>
    <t>TraesCS4D01G338000;TraesCS2A01G002900;TraesCS2D01G002800;TraesCS2D01G016000;TraesCS7D01G142100;TraesCS2D01G043500;TraesCS7B01G310900;TraesCS2A01G044900;TraesCS7A01G411700;TraesCS4B01G005900;TraesCS6D01G015100;TraesCS3B01G030300;TraesCS7A01G522200;TraesCS2D01G035500;TraesCS6A01G081900;TraesCSU01G134000;TraesCS6A01G081800;TraesCS3D01G077400;TraesCS2B01G057100;TraesCS6A01G082000</t>
  </si>
  <si>
    <t>TraesCS3A01G360600;TraesCS3B01G392700;TraesCS3D01G354200;TraesCS4D01G359200;TraesCS3A01G360400;TraesCS3B01G393000</t>
  </si>
  <si>
    <t>TraesCS1B01G198800</t>
  </si>
  <si>
    <t>TraesCS1D01G411600;TraesCS4D01G338000;TraesCS2A01G002900;TraesCS2D01G002800;TraesCS2D01G016000;TraesCS2D01G043500;TraesCS7B01G310900;TraesCS2A01G044900;TraesCS7A01G411700;TraesCS4B01G005900;TraesCS3B01G030300;TraesCS7A01G522200;TraesCS5B01G147200;TraesCS2D01G035500;TraesCS6A01G081900;TraesCS6B01G264900;TraesCSU01G134000;TraesCS6A01G081800;TraesCS3D01G077400;TraesCS2B01G057100;TraesCS4A01G136600;TraesCS1A01G403800;TraesCS6A01G082000</t>
  </si>
  <si>
    <t>TraesCS1B01G263500</t>
  </si>
  <si>
    <t>TraesCS1B01G275500</t>
  </si>
  <si>
    <t>TraesCS4D01G338000;TraesCS2A01G002900;TraesCS2D01G002800;TraesCS2D01G016000;TraesCS2D01G043500;TraesCS7B01G310900;TraesCS2A01G044900;TraesCS7A01G411700;TraesCS4B01G005900;TraesCS3B01G030300;TraesCS7A01G522200;TraesCS5B01G147200;TraesCS2D01G035500;TraesCS6A01G081900;TraesCS6B01G264900;TraesCSU01G134000;TraesCS6A01G081800;TraesCS3D01G077400;TraesCS2B01G057100;TraesCS4A01G136600;TraesCS6A01G082000</t>
  </si>
  <si>
    <t>TraesCS1B01G341900</t>
  </si>
  <si>
    <t>TraesCS7A01G260100;TraesCS1B01G354200;TraesCS7A01G167100;TraesCS3A01G177700;TraesCS4D01G244000;TraesCS5A01G179700;TraesCS5D01G396300;TraesCS7B01G158100</t>
  </si>
  <si>
    <t>microtubule-based process</t>
  </si>
  <si>
    <t>TraesCS7A01G260100;TraesCS7D01G261100;TraesCS1B01G354200;TraesCS4A01G074200;TraesCS7A01G167100;TraesCS3B01G207300;TraesCS3A01G177700;TraesCS7B01G158100</t>
  </si>
  <si>
    <t>TraesCS1D01G021800</t>
  </si>
  <si>
    <t>TraesCS1B01G402600;TraesCS5D01G103800;TraesCS2D01G016000;TraesCS2D01G043500;TraesCS7B01G310900;TraesCS4B01G005900;TraesCS3A01G360600;TraesCS1D01G021800;TraesCS5B01G147200;TraesCS2D01G035500;TraesCS2B01G057100;TraesCS4A01G136600;TraesCS6A01G239600;TraesCS6A01G082000;TraesCS4D01G338000;TraesCS2A01G002900;TraesCS2D01G002800;TraesCS3B01G392700;TraesCS7D01G142100;TraesCS1A01G221000;TraesCS2A01G044900;TraesCS7A01G411700;TraesCS3A01G360400;TraesCS6D01G015100;TraesCS3B01G030300;TraesCS7A01G522200;TraesCS3A01G354200;TraesCS6A01G240000;TraesCS4D01G005600;TraesCS6A01G081900;TraesCSU01G134000;TraesCS3D01G354200;TraesCS6A01G081800;TraesCS3D01G077400;TraesCS4D01G359200;TraesCS4B01G344800;TraesCS3B01G393000</t>
  </si>
  <si>
    <t>TraesCS1D01G057100</t>
  </si>
  <si>
    <t>microtubule cytoskeleton</t>
  </si>
  <si>
    <t>TraesCS7A01G260100;TraesCS1B01G354200;TraesCS7A01G167100;TraesCS3A01G177700;TraesCS4D01G244000;TraesCS5A01G179700;TraesCS7B01G158100</t>
  </si>
  <si>
    <t>microtubule</t>
  </si>
  <si>
    <t>TraesCS7A01G260100;TraesCS1B01G354200;TraesCS3A01G177700;TraesCS4D01G244000;TraesCS5A01G179700;TraesCS7B01G158100</t>
  </si>
  <si>
    <t>supramolecular polymer</t>
  </si>
  <si>
    <t>supramolecular fiber</t>
  </si>
  <si>
    <t>polymeric cytoskeletal fiber</t>
  </si>
  <si>
    <t>TraesCS1B01G354200;TraesCS7A01G167100;TraesCS3B01G207300;TraesCS3A01G177700;TraesCS5D01G396300</t>
  </si>
  <si>
    <t>TraesCS1D01G330600</t>
  </si>
  <si>
    <t>TraesCS1D01G411600;TraesCS5B01G268100;TraesCS2B01G583600;TraesCS2D01G016000;TraesCS2D01G043500;TraesCS7B01G310900;TraesCS4B01G005900;TraesCS5B01G147200;TraesCS2D01G035500;TraesCS6B01G264900;TraesCS2B01G057100;TraesCS4A01G136600;TraesCS1A01G403800;TraesCS6A01G082000;TraesCS4D01G338000;TraesCS2A01G002900;TraesCS2D01G002800;TraesCS3A01G093000;TraesCS1A01G221000;TraesCS2A01G044900;TraesCS7A01G411700;TraesCS3B01G030300;TraesCS7A01G522200;TraesCS5A01G268400;TraesCS6A01G081900;TraesCSU01G134000;TraesCS6A01G081800;TraesCS3D01G077400</t>
  </si>
  <si>
    <t>serine-type carboxypeptidase activity</t>
  </si>
  <si>
    <t>TraesCS4B01G060600;TraesCS4B01G061500;TraesCS4B01G136700;TraesCS5A01G263700;TraesCS4B01G061000</t>
  </si>
  <si>
    <t>carboxypeptidase activity</t>
  </si>
  <si>
    <t>TraesCS7A01G200100;TraesCS7D01G456900;TraesCS3D01G257700;TraesCS7A01G469300</t>
  </si>
  <si>
    <t>serine-type exopeptidase activity</t>
  </si>
  <si>
    <t>TraesCS1D01G411600;TraesCS2B01G013000;TraesCS3A01G388200;TraesCS7A01G200100;TraesCS2A01G380500;TraesCS5B01G081900;TraesCS2A01G284100;TraesCS4B01G131700;TraesCS3B01G220000;TraesCS5D01G097600;TraesCS2B01G057100;TraesCS4A01G111600;TraesCS1A01G403800;TraesCS4B01G192200;TraesCS2B01G615300;TraesCS4B01G194100;TraesCS5B01G539900;TraesCS3D01G022500;TraesCS2D01G002800;TraesCS3B01G420500;TraesCS5A01G085200;TraesCS2A01G344300;TraesCS6D01G206100;TraesCSU01G066200;TraesCS3B01G026700;TraesCS3D01G188100;TraesCS7A01G109800;TraesCS1B01G311800;TraesCS3B01G449100;TraesCS4A01G089900;TraesCS4A01G301600;TraesCS3B01G286400;TraesCS5D01G396300;TraesCS5D01G151300;TraesCS1A01G127500;TraesCS2B01G390300;TraesCS2D01G369400</t>
  </si>
  <si>
    <t>TraesCS5A01G085200;TraesCS5D01G097600</t>
  </si>
  <si>
    <t>TraesCS2A01G309700</t>
  </si>
  <si>
    <t>secondary metabolic process</t>
  </si>
  <si>
    <t>TraesCS3A01G360600;TraesCS3B01G392700;TraesCS3D01G354200;TraesCS4A01G301600;TraesCS3A01G360400;TraesCS3B01G393000</t>
  </si>
  <si>
    <t>TraesCS2A01G344300</t>
  </si>
  <si>
    <t>TraesCS3B01G376900;TraesCS3B01G376800;TraesCS3A01G344800;TraesCS7D01G549800;TraesCS7B01G010100;TraesCS4D01G244000;TraesCS3B01G354300;TraesCS3D01G338400;TraesCS5D01G396300;TraesCS7B01G096600</t>
  </si>
  <si>
    <t>TraesCS1D01G411600;TraesCS2B01G013000;TraesCS3A01G388200;TraesCS7A01G200100;TraesCS2A01G380500;TraesCS5B01G081900;TraesCS2A01G284100;TraesCS4B01G131700;TraesCS3B01G220000;TraesCS5D01G097600;TraesCS2B01G057100;TraesCS4A01G111600;TraesCS1A01G403800;TraesCS4B01G192200;TraesCS2B01G615300;TraesCS4B01G194100;TraesCS5B01G539900;TraesCS3D01G022500;TraesCS2D01G002800;TraesCS3B01G420500;TraesCS5A01G085200;TraesCS2A01G344300;TraesCS6D01G206100;TraesCSU01G066200;TraesCS3B01G026700;TraesCS3D01G188100;TraesCS7A01G109800;TraesCS1B01G311800;TraesCS3B01G449100;TraesCS4A01G301600;TraesCS3B01G286400;TraesCS5D01G396300;TraesCS5D01G151300;TraesCS1A01G127500;TraesCS2B01G390300;TraesCS2D01G369400</t>
  </si>
  <si>
    <t>TraesCS2A01G386100</t>
  </si>
  <si>
    <t>TraesCS2A01G477400</t>
  </si>
  <si>
    <t>TraesCS6A01G240000;TraesCS6A01G239600</t>
  </si>
  <si>
    <t>TraesCS2A01G520900</t>
  </si>
  <si>
    <t>TraesCS1B01G402600;TraesCS6A01G240000;TraesCS1D01G021800;TraesCS6A01G239600</t>
  </si>
  <si>
    <t>base-excision repair</t>
  </si>
  <si>
    <t>TraesCS2A01G523400</t>
  </si>
  <si>
    <t>cytokinesis</t>
  </si>
  <si>
    <t>TraesCS7A01G260100;TraesCS7D01G261100;TraesCS4A01G074200;TraesCS7B01G158100</t>
  </si>
  <si>
    <t>spindle</t>
  </si>
  <si>
    <t>TraesCS7A01G260100;TraesCS5A01G179700;TraesCS7B01G158100</t>
  </si>
  <si>
    <t>TraesCS3B01G385400;TraesCS2A01G520900;TraesCS3D01G346700;TraesCS3D01G041700;TraesCS4A01G485900;TraesCS2B01G550300;TraesCS2A01G521000;TraesCS2B01G401600;TraesCS3B01G369000;TraesCS3D01G331000;TraesCS2A01G386100;TraesCS5B01G309300;TraesCS3A01G352700</t>
  </si>
  <si>
    <t>microtubule motor activity</t>
  </si>
  <si>
    <t>TraesCS1B01G354200;TraesCS7A01G167100;TraesCS3B01G207300;TraesCS3A01G177700</t>
  </si>
  <si>
    <t>microtubule-based movement</t>
  </si>
  <si>
    <t>TraesCS3B01G376900;TraesCS3B01G376800;TraesCS3A01G344800;TraesCS4D01G244000;TraesCS3D01G338400</t>
  </si>
  <si>
    <t>spindle pole</t>
  </si>
  <si>
    <t>TraesCS7A01G260100;TraesCS7B01G158100</t>
  </si>
  <si>
    <t>TraesCS2A01G527700;TraesCS6D01G025800;TraesCS2A01G429000;TraesCS2B01G038700;TraesCS6A01G025200;TraesCS2B01G558400;TraesCS7B01G006200;TraesCS1A01G081200;TraesCS7B01G006100;TraesCS7D01G101900;TraesCS1B01G098800</t>
  </si>
  <si>
    <t>TraesCS2B01G326800</t>
  </si>
  <si>
    <t>TraesCS2B01G401600</t>
  </si>
  <si>
    <t>exopeptidase activity</t>
  </si>
  <si>
    <t>oligopeptide transport</t>
  </si>
  <si>
    <t>TraesCS1B01G225000;TraesCS1D01G214300;TraesCS1A01G211000</t>
  </si>
  <si>
    <t>microtubule cytoskeleton organization</t>
  </si>
  <si>
    <t>TraesCS3D01G540200;TraesCS1D01G337900;TraesCS3B01G612000;TraesCS3A01G534900</t>
  </si>
  <si>
    <t>TraesCS7D01G549800;TraesCS7B01G010100;TraesCS4D01G244000</t>
  </si>
  <si>
    <t>TraesCS2A01G386100;TraesCS4A01G485900</t>
  </si>
  <si>
    <t>TraesCS2B01G583600</t>
  </si>
  <si>
    <t>TraesCS3B01G376900;TraesCS3B01G376800;TraesCS3A01G344800;TraesCS3D01G338400</t>
  </si>
  <si>
    <t>TraesCS2D01G232800</t>
  </si>
  <si>
    <t>TraesCS7D01G036600;TraesCS7A01G040900</t>
  </si>
  <si>
    <t>TraesCS7D01G549800;TraesCS7B01G010100;TraesCS4D01G244000;TraesCS5D01G396300;TraesCS7B01G096600</t>
  </si>
  <si>
    <t>TraesCS2D01G382700</t>
  </si>
  <si>
    <t>TraesCS7D01G036600;TraesCS7A01G040900;TraesCS2A01G520900;TraesCS7D01G549800;TraesCS3D01G041700;TraesCS4A01G485900;TraesCS2B01G550300;TraesCS2A01G521000;TraesCS2B01G401600;TraesCS3B01G369000;TraesCS3D01G331000;TraesCS7B01G010100;TraesCS4D01G244000;TraesCS3B01G354300;TraesCS2A01G386100;TraesCS5B01G309300;TraesCS7B01G096600</t>
  </si>
  <si>
    <t>TraesCS2D01G467200</t>
  </si>
  <si>
    <t>TraesCS1B01G402600;TraesCS1D01G021800</t>
  </si>
  <si>
    <t>TraesCS1B01G354200;TraesCS7A01G167100;TraesCS3A01G177700</t>
  </si>
  <si>
    <t>TraesCS2D01G525500</t>
  </si>
  <si>
    <t>TraesCS7D01G549800;TraesCS7B01G010100;TraesCS4D01G244000;TraesCS7B01G096600</t>
  </si>
  <si>
    <t>cytoskeleton organization</t>
  </si>
  <si>
    <t>TraesCS7A01G260100;TraesCS7D01G261100;TraesCS4A01G074200;TraesCS4D01G244000;TraesCS7B01G158100</t>
  </si>
  <si>
    <t>TraesCS7D01G036600;TraesCS7A01G040900;TraesCS2A01G429000;TraesCS2B01G038700;TraesCS7B01G006200;TraesCS3D01G327700;TraesCS3D01G464300;TraesCS6A01G346100;TraesCS1A01G369600;TraesCS7B01G388000;TraesCS3B01G612000;TraesCS4A01G111600;TraesCS1B01G203200;TraesCS1B01G098800;TraesCS3A01G334200;TraesCS5B01G539900;TraesCS3D01G022500;TraesCS1D01G301400;TraesCS4B01G385400;TraesCS6D01G206100;TraesCS7A01G541200;TraesCS5D01G444700;TraesCSU01G066200;TraesCS1B01G003200;TraesCS1B01G003400;TraesCS4A01G089900;TraesCS7D01G101900;TraesCS6D01G035000;TraesCS2B01G558400;TraesCS7A01G334300;TraesCS1D01G337900;TraesCS7B01G006100;TraesCS1B01G349900;TraesCS2A01G299200;TraesCS2D01G546200;TraesCS6D01G025800;TraesCS6A01G025200;TraesCS4B01G192200;TraesCS3B01G550900;TraesCS3D01G540200;TraesCS2A01G562000;TraesCS3A01G534900;TraesCS2A01G527700;TraesCS1B01G003300;TraesCS1B01G311800;TraesCS1A01G081200;TraesCS4A01G301600;TraesCS6D01G206000;TraesCS1D01G175400;TraesCS5A01G549400;TraesCS1D01G349800</t>
  </si>
  <si>
    <t>TraesCS3A01G177700</t>
  </si>
  <si>
    <t>unconventional myosin complex</t>
  </si>
  <si>
    <t>TraesCS5D01G396300</t>
  </si>
  <si>
    <t>TraesCS3A01G254400</t>
  </si>
  <si>
    <t>TraesCS5A01G085200;TraesCS5D01G097600;TraesCS1A01G127500</t>
  </si>
  <si>
    <t>hydrolase activity, hydrolyzing N-glycosyl compounds</t>
  </si>
  <si>
    <t>TraesCS3A01G344800</t>
  </si>
  <si>
    <t>TraesCS3B01G369000;TraesCS2A01G520900;TraesCS3D01G331000;TraesCS2A01G386100;TraesCS3D01G041700;TraesCS4A01G485900;TraesCS5B01G309300;TraesCS2B01G550300;TraesCS2A01G521000;TraesCS2B01G401600</t>
  </si>
  <si>
    <t>TraesCS2B01G013000;TraesCS7A01G166500;TraesCS5A01G508500;TraesCS7A01G200100;TraesCS4B01G131700;TraesCS4B01G397500;TraesCS7D01G456900;TraesCS3B01G220000;TraesCS5D01G097600;TraesCS1D01G214300;TraesCS2B01G615300;TraesCS5A01G085200;TraesCS7D01G119800;TraesCS2A01G344300;TraesCS7A01G381500;TraesCS7B01G020300;TraesCS1B01G225000;TraesCS7A01G469300;TraesCS7A01G411700;TraesCS3D01G188100;TraesCS7A01G109800;TraesCS7B01G283400;TraesCS3D01G257700;TraesCS3D01G163400;TraesCS1A01G211000;TraesCS1A01G127500;TraesCS2B01G390300;TraesCS2D01G369400</t>
  </si>
  <si>
    <t>TraesCS7A01G200100;TraesCS3D01G257700</t>
  </si>
  <si>
    <t>symporter activity</t>
  </si>
  <si>
    <t>TraesCS2B01G390300;TraesCS2D01G369400</t>
  </si>
  <si>
    <t>TraesCS3A01G394700</t>
  </si>
  <si>
    <t>TraesCS3A01G428700</t>
  </si>
  <si>
    <t>cell division</t>
  </si>
  <si>
    <t>plastoquinone biosynthetic process</t>
  </si>
  <si>
    <t>2-methyl-6-phytyl-1,4-benzoquinone methyltransferase activity</t>
  </si>
  <si>
    <t>glucuronoxylan metabolic process</t>
  </si>
  <si>
    <t>TraesCS7B01G010100;TraesCS4D01G244000</t>
  </si>
  <si>
    <t>TraesCS3B01G030300</t>
  </si>
  <si>
    <t>TraesCS3B01G030400</t>
  </si>
  <si>
    <t>TraesCS5A01G085200;TraesCS5D01G097600;TraesCS7A01G411700;TraesCS2B01G390300;TraesCS2D01G369400</t>
  </si>
  <si>
    <t>TraesCS3B01G034200</t>
  </si>
  <si>
    <t>phosphoglycerate dehydrogenase activity</t>
  </si>
  <si>
    <t>TraesCS3B01G207300</t>
  </si>
  <si>
    <t>TraesCS3B01G220000</t>
  </si>
  <si>
    <t>TraesCS3B01G376900;TraesCS3B01G376800;TraesCS3A01G344800;TraesCS3B01G354300;TraesCS3D01G338400</t>
  </si>
  <si>
    <t>TraesCS1D01G411600;TraesCS1A01G403800</t>
  </si>
  <si>
    <t>chlorophyll binding</t>
  </si>
  <si>
    <t>TraesCS3B01G376800</t>
  </si>
  <si>
    <t>TraesCS3D01G464300;TraesCS1A01G369600;TraesCS3D01G540200;TraesCS4A01G301600;TraesCS1D01G337900;TraesCS3B01G612000;TraesCS3A01G534900</t>
  </si>
  <si>
    <t>photosynthesis, light harvesting</t>
  </si>
  <si>
    <t>Golgi localization</t>
  </si>
  <si>
    <t>TraesCS3B01G438800</t>
  </si>
  <si>
    <t>peroxisome localization</t>
  </si>
  <si>
    <t>TraesCS4D01G005600;TraesCS7D01G142100;TraesCS4B01G344800</t>
  </si>
  <si>
    <t>TraesCS5D01G103800;TraesCS2D01G016000;TraesCS2D01G043500;TraesCS7B01G310900;TraesCS3A01G254400;TraesCS4B01G005900;TraesCS3A01G360600;TraesCS2D01G035500;TraesCS7D01G022600;TraesCS2B01G057100;TraesCS6A01G082000;TraesCS4D01G338000;TraesCS2A01G002900;TraesCS2D01G002800;TraesCS3B01G392700;TraesCS7D01G142100;TraesCS2A01G044900;TraesCS7A01G411700;TraesCS3A01G360400;TraesCS6D01G015100;TraesCS3B01G030300;TraesCS7A01G522200;TraesCS6A01G081900;TraesCSU01G134000;TraesCS3D01G354200;TraesCS6A01G081800;TraesCS3D01G077400;TraesCS3D01G255300;TraesCS3B01G286400;TraesCS3B01G393000</t>
  </si>
  <si>
    <t>response to nematode</t>
  </si>
  <si>
    <t>TraesCS6A01G025200;TraesCS7B01G006200;TraesCS7B01G006100;TraesCS7D01G101900</t>
  </si>
  <si>
    <t>TraesCS7A01G166500;TraesCS2A01G344300;TraesCS7A01G200100;TraesCS7A01G469300;TraesCS7A01G411700;TraesCS3D01G188100;TraesCS4B01G131700;TraesCS7D01G456900;TraesCS3B01G220000;TraesCS3D01G257700;TraesCS1A01G127500;TraesCS2B01G390300;TraesCS2D01G369400</t>
  </si>
  <si>
    <t>TraesCS3D01G117300;TraesCS2D01G546200;TraesCS1A01G369600;TraesCS4A01G301600</t>
  </si>
  <si>
    <t>TraesCS3B01G385400;TraesCS2A01G477400;TraesCS3D01G346700;TraesCS4B01G061500;TraesCS3B01G207300;TraesCS4A01G485900;TraesCS2B01G550300;TraesCS2A01G521000;TraesCS3A01G235500;TraesCS2B01G401600;TraesCS3B01G369000;TraesCSU01G110500;TraesCS7D01G211000;TraesCS1B01G354200;TraesCS3B01G354300;TraesCS4B01G060600;TraesCS3B01G034200;TraesCS2A01G520900;TraesCS2A01G344300;TraesCS7A01G167100;TraesCS3A01G177700;TraesCS7B01G250700;TraesCS5A01G263700;TraesCS3D01G041700;TraesCS7B01G467200;TraesCS7B01G467100;TraesCS1D01G092700;TraesCS4B01G136700;TraesCS1A01G423100;TraesCS3D01G331000;TraesCS2A01G386100;TraesCS5B01G309300;TraesCS3A01G352700;TraesCS4B01G363700;TraesCS5D01G396300;TraesCS7A01G428800;TraesCS4B01G061000</t>
  </si>
  <si>
    <t>TraesCS3D01G163400</t>
  </si>
  <si>
    <t>fat-soluble vitamin metabolic process</t>
  </si>
  <si>
    <t>TraesCS3D01G188100</t>
  </si>
  <si>
    <t>vitamin E metabolic process</t>
  </si>
  <si>
    <t>TraesCS3D01G255300</t>
  </si>
  <si>
    <t>fat-soluble vitamin biosynthetic process</t>
  </si>
  <si>
    <t>vitamin E biosynthetic process</t>
  </si>
  <si>
    <t>TraesCS3D01G327700</t>
  </si>
  <si>
    <t>mitochondrion localization</t>
  </si>
  <si>
    <t>TraesCS7A01G200100;TraesCS3D01G257700;TraesCS1A01G127500</t>
  </si>
  <si>
    <t>cell cycle process</t>
  </si>
  <si>
    <t>photosystem I</t>
  </si>
  <si>
    <t>regulation of spindle organization</t>
  </si>
  <si>
    <t>TraesCS3D01G400500</t>
  </si>
  <si>
    <t>regulation of mitotic spindle organization</t>
  </si>
  <si>
    <t>actin filament-based movement</t>
  </si>
  <si>
    <t>TraesCS7A01G200100;TraesCS1A01G127500</t>
  </si>
  <si>
    <t>L-serine biosynthetic process</t>
  </si>
  <si>
    <t>TraesCS4A01G074200</t>
  </si>
  <si>
    <t>TraesCS4B01G042500</t>
  </si>
  <si>
    <t>TraesCS4B01G061000</t>
  </si>
  <si>
    <t>TraesCS4B01G061500</t>
  </si>
  <si>
    <t>TraesCS4B01G131700</t>
  </si>
  <si>
    <t>TraesCS4D01G244000</t>
  </si>
  <si>
    <t>TraesCS5A01G085200</t>
  </si>
  <si>
    <t>TraesCS5A01G141100</t>
  </si>
  <si>
    <t>TraesCS5A01G220100</t>
  </si>
  <si>
    <t>TraesCS5A01G268400</t>
  </si>
  <si>
    <t>TraesCS5A01G549400</t>
  </si>
  <si>
    <t>TraesCS5D01G097600</t>
  </si>
  <si>
    <t>TraesCS5D01G103800</t>
  </si>
  <si>
    <t>TraesCS5D01G151300</t>
  </si>
  <si>
    <t>TraesCS6A01G240000</t>
  </si>
  <si>
    <t>TraesCS6A01G287600</t>
  </si>
  <si>
    <t>TraesCS6D01G025800</t>
  </si>
  <si>
    <t>TraesCS7A01G109800</t>
  </si>
  <si>
    <t>TraesCS7A01G167100</t>
  </si>
  <si>
    <t>TraesCS7A01G200100</t>
  </si>
  <si>
    <t>TraesCS7A01G334300</t>
  </si>
  <si>
    <t>TraesCS7A01G541200</t>
  </si>
  <si>
    <t>TraesCS7A01G552700</t>
  </si>
  <si>
    <t>TraesCS7B01G283400</t>
  </si>
  <si>
    <t>TraesCS7B01G388000</t>
  </si>
  <si>
    <t>TraesCS7D01G404800</t>
  </si>
  <si>
    <t>TraesCSU01G110500</t>
  </si>
  <si>
    <t>Fg_down &amp; AS6+Fg_vs_Fg_up</t>
  </si>
  <si>
    <t>Gene list (904)</t>
  </si>
  <si>
    <t>TraesCS1A01G034900</t>
  </si>
  <si>
    <t>TraesCS1A01G056400</t>
  </si>
  <si>
    <t>TraesCS1A01G090800</t>
  </si>
  <si>
    <t>TraesCS1A01G111500</t>
  </si>
  <si>
    <t>TraesCS1A01G125200</t>
  </si>
  <si>
    <t>TraesCS1A01G176000</t>
  </si>
  <si>
    <t>TraesCS3A01G260200;TraesCS7A01G204500;TraesCS3D01G478300;TraesCS1B01G249000;TraesCS5B01G138700;TraesCS2B01G516700;TraesCS6A01G337300;TraesCS6A01G023200;TraesCS7B01G145100;TraesCS6D01G318100;TraesCS2A01G484100;TraesCS4A01G188300;TraesCS2A01G488900;TraesCS4D01G241900;TraesCS7B01G099900;TraesCS3B01G529700;TraesCS3B01G533800;TraesCS7D01G010000;TraesCS2D01G484000;TraesCS2A01G384600;TraesCS6D01G026500;TraesCS1A01G203700;TraesCS1A01G360700;TraesCS2A01G386100;TraesCS1A01G312700;TraesCS2D01G382600;TraesCS7A01G426600;TraesCS6D01G226100;TraesCS7D01G418700;TraesCS7D01G418900;TraesCS5A01G388900;TraesCS4D01G125100;TraesCS6D01G282800;TraesCS4B01G242300;TraesCS2D01G489200;TraesCS5D01G353600;TraesCS1D01G101900;TraesCS1B01G377100;TraesCS2B01G403000;TraesCS1D01G237500;TraesCS3D01G277300;TraesCS7A01G010200;TraesCS3D01G516000;TraesCS6B01G031300;TraesCS4A01G321800;TraesCS5A01G037200;TraesCS6B01G031600;TraesCS7D01G419600;TraesCS4A01G484800;TraesCS2D01G338300;TraesCS7D01G207600;TraesCS6D01G026600;TraesCS1A01G234600;TraesCS2D01G510500;TraesCS6D01G026400;TraesCS7A01G426700;TraesCS7B01G111700</t>
  </si>
  <si>
    <t>TraesCS3A01G260200;TraesCS7A01G204500;TraesCS3D01G478300;TraesCS1B01G249000;TraesCS5B01G138700;TraesCS2B01G516700;TraesCS6A01G337300;TraesCS6A01G023200;TraesCS7B01G145100;TraesCS6D01G318100;TraesCS2A01G484100;TraesCS4A01G188300;TraesCS2A01G488900;TraesCS4D01G241900;TraesCS7B01G099900;TraesCS3B01G529700;TraesCS3B01G533800;TraesCS7D01G010000;TraesCS2D01G484000;TraesCS2A01G384600;TraesCS6D01G026500;TraesCS1A01G203700;TraesCS1A01G360700;TraesCS2A01G386100;TraesCS1A01G312700;TraesCS2D01G382600;TraesCS7A01G426600;TraesCS6D01G226100;TraesCS7D01G418700;TraesCS7D01G418900;TraesCS5A01G388900;TraesCS4D01G125100;TraesCS6D01G282800;TraesCS4B01G242300;TraesCS2D01G489200;TraesCS1D01G101900;TraesCS1B01G377100;TraesCS2B01G403000;TraesCS1D01G237500;TraesCS3D01G277300;TraesCS7A01G010200;TraesCS6B01G031300;TraesCS4A01G321800;TraesCS6B01G031600;TraesCS7D01G419600;TraesCS4A01G484800;TraesCS7D01G207600;TraesCS6D01G026600;TraesCS1A01G234600;TraesCS2D01G510500;TraesCS6D01G026400;TraesCS7A01G426700;TraesCS7B01G111700</t>
  </si>
  <si>
    <t>TraesCS6A01G023200;TraesCS6D01G026600;TraesCS6D01G026500;TraesCS6B01G031600;TraesCS7D01G010000;TraesCS2B01G403000;TraesCS2A01G386100;TraesCS4A01G484800;TraesCS2D01G382600;TraesCS6D01G026400;TraesCS7A01G010200;TraesCS6B01G031300</t>
  </si>
  <si>
    <t>TraesCS1A01G254800</t>
  </si>
  <si>
    <t>TraesCS3A01G260200;TraesCS5A01G281600;TraesCS7A01G204500;TraesCS3D01G478300;TraesCS1B01G249000;TraesCS5B01G138700;TraesCS2B01G516700;TraesCS6A01G337300;TraesCS6A01G023200;TraesCS7D01G071200;TraesCS7B01G145100;TraesCS6D01G318100;TraesCS7A01G075600;TraesCS2A01G484100;TraesCS4A01G188300;TraesCS2A01G488900;TraesCS5B01G252100;TraesCS2B01G187200;TraesCS4D01G241900;TraesCS7B01G099900;TraesCS3B01G529700;TraesCS3B01G533800;TraesCS7D01G010000;TraesCS2D01G484000;TraesCS2A01G384600;TraesCS6D01G026500;TraesCS1A01G203700;TraesCS1A01G360700;TraesCS2D01G168200;TraesCS2A01G386100;TraesCS1A01G312700;TraesCS2D01G382600;TraesCS7A01G426600;TraesCS6D01G226100;TraesCS7D01G418700;TraesCS7D01G418900;TraesCS5A01G388900;TraesCS4D01G125100;TraesCS6D01G282800;TraesCS4B01G242300;TraesCS2D01G489200;TraesCS1D01G101900;TraesCS1B01G377100;TraesCS2B01G403000;TraesCS1D01G237500;TraesCS4D01G266700;TraesCS5A01G190000;TraesCS3D01G277300;TraesCS7A01G010200;TraesCS6B01G031300;TraesCS4A01G321800;TraesCS6B01G031600;TraesCS7D01G419600;TraesCS4A01G484800;TraesCS7D01G207600;TraesCS6D01G026600;TraesCS1A01G234600;TraesCS2D01G510500;TraesCS6D01G026400;TraesCS7A01G426700;TraesCS7B01G111700</t>
  </si>
  <si>
    <t>TraesCS1A01G268200</t>
  </si>
  <si>
    <t>TraesCS1B01G137300;TraesCS3D01G127300;TraesCS5B01G091200;TraesCS1D01G118600;TraesCS1A01G117500</t>
  </si>
  <si>
    <t>TraesCS3B01G549000;TraesCS1A01G176000;TraesCS3D01G293800;TraesCS1D01G130200;TraesCS6A01G320700;TraesCSU01G084800;TraesCS7B01G142500;TraesCS5A01G094700;TraesCS6A01G325600;TraesCS4D01G008300;TraesCS5B01G235800;TraesCS2B01G412900;TraesCS3D01G364300;TraesCS6A01G185100;TraesCS7D01G444200;TraesCS2D01G081900;TraesCS7A01G455300;TraesCS1D01G276600;TraesCS6D01G305100;TraesCS2B01G615800;TraesCS3A01G321100;TraesCS5A01G094800;TraesCS7B01G145200;TraesCS1A01G277400;TraesCS4B01G097200;TraesCS2B01G057800;TraesCS3A01G351400;TraesCS2B01G548600;TraesCS7B01G355700;TraesCS5B01G414400;TraesCS7B01G408900;TraesCS3A01G158800;TraesCS2D01G545900;TraesCS4D01G176100;TraesCS4A01G269400;TraesCS6A01G150000;TraesCS6D01G305400;TraesCS2A01G571500;TraesCS2A01G573400;TraesCS1B01G402600;TraesCS6B01G355900;TraesCS2B01G615700;TraesCS3B01G549200;TraesCS2A01G544800;TraesCS2B01G118100;TraesCS2B01G575200;TraesCS7D01G271100;TraesCS1B01G286300;TraesCS6B01G205000;TraesCS6B01G255100;TraesCS1D01G021800;TraesCS1D01G281200;TraesCS2D01G392900;TraesCS4B01G341600;TraesCS1B01G331200;TraesCS1D01G162800;TraesCS5A01G236800;TraesCS4A01G235800;TraesCS5B01G334000;TraesCS6B01G356200;TraesCS7A01G306600;TraesCS1D01G318700;TraesCS6D01G015100;TraesCS2D01G545800;TraesCSU01G134000;TraesCS3B01G383900;TraesCS6D01G139700;TraesCS3D01G310200;TraesCS4D01G240800;TraesCS2B01G615600;TraesCS2D01G074200;TraesCS5A01G044700;TraesCS2D01G016000;TraesCS5B01G566100;TraesCS4B01G009700;TraesCS6A01G226500;TraesCS2A01G100900;TraesCS2D01G037100;TraesCS3B01G350200;TraesCS2D01G165300;TraesCS5B01G235900;TraesCS6D01G260300;TraesCS7B01G168800;TraesCS3B01G344600;TraesCS4B01G135200;TraesCS1A01G034900;TraesCS7A01G389300;TraesCS7A01G501400;TraesCS6D01G208500;TraesCS2A01G006400;TraesCS2B01G039900;TraesCS7D01G488800;TraesCS2D01G545700;TraesCS2B01G006600;TraesCS2D01G015600;TraesCS3D01G035900;TraesCS7A01G428200;TraesCS6D01G305200;TraesCS3B01G397200;TraesCS4A01G020500</t>
  </si>
  <si>
    <t>TraesCS3A01G346900;TraesCS4D01G024900;TraesCS7A01G204500;TraesCS7A01G256900;TraesCS2D01G322600;TraesCS3D01G478300;TraesCS4A01G085300;TraesCS2B01G535500;TraesCS3B01G104300;TraesCS2B01G516700;TraesCS6A01G337300;TraesCS2D01G507900;TraesCS7B01G145100;TraesCSU01G103000;TraesCS2A01G484100;TraesCS4A01G188300;TraesCS2B01G187200;TraesCS2A01G574700;TraesCS7B01G099900;TraesCS7B01G110900;TraesCS7D01G108900;TraesCS2A01G344300;TraesCS4D01G210900;TraesCS7D01G010000;TraesCS5B01G382900;TraesCS5B01G076600;TraesCS7B01G028300;TraesCS2D01G484000;TraesCS2A01G384600;TraesCS3D01G249300;TraesCS1A01G203700;TraesCS2B01G597700;TraesCS2A01G386100;TraesCS1A01G312700;TraesCS1B01G277000;TraesCS7A01G426600;TraesCS2D01G015900;TraesCS6D01G226100;TraesCS7D01G418700;TraesCS7A01G489300;TraesCS4D01G125100;TraesCS6D01G282800;TraesCS7D01G269400;TraesCS2D01G003200;TraesCS4B01G242300;TraesCS2B01G535400;TraesCS2D01G489200;TraesCS5D01G353600;TraesCS6D01G008900;TraesCS2B01G403000;TraesCS2B01G500500;TraesCS6B01G278800;TraesCS4A01G285700;TraesCS4A01G321800;TraesCS5A01G037200;TraesCS6B01G031600;TraesCS1D01G294400;TraesCS4D01G365000;TraesCS7A01G113600;TraesCS5A01G316000;TraesCS4A01G484800;TraesCS4B01G077600;TraesCS6D01G026600;TraesCS1A01G234600;TraesCS5A01G547700;TraesCS7A01G240600;TraesCS5D01G321800;TraesCS6A01G389700;TraesCS4B01G218900;TraesCS1D01G368900;TraesCS3A01G260200;TraesCS7A01G489400;TraesCS5A01G315700;TraesCS1B01G249000;TraesCS5B01G138700;TraesCS2A01G322600;TraesCS6A01G023200;TraesCS5D01G322200;TraesCS6D01G318100;TraesCS2A01G488900;TraesCS1A01G126100;TraesCS4D01G241900;TraesCS3B01G529700;TraesCS3B01G533800;TraesCS3B01G193000;TraesCS5D01G417300;TraesCS2B01G341800;TraesCS6A01G311000;TraesCS6D01G026500;TraesCS5B01G236800;TraesCS2A01G506800;TraesCS1A01G360700;TraesCS2D01G340400;TraesCS3B01G378600;TraesCS2D01G382600;TraesCS1D01G266300;TraesCS7D01G418900;TraesCS5A01G388900;TraesCS2D01G433400;TraesCS4A01G469500;TraesCS3D01G413600;TraesCS5A01G541900;TraesCS3A01G254900;TraesCS4D01G257900;TraesCS7B01G255800;TraesCS1D01G101900;TraesCS3B01G264200;TraesCS1B01G324000;TraesCS3B01G096500;TraesCS1B01G377100;TraesCS1D01G237500;TraesCS3D01G277300;TraesCS7A01G010200;TraesCS3D01G516000;TraesCS6B01G031300;TraesCS1B01G283300;TraesCS7D01G419600;TraesCS7A01G100600;TraesCS7B01G382700;TraesCS2D01G338300;TraesCS7D01G207600;TraesCS4B01G258000;TraesCS3B01G270600;TraesCS3A01G249300;TraesCS2D01G510500;TraesCS4B01G027100;TraesCS6D01G026400;TraesCS7A01G426700;TraesCS7B01G111700</t>
  </si>
  <si>
    <t>TraesCS1A01G312700</t>
  </si>
  <si>
    <t>TraesCS1B01G402600;TraesCS3B01G549000;TraesCS6B01G355900;TraesCS2B01G615700;TraesCS3B01G549200;TraesCS2A01G544800;TraesCS1A01G176000;TraesCS2B01G118100;TraesCS2B01G575200;TraesCS3D01G293800;TraesCS7D01G271100;TraesCS1D01G130200;TraesCS6A01G320700;TraesCSU01G084800;TraesCS7B01G142500;TraesCS1B01G286300;TraesCS5A01G094700;TraesCS6A01G325600;TraesCS6B01G205000;TraesCS6B01G255100;TraesCS1D01G021800;TraesCS1D01G281200;TraesCS4D01G008300;TraesCS5B01G235800;TraesCS2D01G392900;TraesCS4B01G341600;TraesCS1B01G331200;TraesCS2B01G412900;TraesCS1D01G162800;TraesCS5A01G236800;TraesCS3D01G364300;TraesCS4A01G235800;TraesCS6A01G185100;TraesCS5B01G334000;TraesCS6B01G356200;TraesCS7D01G444200;TraesCS2D01G081900;TraesCS7A01G306600;TraesCS1D01G318700;TraesCS6D01G015100;TraesCS2D01G545800;TraesCS7A01G455300;TraesCSU01G134000;TraesCS1D01G276600;TraesCS3B01G383900;TraesCS6D01G139700;TraesCS6D01G305100;TraesCS3D01G310200;TraesCS4D01G240800;TraesCS2B01G615600;TraesCS2B01G615800;TraesCS2D01G074200;TraesCS2D01G016000;TraesCS5B01G566100;TraesCS4B01G009700;TraesCS3A01G321100;TraesCS6A01G226500;TraesCS2A01G100900;TraesCS7B01G145200;TraesCS1A01G277400;TraesCS2D01G037100;TraesCS3B01G350200;TraesCS4B01G097200;TraesCS2B01G057800;TraesCS2D01G165300;TraesCS5B01G235900;TraesCS6D01G260300;TraesCS7B01G168800;TraesCS3B01G344600;TraesCS3A01G351400;TraesCS4B01G135200;TraesCS2B01G548600;TraesCS7B01G355700;TraesCS1A01G034900;TraesCS7A01G389300;TraesCS5B01G414400;TraesCS7A01G501400;TraesCS7B01G408900;TraesCS6D01G208500;TraesCS2A01G006400;TraesCS2B01G039900;TraesCS7D01G488800;TraesCS2D01G545900;TraesCS2D01G545700;TraesCS2B01G006600;TraesCS2D01G015600;TraesCS3D01G035900;TraesCS7A01G428200;TraesCS6A01G150000;TraesCS6D01G305400;TraesCS2A01G571500;TraesCS6D01G305200;TraesCS2A01G573400;TraesCS3B01G397200;TraesCS4A01G020500</t>
  </si>
  <si>
    <t>TraesCS1A01G323800</t>
  </si>
  <si>
    <t>TraesCS1D01G266300;TraesCS1D01G375600;TraesCS4D01G024900;TraesCS2D01G074200;TraesCS2B01G575200;TraesCS2D01G284100;TraesCS7A01G504400;TraesCS7B01G142500;TraesCS3B01G104300;TraesCS7B01G255800;TraesCS6A01G226500;TraesCS7D01G208500;TraesCS5D01G328600;TraesCS3B01G264200;TraesCS6B01G255100;TraesCS5A01G322100;TraesCS4B01G097200;TraesCS5B01G235800;TraesCS2D01G165300;TraesCS5B01G235900;TraesCS6D01G008900;TraesCS6D01G260300;TraesCSU01G072800;TraesCS2B01G500500;TraesCS2D01G016300;TraesCS1A01G126100;TraesCS4D01G266700;TraesCS4A01G285700;TraesCS7A01G501400;TraesCS5A01G236800;TraesCS7B01G408900;TraesCS6D01G208500;TraesCS7A01G205700;TraesCS2B01G310600;TraesCS5D01G385900;TraesCS7A01G113600;TraesCS7D01G488800;TraesCS2D01G545900;TraesCS6A01G311000;TraesCS2D01G545700;TraesCS6D01G071600;TraesCS2D01G545800;TraesCS6A01G150000;TraesCS6D01G139700;TraesCS1A01G385500;TraesCS1B01G277000;TraesCS4B01G027100;TraesCS4A01G020500</t>
  </si>
  <si>
    <t>TraesCS1A01G332500</t>
  </si>
  <si>
    <t>TraesCS1A01G336100</t>
  </si>
  <si>
    <t>tRNA-guanine transglycosylation</t>
  </si>
  <si>
    <t>TraesCS5A01G248800;TraesCS5D01G256000;TraesCS5B01G246500</t>
  </si>
  <si>
    <t>TraesCS1B01G137300;TraesCS6A01G098500;TraesCS3D01G127300;TraesCS6D01G084300;TraesCS5B01G091200;TraesCS6B01G126400;TraesCS3A01G125300;TraesCS1D01G118600;TraesCS2A01G309900;TraesCS1A01G117500</t>
  </si>
  <si>
    <t>TraesCS1A01G360700</t>
  </si>
  <si>
    <t>TraesCS7A01G501400;TraesCS2D01G074200;TraesCS5A01G236800;TraesCS7B01G408900;TraesCS6D01G208500;TraesCS7A01G205700;TraesCS2B01G310600;TraesCS7D01G488800;TraesCS6D01G071600;TraesCS7B01G255800;TraesCS6A01G226500;TraesCS7D01G208500;TraesCS6B01G255100;TraesCS4B01G097200;TraesCS5B01G235800;TraesCS2D01G165300;TraesCS5B01G235900;TraesCS6A01G150000;TraesCS6D01G139700</t>
  </si>
  <si>
    <t>TraesCS7D01G418700;TraesCS4A01G321800;TraesCS7D01G418900;TraesCS7D01G419600;TraesCS2A01G484100;TraesCS7A01G426600;TraesCS7B01G099900;TraesCS2D01G484000;TraesCS7A01G426700</t>
  </si>
  <si>
    <t>TraesCS1A01G433100</t>
  </si>
  <si>
    <t>TraesCS1B01G137300;TraesCS6A01G098500;TraesCS3D01G127300;TraesCS6D01G084300;TraesCS5B01G091200;TraesCS6B01G126400;TraesCS3A01G125300;TraesCS1D01G118600;TraesCS7A01G244400;TraesCS2A01G309900;TraesCS1A01G117500;TraesCS3B01G402200</t>
  </si>
  <si>
    <t>TraesCS6A01G098500;TraesCS6D01G084300;TraesCS6B01G126400;TraesCS3A01G125300;TraesCS2A01G309900</t>
  </si>
  <si>
    <t>TraesCS1B01G093900</t>
  </si>
  <si>
    <t>TraesCS7A01G537600;TraesCS7B01G354800;TraesCS7D01G443400;TraesCS7D01G523500;TraesCS7B01G455900</t>
  </si>
  <si>
    <t>TraesCS2D01G016000;TraesCS3D01G293800;TraesCS7D01G271100;TraesCS4B01G009700;TraesCSU01G084800;TraesCS1B01G286300;TraesCS6A01G226500;TraesCS6B01G255100;TraesCS1A01G277400;TraesCS4B01G097200;TraesCS2B01G057800;TraesCS2D01G165300;TraesCS7B01G168800;TraesCS4B01G341600;TraesCS4B01G135200;TraesCS7B01G355700;TraesCS1A01G034900;TraesCS5B01G414400;TraesCS7A01G501400;TraesCS7B01G408900;TraesCS6D01G208500;TraesCS3D01G364300;TraesCS6A01G185100;TraesCS2A01G006400;TraesCS5B01G334000;TraesCS7D01G444200;TraesCS7D01G488800;TraesCS6D01G015100;TraesCS2B01G006600;TraesCS2D01G015600;TraesCS7A01G455300;TraesCSU01G134000;TraesCS1D01G276600;TraesCS6A01G150000;TraesCS6D01G139700;TraesCS4D01G240800</t>
  </si>
  <si>
    <t>TraesCS1B01G131700</t>
  </si>
  <si>
    <t>queuine tRNA-ribosyltransferase activity</t>
  </si>
  <si>
    <t>queuosine metabolic process</t>
  </si>
  <si>
    <t>queuosine biosynthetic process</t>
  </si>
  <si>
    <t>TraesCS1B01G402600;TraesCS1D01G021800;TraesCS4D01G008300;TraesCS4A01G020500;TraesCS7A01G389300</t>
  </si>
  <si>
    <t>TraesCS1B01G153100</t>
  </si>
  <si>
    <t>TraesCS1B01G199600</t>
  </si>
  <si>
    <t>TraesCS4D01G234400;TraesCS4A01G316200;TraesCS6A01G062700;TraesCS7A01G200100;TraesCS7D01G338100;TraesCS7A01G244400;TraesCS2A01G309900;TraesCS4D01G257900;TraesCS1A01G117500;TraesCS7D01G429000;TraesCS5B01G261500;TraesCS5B01G261800;TraesCS1B01G324000;TraesCS5A01G263100;TraesCS5B01G091200;TraesCS5D01G240100;TraesCS3D01G127300;TraesCS6D01G084300;TraesCS3A01G125300;TraesCS1D01G118600;TraesCS2D01G392200;TraesCS5B01G242000;TraesCS7D01G203100;TraesCS1B01G137300;TraesCS2A01G064900;TraesCS6A01G098500;TraesCS4B01G258000;TraesCS6B01G126400;TraesCS5D01G250700;TraesCS7D01G221900;TraesCS3D01G188000;TraesCS2D01G063000;TraesCS4B01G233300;TraesCS2B01G077100</t>
  </si>
  <si>
    <t>TraesCS1B01G201800</t>
  </si>
  <si>
    <t>TraesCS7A01G501400;TraesCS7B01G408900;TraesCS6D01G208500;TraesCS7A01G205700;TraesCS7D01G488800;TraesCS6D01G071600;TraesCS7B01G255800;TraesCS6A01G226500;TraesCS7D01G208500;TraesCS6B01G255100;TraesCS4B01G097200;TraesCS2D01G165300;TraesCS6A01G150000;TraesCS6D01G139700</t>
  </si>
  <si>
    <t>TraesCS4A01G321800;TraesCS7D01G418900;TraesCS7D01G419600;TraesCS2A01G484100;TraesCS7A01G426600;TraesCS7B01G099900;TraesCS2D01G484000;TraesCS7A01G426700</t>
  </si>
  <si>
    <t>TraesCS1B01G245700</t>
  </si>
  <si>
    <t>regulation of monopolar cell growth</t>
  </si>
  <si>
    <t>TraesCS7A01G455400;TraesCS7D01G444300;TraesCS7B01G355800</t>
  </si>
  <si>
    <t>TraesCS4A01G316200;TraesCS6A01G062700;TraesCS7A01G200100;TraesCS7A01G244400;TraesCS2D01G392200;TraesCS5B01G242000;TraesCS7D01G203100;TraesCS4D01G257900;TraesCS7D01G429000;TraesCS2A01G064900;TraesCS5B01G261500;TraesCS5B01G261800;TraesCS1B01G324000;TraesCS4B01G258000;TraesCS5A01G263100;TraesCS5D01G250700;TraesCS3D01G188000;TraesCS2D01G063000;TraesCS2B01G077100;TraesCS5D01G240100</t>
  </si>
  <si>
    <t>TraesCS1B01G277000</t>
  </si>
  <si>
    <t>TraesCS6B01G355900;TraesCS2D01G074200;TraesCS2D01G016000;TraesCS3D01G293800;TraesCS5B01G566100;TraesCS7D01G271100;TraesCS4B01G009700;TraesCSU01G084800;TraesCS1B01G286300;TraesCS1A01G277400;TraesCS5B01G235800;TraesCS2B01G057800;TraesCS5B01G235900;TraesCS6D01G260300;TraesCS7B01G168800;TraesCS4B01G341600;TraesCS4B01G135200;TraesCS2B01G548600;TraesCS7B01G355700;TraesCS1A01G034900;TraesCS2B01G412900;TraesCS5B01G414400;TraesCS5A01G236800;TraesCS3D01G364300;TraesCS6A01G185100;TraesCS2A01G006400;TraesCS5B01G334000;TraesCS7D01G444200;TraesCS2B01G006600;TraesCS2D01G015600;TraesCS7A01G455300;TraesCSU01G134000;TraesCS1D01G276600;TraesCS6D01G305400;TraesCS6D01G305100;TraesCS4D01G240800</t>
  </si>
  <si>
    <t>TraesCS6A01G098500;TraesCS6D01G084300;TraesCS6B01G126400;TraesCS3A01G125300;TraesCS7A01G200100;TraesCS7D01G203100;TraesCS2A01G309900</t>
  </si>
  <si>
    <t>regulation of developmental growth</t>
  </si>
  <si>
    <t>TraesCS1D01G452700;TraesCS7A01G455400;TraesCS2A01G484100;TraesCS2B01G310600;TraesCS7D01G444300;TraesCS5A01G118200;TraesCS7B01G355800</t>
  </si>
  <si>
    <t>adaxial/abaxial pattern specification</t>
  </si>
  <si>
    <t>TraesCS4D01G062900;TraesCS4A01G250600;TraesCS2B01G310600;TraesCS4B01G064000</t>
  </si>
  <si>
    <t>TraesCS1B01G309600</t>
  </si>
  <si>
    <t>TraesCS2D01G074200;TraesCS5A01G236800;TraesCS5B01G235800;TraesCS5B01G235900</t>
  </si>
  <si>
    <t>TraesCS1D01G375600;TraesCS2B01G575200;TraesCS2D01G284100;TraesCS7B01G142500;TraesCS7B01G255800;TraesCS6A01G226500;TraesCS7D01G208500;TraesCS5D01G328600;TraesCS6B01G255100;TraesCS5A01G322100;TraesCS4B01G097200;TraesCS2D01G165300;TraesCS2D01G016300;TraesCS4D01G266700;TraesCS7A01G501400;TraesCS7B01G408900;TraesCS6D01G208500;TraesCS7A01G205700;TraesCS7D01G488800;TraesCS2D01G545900;TraesCS2D01G545700;TraesCS6D01G071600;TraesCS2D01G545800;TraesCS6A01G150000;TraesCS6D01G139700;TraesCS1A01G385500</t>
  </si>
  <si>
    <t>TraesCS1B01G328000</t>
  </si>
  <si>
    <t>TraesCS2D01G074200;TraesCS5A01G236800;TraesCS5B01G235800;TraesCS5B01G235900;TraesCS6D01G260300</t>
  </si>
  <si>
    <t>TraesCS1B01G331200</t>
  </si>
  <si>
    <t>TraesCS1B01G377100</t>
  </si>
  <si>
    <t>TraesCS1D01G022000</t>
  </si>
  <si>
    <t>hydro-lyase activity</t>
  </si>
  <si>
    <t>TraesCS7A01G537600;TraesCS7D01G071200;TraesCS7B01G354800;TraesCS7D01G443400;TraesCS5D01G447800;TraesCS7D01G523500;TraesCS7A01G075600;TraesCS7B01G455900</t>
  </si>
  <si>
    <t>TraesCS1D01G046900</t>
  </si>
  <si>
    <t>TraesCS5B01G261500;TraesCS5B01G261800;TraesCS5A01G263100;TraesCS3D01G188000;TraesCS7A01G244400</t>
  </si>
  <si>
    <t>C-5 methylation of cytosine</t>
  </si>
  <si>
    <t>TraesCS7B01G448900;TraesCS7D01G519000;TraesCS7A01G531500</t>
  </si>
  <si>
    <t>TraesCS1D01G083300</t>
  </si>
  <si>
    <t>TraesCS7A01G501400;TraesCS7B01G408900;TraesCS6D01G208500;TraesCS7A01G205700;TraesCS5A01G153900;TraesCS7D01G488800;TraesCS6D01G071600;TraesCS7B01G255800;TraesCS6A01G226500;TraesCS7D01G208500;TraesCS6B01G255100;TraesCS7D01G071200;TraesCS4B01G097200;TraesCS7A01G075600;TraesCS2D01G165300;TraesCS5D01G159100;TraesCS7B01G019600;TraesCS6A01G150000;TraesCS6D01G139700</t>
  </si>
  <si>
    <t>TraesCS1D01G099300</t>
  </si>
  <si>
    <t>DNA (cytosine-5-)-methyltransferase activity</t>
  </si>
  <si>
    <t>TraesCS7B01G354800;TraesCS7D01G443400;TraesCS3D01G021600;TraesCS5D01G447800;TraesCS7D01G523500;TraesCS5B01G166300;TraesCS7B01G455900;TraesCS7D01G076300;TraesCS5D01G202800;TraesCS5A01G169500;TraesCS1B01G199600;TraesCS7A01G537600;TraesCS7D01G476200;TraesCS7D01G071200;TraesCS7A01G075600;TraesCS2B01G545300;TraesCS5B01G195400;TraesCS1D01G120800;TraesCS5D01G173900;TraesCS7A01G387000</t>
  </si>
  <si>
    <t>TraesCS1D01G112900</t>
  </si>
  <si>
    <t>regulation of growth</t>
  </si>
  <si>
    <t>TraesCS1D01G117600</t>
  </si>
  <si>
    <t>DNA-methyltransferase activity</t>
  </si>
  <si>
    <t>DNA methylation on cytosine</t>
  </si>
  <si>
    <t>TraesCS1D01G120800</t>
  </si>
  <si>
    <t>regulation of unidimensional cell growth</t>
  </si>
  <si>
    <t>TraesCS7A01G455400;TraesCS7D01G444300;TraesCS5A01G118200;TraesCS7B01G355800</t>
  </si>
  <si>
    <t>TraesCS4A01G321800;TraesCS7D01G418900;TraesCS7D01G419600;TraesCS2A01G484100;TraesCS2D01G510500;TraesCS7A01G426600;TraesCS7B01G099900;TraesCS2D01G484000;TraesCS7A01G426700</t>
  </si>
  <si>
    <t>TraesCS1D01G130200</t>
  </si>
  <si>
    <t>regulation of systemic acquired resistance</t>
  </si>
  <si>
    <t>TraesCS1D01G233800;TraesCS1B01G245700;TraesCS1B01G245800</t>
  </si>
  <si>
    <t>TraesCS4D01G125100;TraesCS4A01G188300;TraesCS5B01G138700</t>
  </si>
  <si>
    <t>TraesCS1D01G177700</t>
  </si>
  <si>
    <t>TraesCS1D01G184500</t>
  </si>
  <si>
    <t>TraesCS3A01G260200;TraesCS4A01G321800;TraesCS7D01G418900;TraesCS1A01G203700;TraesCS7D01G419600;TraesCS2A01G484100;TraesCS2D01G510500;TraesCS7A01G426600;TraesCS7B01G099900;TraesCS2D01G484000;TraesCS7A01G426700</t>
  </si>
  <si>
    <t>TraesCS1D01G233800</t>
  </si>
  <si>
    <t>TraesCS4A01G321800;TraesCS5A01G315700;TraesCS7D01G418900;TraesCS3A01G409900;TraesCS3D01G404800;TraesCS7D01G419600;TraesCS2A01G484100;TraesCS7A01G426600;TraesCS7B01G099900;TraesCS2D01G484000;TraesCS7A01G426700</t>
  </si>
  <si>
    <t>TraesCS1D01G257800</t>
  </si>
  <si>
    <t>regulation of cell growth</t>
  </si>
  <si>
    <t>regulation of cell morphogenesis</t>
  </si>
  <si>
    <t>TraesCS2B01G615600;TraesCS3B01G549000;TraesCS2B01G615800;TraesCS2B01G615700;TraesCS3B01G549200;TraesCS2D01G016000;TraesCS7D01G271100;TraesCS1D01G130200;TraesCS4B01G009700;TraesCSU01G084800;TraesCS1B01G286300;TraesCS1A01G277400;TraesCS2B01G057800;TraesCS7B01G168800;TraesCS4B01G341600;TraesCS4B01G135200;TraesCS1B01G331200;TraesCS7B01G355700;TraesCS1A01G034900;TraesCS5B01G414400;TraesCS3D01G364300;TraesCS4A01G235800;TraesCS6A01G185100;TraesCS2A01G006400;TraesCS5B01G334000;TraesCS7D01G444200;TraesCS2D01G081900;TraesCS1D01G318700;TraesCS2B01G006600;TraesCS2D01G015600;TraesCS7A01G455300;TraesCSU01G134000;TraesCS1D01G276600;TraesCS7A01G428200;TraesCS2A01G571500;TraesCS4D01G240800;TraesCS2A01G573400</t>
  </si>
  <si>
    <t>TraesCS1D01G272200</t>
  </si>
  <si>
    <t>TraesCS7D01G418700;TraesCS4A01G321800;TraesCS7D01G418900;TraesCS7D01G419600;TraesCS2A01G484100;TraesCS7A01G426600;TraesCS7B01G099900;TraesCS2D01G484000;TraesCS3B01G397200;TraesCS7A01G426700</t>
  </si>
  <si>
    <t>TraesCS5D01G353600;TraesCS5D01G447800;TraesCS5B01G166300;TraesCS7B01G019600;TraesCS3B01G344600;TraesCS3A01G321100;TraesCS3D01G310200;TraesCS5A01G169500;TraesCS5D01G173900</t>
  </si>
  <si>
    <t>TraesCS1B01G127400;TraesCS3B01G314600;TraesCS5D01G232900;TraesCS1D01G105300;TraesCS5D01G232800;TraesCS4D01G362800;TraesCS5A01G538600;TraesCS4B01G021900;TraesCS5A01G225600;TraesCS1A01G096300;TraesCS5B01G224100;TraesCS5D01G052300;TraesCS7D01G213200;TraesCS2B01G351600;TraesCS2D01G332300;TraesCS7B01G118500;TraesCS3D01G280600;TraesCS2A01G330500;TraesCS3A01G131900;TraesCS3A01G280800</t>
  </si>
  <si>
    <t>TraesCS1D01G281200</t>
  </si>
  <si>
    <t>TraesCS6A01G098500;TraesCS6D01G084300;TraesCS3A01G125300;TraesCS2A01G309900</t>
  </si>
  <si>
    <t>indolalkylamine metabolic process</t>
  </si>
  <si>
    <t>TraesCS5D01G447800;TraesCS5B01G166300;TraesCS7B01G019600;TraesCS5A01G169500;TraesCS5D01G173900</t>
  </si>
  <si>
    <t>TraesCS1D01G294400</t>
  </si>
  <si>
    <t>tryptophan metabolic process</t>
  </si>
  <si>
    <t>TraesCS1D01G299100</t>
  </si>
  <si>
    <t>TraesCS5D01G328600;TraesCS5A01G322100;TraesCS2D01G016300;TraesCS1A01G385500</t>
  </si>
  <si>
    <t>transcription coactivator activity</t>
  </si>
  <si>
    <t>TraesCS4D01G062900;TraesCS4A01G250600;TraesCS4B01G064000</t>
  </si>
  <si>
    <t>TraesCS1D01G318700</t>
  </si>
  <si>
    <t>TraesCS7A01G501400;TraesCS2D01G074200;TraesCS5A01G236800;TraesCS7B01G408900;TraesCS6D01G208500;TraesCS7A01G205700;TraesCS5A01G153900;TraesCS2B01G310600;TraesCS7D01G488800;TraesCS6D01G071600;TraesCS7B01G255800;TraesCS6A01G226500;TraesCS7D01G208500;TraesCS6B01G255100;TraesCS7D01G071200;TraesCS4B01G097200;TraesCS5B01G235800;TraesCS7A01G075600;TraesCS2D01G165300;TraesCS5B01G235900;TraesCS5D01G159100;TraesCS7B01G019600;TraesCS6A01G150000;TraesCS6D01G139700</t>
  </si>
  <si>
    <t>TraesCS1B01G137300;TraesCS6A01G098500;TraesCS3D01G127300;TraesCS6D01G084300;TraesCS5B01G091200;TraesCS6B01G126400;TraesCS3A01G125300;TraesCS7D01G221900;TraesCS1D01G118600;TraesCS7D01G338100;TraesCS2A01G309900;TraesCS1A01G117500</t>
  </si>
  <si>
    <t>TraesCS7D01G418700;TraesCS4A01G321800;TraesCS7D01G418900;TraesCS7D01G419600;TraesCS2A01G484100;TraesCS5B01G252100;TraesCS7A01G426600;TraesCS7B01G099900;TraesCS2D01G484000;TraesCS7A01G426700</t>
  </si>
  <si>
    <t>TraesCS1D01G368900</t>
  </si>
  <si>
    <t>TraesCS1D01G266300;TraesCS3B01G264200;TraesCS4A01G285700;TraesCS4D01G024900;TraesCS3B01G104300;TraesCS1B01G277000;TraesCS4B01G027100</t>
  </si>
  <si>
    <t>TraesCS5D01G353600;TraesCS3B01G344600;TraesCS3A01G321100;TraesCS3D01G310200</t>
  </si>
  <si>
    <t>TraesCS1D01G452700</t>
  </si>
  <si>
    <t>TraesCS4D01G234400;TraesCS4A01G316200;TraesCS6A01G062700;TraesCS7A01G200100;TraesCS7A01G244400;TraesCS2D01G392200;TraesCS5B01G242000;TraesCS7D01G203100;TraesCS4D01G257900;TraesCS7D01G429000;TraesCS2A01G064900;TraesCS5B01G261500;TraesCS5B01G261800;TraesCS1B01G324000;TraesCS4B01G258000;TraesCS5A01G263100;TraesCS5D01G250700;TraesCS3D01G188000;TraesCS2D01G063000;TraesCS4B01G233300;TraesCS2B01G077100;TraesCS5D01G240100</t>
  </si>
  <si>
    <t>carbon-oxygen lyase activity</t>
  </si>
  <si>
    <t>TraesCS7A01G537600;TraesCS7D01G071200;TraesCS7B01G354800;TraesCS7D01G443400;TraesCS3D01G021600;TraesCS5D01G447800;TraesCS7D01G523500;TraesCS7A01G075600;TraesCS7B01G455900;TraesCS1D01G120800</t>
  </si>
  <si>
    <t>TraesCS1D01G375600;TraesCS2D01G074200;TraesCS2D01G284100;TraesCS7B01G142500;TraesCS7B01G255800;TraesCS6A01G226500;TraesCS7D01G208500;TraesCS5D01G328600;TraesCS6B01G255100;TraesCS5A01G322100;TraesCS4B01G097200;TraesCS5B01G235800;TraesCS2D01G165300;TraesCS5B01G235900;TraesCS2D01G016300;TraesCS4D01G266700;TraesCS7A01G501400;TraesCS5A01G236800;TraesCS7B01G408900;TraesCS6D01G208500;TraesCS7A01G205700;TraesCS2B01G310600;TraesCS7D01G488800;TraesCS6D01G071600;TraesCS6A01G150000;TraesCS6D01G139700;TraesCS1A01G385500</t>
  </si>
  <si>
    <t>TraesCS2A01G064900</t>
  </si>
  <si>
    <t>TraesCS5A01G153900;TraesCS5D01G159100</t>
  </si>
  <si>
    <t>nucleoside metabolic process</t>
  </si>
  <si>
    <t>TraesCS3D01G249300;TraesCS4A01G457200;TraesCS5A01G248800;TraesCS3A01G249300;TraesCS5D01G256000;TraesCS5B01G246500</t>
  </si>
  <si>
    <t>TraesCS2A01G106000</t>
  </si>
  <si>
    <t>TraesCS5D01G353600;TraesCS7B01G019600;TraesCS3B01G344600;TraesCS3A01G321100;TraesCS3D01G310200</t>
  </si>
  <si>
    <t>TraesCS2A01G144500</t>
  </si>
  <si>
    <t>TraesCS1D01G266300;TraesCS3B01G264200;TraesCS1B01G277000</t>
  </si>
  <si>
    <t>indole-containing compound metabolic process</t>
  </si>
  <si>
    <t>TraesCS2A01G221700</t>
  </si>
  <si>
    <t>TraesCS3B01G344600;TraesCS3A01G321100;TraesCS3D01G310200</t>
  </si>
  <si>
    <t>TraesCS2A01G269500</t>
  </si>
  <si>
    <t>TraesCS1B01G308900;TraesCS6A01G338600;TraesCS1D01G292100;TraesCS6D01G319300;TraesCS4D01G236800</t>
  </si>
  <si>
    <t>TraesCS2A01G291400</t>
  </si>
  <si>
    <t>regulation of response to biotic stimulus</t>
  </si>
  <si>
    <t>TraesCS2A01G305400</t>
  </si>
  <si>
    <t>TraesCS4D01G234400;TraesCS3D01G127300;TraesCS6D01G084300;TraesCS3A01G125300;TraesCS6A01G062700;TraesCS7A01G200100;TraesCS1D01G118600;TraesCS2B01G368200;TraesCS7A01G244400;TraesCS7D01G203100;TraesCS2A01G309900;TraesCS4D01G257900;TraesCS1A01G117500;TraesCS3B01G402200;TraesCS1B01G137300;TraesCS6A01G098500;TraesCS1B01G324000;TraesCS4B01G258000;TraesCS5B01G091200;TraesCS6B01G126400;TraesCS4B01G233300;TraesCS5D01G240100</t>
  </si>
  <si>
    <t>TraesCS2A01G309900</t>
  </si>
  <si>
    <t>ribonucleoside metabolic process</t>
  </si>
  <si>
    <t>TraesCS3D01G249300;TraesCS5A01G248800;TraesCS3A01G249300;TraesCS5D01G256000;TraesCS5B01G246500</t>
  </si>
  <si>
    <t>TraesCS2A01G322600</t>
  </si>
  <si>
    <t>TraesCS2A01G327200</t>
  </si>
  <si>
    <t>TraesCS2A01G330500</t>
  </si>
  <si>
    <t>TraesCS2A01G334300</t>
  </si>
  <si>
    <t>TraesCS2A01G337200</t>
  </si>
  <si>
    <t>TraesCS1A01G444100;TraesCS2B01G582300;TraesCS1B01G478600;TraesCS1D01G452100</t>
  </si>
  <si>
    <t>regulation of multi-organism process</t>
  </si>
  <si>
    <t>TraesCS1D01G233800;TraesCS1B01G245700;TraesCS5A01G118200;TraesCS1B01G245800</t>
  </si>
  <si>
    <t>regulation of response to external stimulus</t>
  </si>
  <si>
    <t>TraesCS2A01G373000</t>
  </si>
  <si>
    <t>regulation of anatomical structure morphogenesis</t>
  </si>
  <si>
    <t>TraesCS1B01G324000;TraesCS4B01G258000;TraesCS4D01G257900</t>
  </si>
  <si>
    <t>TraesCS6B01G355900;TraesCS3D01G293800;TraesCS5B01G566100;TraesCS6D01G305400;TraesCS2B01G548600;TraesCS6D01G305100;TraesCS2B01G412900</t>
  </si>
  <si>
    <t>TraesCS6A01G098500;TraesCS6D01G084300;TraesCS3A01G125300;TraesCS5A01G118200;TraesCS2A01G309900</t>
  </si>
  <si>
    <t>TraesCS2A01G386200</t>
  </si>
  <si>
    <t>one-carbon metabolic process</t>
  </si>
  <si>
    <t>TraesCS7A01G537600;TraesCS7D01G523500;TraesCS7B01G455900</t>
  </si>
  <si>
    <t>TraesCS2A01G458800</t>
  </si>
  <si>
    <t>TraesCS2A01G459100</t>
  </si>
  <si>
    <t>methionine gamma-lyase activity</t>
  </si>
  <si>
    <t>TraesCS2A01G461500</t>
  </si>
  <si>
    <t>TraesCS2A01G464400</t>
  </si>
  <si>
    <t>TraesCS2A01G484100</t>
  </si>
  <si>
    <t>TraesCS2B01G118100;TraesCS7B01G142500;TraesCS5D01G256000;TraesCS5B01G138700;TraesCS7D01G208500;TraesCS6B01G255100;TraesCS7D01G071200;TraesCS5B01G235800;TraesCS7A01G075600;TraesCS7B01G019600;TraesCS4A01G188300;TraesCS5A01G236800;TraesCS5B01G166300;TraesCS7A01G205700;TraesCS2B01G310600;TraesCS3D01G249300;TraesCS2B01G545300;TraesCS6D01G319300;TraesCS5D01G159100;TraesCS6D01G139700;TraesCS2D01G074200;TraesCS5D01G447800;TraesCS7D01G523500;TraesCS2D01G284100;TraesCS4D01G125100;TraesCS5A01G153900;TraesCS7B01G455900;TraesCS7B01G255800;TraesCS4D01G236800;TraesCS6A01G226500;TraesCS2A01G100900;TraesCS4B01G097200;TraesCS2D01G165300;TraesCS4A01G457200;TraesCS5A01G248800;TraesCS5B01G235900;TraesCSU01G109000;TraesCS4D01G266700;TraesCS5D01G173900;TraesCS7A01G387000;TraesCS6A01G338600;TraesCS7A01G501400;TraesCS7B01G408900;TraesCS6D01G208500;TraesCS7D01G488800;TraesCS4D01G176100;TraesCS5A01G169500;TraesCS5B01G246500;TraesCS6D01G071600;TraesCS7A01G537600;TraesCS3B01G270600;TraesCS3A01G249300;TraesCS6A01G150000</t>
  </si>
  <si>
    <t>TraesCS2A01G485900</t>
  </si>
  <si>
    <t>TraesCS2B01G615600;TraesCS3B01G549000;TraesCS2B01G615800;TraesCS2B01G615700;TraesCS3B01G549200;TraesCS4A01G235800;TraesCS1D01G130200;TraesCS2D01G081900;TraesCS1D01G318700;TraesCS6B01G205000;TraesCS7A01G428200;TraesCS2A01G571500;TraesCS1B01G331200;TraesCS2A01G573400</t>
  </si>
  <si>
    <t>TraesCS2A01G486000</t>
  </si>
  <si>
    <t>DNA polymerase III complex</t>
  </si>
  <si>
    <t>TraesCS2D01G340400;TraesCS2A01G322600</t>
  </si>
  <si>
    <t>TraesCS2A01G506800</t>
  </si>
  <si>
    <t>TraesCS2A01G516000</t>
  </si>
  <si>
    <t>TraesCS1B01G308900;TraesCS1D01G184500;TraesCS6A01G338600;TraesCS1D01G292100;TraesCS2B01G545300;TraesCS6D01G319300;TraesCS7A01G387000;TraesCS1B01G199600</t>
  </si>
  <si>
    <t>TraesCS3D01G127300;TraesCS6D01G084300;TraesCS3A01G125300;TraesCS6A01G062700;TraesCS7A01G200100;TraesCS1D01G118600;TraesCS2B01G368200;TraesCS7A01G244400;TraesCS7D01G203100;TraesCS2A01G309900;TraesCS4D01G257900;TraesCS1A01G117500;TraesCS3B01G402200;TraesCS1B01G137300;TraesCS6A01G098500;TraesCS1B01G324000;TraesCS4B01G258000;TraesCS5B01G091200;TraesCS6B01G126400;TraesCS5D01G240100</t>
  </si>
  <si>
    <t>protein disulfide oxidoreductase activity</t>
  </si>
  <si>
    <t>TraesCS2A01G100900;TraesCS5A01G044700;TraesCS2B01G118100;TraesCS3A01G158800;TraesCS4D01G176100;TraesCS5A01G094700;TraesCS5A01G094800</t>
  </si>
  <si>
    <t>TraesCS2A01G575700</t>
  </si>
  <si>
    <t>TraesCS1D01G184500;TraesCS5A01G281600;TraesCS3B01G549000;TraesCS2B01G615700;TraesCS3B01G549200;TraesCS7D01G271100;TraesCS1D01G130200;TraesCSU01G084800;TraesCS7B01G142500;TraesCS1B01G286300;TraesCS1B01G308900;TraesCS4B01G341600;TraesCS1B01G331200;TraesCS5B01G414500;TraesCS3D01G364300;TraesCS4A01G235800;TraesCS6A01G185100;TraesCS5B01G334000;TraesCS7D01G444200;TraesCS2D01G081900;TraesCS7A01G306600;TraesCS1D01G318700;TraesCS1B01G199600;TraesCS5A01G268400;TraesCS7A01G455300;TraesCS2B01G545300;TraesCS6D01G319300;TraesCSU01G134000;TraesCS1D01G276600;TraesCS3D01G310200;TraesCS4D01G240800;TraesCS2B01G615600;TraesCS2B01G615800;TraesCS2D01G016000;TraesCS4B01G009700;TraesCS3A01G321100;TraesCS7B01G255800;TraesCS1A01G277400;TraesCS2D01G037100;TraesCS2B01G057800;TraesCS7B01G168800;TraesCS3B01G344600;TraesCS4B01G135200;TraesCS7A01G387000;TraesCS7B01G355700;TraesCS1A01G034900;TraesCS5B01G414400;TraesCS6A01G338600;TraesCS1D01G292100;TraesCS2A01G006400;TraesCS2B01G006600;TraesCS2D01G015600;TraesCS7A01G428200;TraesCS2A01G571500;TraesCS2A01G573400</t>
  </si>
  <si>
    <t>TraesCS4D01G234400;TraesCS2D01G322600;TraesCS6A01G062700;TraesCS7A01G200100;TraesCS3A01G231500;TraesCS7A01G244400;TraesCS4A01G404500;TraesCS7D01G099500;TraesCS2A01G309900;TraesCS4D01G257900;TraesCS5B01G261500;TraesCS5B01G261800;TraesCS1B01G324000;TraesCS5A01G263100;TraesCS2B01G393600;TraesCS5B01G499100;TraesCS3B01G178600;TraesCS5D01G240100;TraesCS6D01G084300;TraesCS2A01G344300;TraesCS3A01G125300;TraesCS2B01G341800;TraesCS2A01G377400;TraesCS2B01G368200;TraesCS7D01G167000;TraesCS7D01G203100;TraesCS6A01G098500;TraesCS3B01G563200;TraesCS3D01G188100;TraesCS4B01G258000;TraesCS6B01G126400;TraesCS3D01G188000;TraesCS6A01G257300;TraesCS4B01G233300</t>
  </si>
  <si>
    <t>trehalose biosynthetic process</t>
  </si>
  <si>
    <t>TraesCS2D01G168200;TraesCS2B01G187200;TraesCS5A01G190000</t>
  </si>
  <si>
    <t>TraesCS3A01G260200;TraesCS4A01G321800;TraesCS5A01G315700;TraesCS7D01G418900;TraesCS3A01G409900;TraesCS3D01G404800;TraesCS7D01G419600;TraesCS5A01G443400;TraesCS2D01G484000;TraesCS1A01G203700;TraesCS2A01G484100;TraesCS2D01G510500;TraesCS7A01G426600;TraesCS7B01G099900;TraesCS7A01G426700;TraesCS5D01G450900</t>
  </si>
  <si>
    <t>TraesCS2B01G039900</t>
  </si>
  <si>
    <t>negative regulation of cellular amide metabolic process</t>
  </si>
  <si>
    <t>TraesCS5A01G037200;TraesCS4D01G052200;TraesCS2D01G338300;TraesCS3D01G516000</t>
  </si>
  <si>
    <t>negative regulation of translation</t>
  </si>
  <si>
    <t>TraesCS2B01G077100</t>
  </si>
  <si>
    <t>TraesCS2B01G101600</t>
  </si>
  <si>
    <t>TraesCS1B01G201800;TraesCS5B01G212500;TraesCS2B01G437000;TraesCS2B01G523300;TraesCS6D01G127600;TraesCS2D01G415500;TraesCS6B01G167100;TraesCS5D01G388200;TraesCS6D01G307900;TraesCS5A01G344800</t>
  </si>
  <si>
    <t>negative regulation of protein metabolic process</t>
  </si>
  <si>
    <t>TraesCS5A01G037200;TraesCS4D01G052200;TraesCS4B01G080500;TraesCS2D01G338300;TraesCS5D01G498300;TraesCS3D01G516000</t>
  </si>
  <si>
    <t>TraesCS2B01G169400</t>
  </si>
  <si>
    <t>negative regulation of cellular protein metabolic process</t>
  </si>
  <si>
    <t>TraesCS2B01G187200</t>
  </si>
  <si>
    <t>aspartic-type peptidase activity</t>
  </si>
  <si>
    <t>TraesCS7A01G489400;TraesCS7A01G489300;TraesCSU01G103000;TraesCS4D01G365000;TraesCS4A01G469500;TraesCS5B01G076600;TraesCS7B01G382700;TraesCS3D01G413600;TraesCS5A01G541900</t>
  </si>
  <si>
    <t>aspartic-type endopeptidase activity</t>
  </si>
  <si>
    <t>trehalose metabolic process</t>
  </si>
  <si>
    <t>TraesCS2B01G288200</t>
  </si>
  <si>
    <t>TraesCS2B01G310600</t>
  </si>
  <si>
    <t>TraesCS2B01G322200</t>
  </si>
  <si>
    <t>TraesCS2D01G507900;TraesCS2B01G535500;TraesCS2B01G535400</t>
  </si>
  <si>
    <t>TraesCS2B01G341800</t>
  </si>
  <si>
    <t>disulfide oxidoreductase activity</t>
  </si>
  <si>
    <t>TraesCS2B01G347600</t>
  </si>
  <si>
    <t>protein tetramerization</t>
  </si>
  <si>
    <t>TraesCS2B01G351600</t>
  </si>
  <si>
    <t>protein homotetramerization</t>
  </si>
  <si>
    <t>TraesCS2B01G368200</t>
  </si>
  <si>
    <t>multimeric ribonuclease P complex</t>
  </si>
  <si>
    <t>TraesCS2B01G393600</t>
  </si>
  <si>
    <t>nucleolar ribonuclease P complex</t>
  </si>
  <si>
    <t>cellular alkane metabolic process</t>
  </si>
  <si>
    <t>TraesCS2B01G403000</t>
  </si>
  <si>
    <t>alkane biosynthetic process</t>
  </si>
  <si>
    <t>acyl-[acyl-carrier-protein] hydrolase activity</t>
  </si>
  <si>
    <t>TraesCS7D01G418700;TraesCS2D01G374500;TraesCS7D01G418900;TraesCS2D01G372800;TraesCS2A01G376400;TraesCS5D01G403400;TraesCS5D01G256000;TraesCS4A01G442700;TraesCS2D01G374400;TraesCS7A01G177400;TraesCS6D01G105400;TraesCS5A01G248800;TraesCS2A01G484100;TraesCS7B01G424600;TraesCS5B01G252100;TraesCS6B01G144400;TraesCS7B01G099900;TraesCS4A01G321800;TraesCS2B01G393900;TraesCS7A01G492800;TraesCS7D01G419600;TraesCS2D01G484000;TraesCS5B01G246500;TraesCS3D01G354000;TraesCS5A01G304900;TraesCS7A01G426600;TraesCS7A01G426700;TraesCS3B01G158500</t>
  </si>
  <si>
    <t>TraesCS2B01G432500</t>
  </si>
  <si>
    <t>TraesCS7D01G418700;TraesCS4A01G321800;TraesCS7D01G418900;TraesCS7D01G419600;TraesCS2A01G484100;TraesCS5B01G252100;TraesCS7A01G426600;TraesCS7B01G099900;TraesCS2D01G484000;TraesCS7A01G426700;TraesCS6A01G337300</t>
  </si>
  <si>
    <t>TraesCS2B01G458400</t>
  </si>
  <si>
    <t>RNA polymerase activity</t>
  </si>
  <si>
    <t>TraesCS6D01G278700;TraesCS1B01G093900;TraesCS6B01G328300;TraesCS3B01G363400;TraesCS3D01G326800;TraesCS3A01G333200</t>
  </si>
  <si>
    <t>5'-3' RNA polymerase activity</t>
  </si>
  <si>
    <t>TraesCS2B01G485900</t>
  </si>
  <si>
    <t>TraesCS5D01G447800;TraesCS2D01G284100;TraesCS5A01G153900;TraesCS5D01G256000;TraesCS7B01G255800;TraesCS6A01G226500;TraesCS7D01G208500;TraesCS6B01G255100;TraesCS7D01G071200;TraesCS4B01G097200;TraesCS7A01G075600;TraesCS2D01G165300;TraesCS5A01G248800;TraesCS7B01G019600;TraesCS4D01G266700;TraesCS7A01G501400;TraesCS7B01G408900;TraesCS6D01G208500;TraesCS7A01G205700;TraesCS7D01G488800;TraesCS5B01G246500;TraesCS6D01G071600;TraesCS5D01G159100;TraesCS6A01G150000;TraesCS6D01G139700</t>
  </si>
  <si>
    <t>TraesCS2B01G490000</t>
  </si>
  <si>
    <t>TraesCS7D01G418700;TraesCS4A01G321800;TraesCS2B01G393900;TraesCS2D01G374500;TraesCS7D01G418900;TraesCS7A01G492800;TraesCS2D01G372800;TraesCS2A01G376400;TraesCS7D01G419600;TraesCS5D01G403400;TraesCS4A01G442700;TraesCS2D01G374400;TraesCS2D01G484000;TraesCS3D01G354000;TraesCS5A01G304900;TraesCS6D01G105400;TraesCS2A01G484100;TraesCS7B01G424600;TraesCS5B01G252100;TraesCS6B01G144400;TraesCS7A01G426600;TraesCS7B01G099900;TraesCS7A01G426700;TraesCS3B01G158500</t>
  </si>
  <si>
    <t>TraesCS2B01G500500</t>
  </si>
  <si>
    <t>TraesCS2B01G505800</t>
  </si>
  <si>
    <t>TraesCS5B01G291100;TraesCS2A01G429000;TraesCS7A01G033000;TraesCS7A01G205700;TraesCS2D01G016100;TraesCSU01G033700;TraesCS1D01G165000;TraesCS6D01G071600;TraesCS7B01G255800;TraesCS7D01G208500;TraesCS2B01G006800;TraesCS5D01G328600;TraesCS2B01G006700;TraesCS4D01G055600;TraesCS5A01G322100;TraesCS2B01G006300;TraesCS4A01G456400;TraesCS7B01G462200;TraesCS2D01G016300;TraesCS7A01G148300;TraesCS1A01G385500</t>
  </si>
  <si>
    <t>disaccharide biosynthetic process</t>
  </si>
  <si>
    <t>TraesCS1B01G127400;TraesCS3B01G314600;TraesCS6D01G387900;TraesCS1D01G369000;TraesCS1D01G105300;TraesCS4D01G362800;TraesCS4B01G021900;TraesCS5A01G225600;TraesCS1A01G096300;TraesCS5B01G224100;TraesCS5D01G401500;TraesCS7D01G213200;TraesCS2B01G351600;TraesCS7B01G118500;TraesCS3D01G280600;TraesCS7B01G020800;TraesCS3A01G131900;TraesCS3A01G280800;TraesCS3D01G217800;TraesCS5D01G232900;TraesCS5D01G232800;TraesCS5A01G538600;TraesCS5D01G052300;TraesCS3B01G158800;TraesCS2D01G332300;TraesCS2A01G330500;TraesCS6A01G404600</t>
  </si>
  <si>
    <t>TraesCS2B01G523300</t>
  </si>
  <si>
    <t>dynein complex</t>
  </si>
  <si>
    <t>TraesCS2D01G325700;TraesCS2A01G337200</t>
  </si>
  <si>
    <t>transcription, RNA-templated</t>
  </si>
  <si>
    <t>TraesCS6D01G278700;TraesCS6B01G328300</t>
  </si>
  <si>
    <t>TraesCS2B01G544500</t>
  </si>
  <si>
    <t>TraesCS6B01G355900;TraesCS7B01G145200;TraesCS3D01G293800;TraesCS5B01G566100;TraesCS6D01G305400;TraesCS2B01G548600;TraesCS6D01G305100;TraesCS2B01G412900</t>
  </si>
  <si>
    <t>malate transport</t>
  </si>
  <si>
    <t>TraesCS7D01G221900;TraesCS7D01G338100</t>
  </si>
  <si>
    <t>TraesCS2B01G548600</t>
  </si>
  <si>
    <t>TraesCS4D01G234400;TraesCS2D01G322600;TraesCS6A01G062700;TraesCS7A01G200100;TraesCS7A01G244400;TraesCS4A01G404500;TraesCS2A01G309900;TraesCS4D01G257900;TraesCS1A01G117500;TraesCS3B01G402200;TraesCS1B01G324000;TraesCS5B01G091200;TraesCS6A01G329900;TraesCS5D01G240100;TraesCS3D01G127300;TraesCS6D01G084300;TraesCS2A01G344300;TraesCS3A01G125300;TraesCS2B01G341800;TraesCS1D01G118600;TraesCS2B01G368200;TraesCS7D01G203100;TraesCS1B01G137300;TraesCS6A01G098500;TraesCS3B01G563200;TraesCS2A01G575700;TraesCS4B01G258000;TraesCS6B01G126400;TraesCS3A01G331900;TraesCS1D01G309800;TraesCS4B01G233300</t>
  </si>
  <si>
    <t>TraesCS2B01G551700</t>
  </si>
  <si>
    <t>DNA polymerase complex</t>
  </si>
  <si>
    <t>amine-lyase activity</t>
  </si>
  <si>
    <t>TraesCS5B01G195400;TraesCS7D01G076300;TraesCS5D01G202800</t>
  </si>
  <si>
    <t>strictosidine synthase activity</t>
  </si>
  <si>
    <t>TraesCS2B01G582300</t>
  </si>
  <si>
    <t>TraesCS5B01G291100;TraesCS2A01G429000;TraesCS7A01G033000;TraesCS7A01G205700;TraesCS2D01G016100;TraesCS1D01G165000;TraesCS6D01G071600;TraesCS7B01G255800;TraesCS7D01G208500;TraesCS2B01G006800;TraesCS5D01G328600;TraesCS2B01G006700;TraesCS4D01G055600;TraesCS5A01G322100;TraesCS2B01G006300;TraesCS4A01G456400;TraesCS2D01G016300;TraesCS7A01G148300;TraesCS1A01G385500</t>
  </si>
  <si>
    <t>glycosyl compound metabolic process</t>
  </si>
  <si>
    <t>TraesCS2B01G610900</t>
  </si>
  <si>
    <t>TraesCS6A01G062700;TraesCS7A01G200100;TraesCS7D01G203100;TraesCS5D01G240100</t>
  </si>
  <si>
    <t>C4-dicarboxylate transport</t>
  </si>
  <si>
    <t>TraesCS2B01G618000</t>
  </si>
  <si>
    <t>TraesCS2D01G010600</t>
  </si>
  <si>
    <t>TraesCS2D01G015600</t>
  </si>
  <si>
    <t>TraesCS4D01G266700</t>
  </si>
  <si>
    <t>TraesCS5A01G118200</t>
  </si>
  <si>
    <t>TraesCS2D01G037300</t>
  </si>
  <si>
    <t>TraesCS2D01G063000</t>
  </si>
  <si>
    <t>TraesCS2D01G074200</t>
  </si>
  <si>
    <t>TraesCS2D01G081900</t>
  </si>
  <si>
    <t>TraesCS2D01G148400</t>
  </si>
  <si>
    <t>carbohydrate derivative catabolic process</t>
  </si>
  <si>
    <t>TraesCS3A01G260200;TraesCS3D01G249300;TraesCS1A01G203700;TraesCS3A01G249300</t>
  </si>
  <si>
    <t>nucleotidyltransferase activity</t>
  </si>
  <si>
    <t>TraesCS6D01G278700;TraesCS1B01G093900;TraesCSU01G109000;TraesCS2D01G340400;TraesCS6B01G328300;TraesCS3B01G363400;TraesCS3D01G326800;TraesCS2A01G322600;TraesCS3A01G333200</t>
  </si>
  <si>
    <t>TraesCS2D01G168200</t>
  </si>
  <si>
    <t>leaf morphogenesis</t>
  </si>
  <si>
    <t>triglyceride lipase activity</t>
  </si>
  <si>
    <t>TraesCS1D01G266300;TraesCS3B01G104300;TraesCS1B01G277000</t>
  </si>
  <si>
    <t>regulation of meristem growth</t>
  </si>
  <si>
    <t>TraesCS1D01G452700;TraesCS2A01G484100;TraesCS2B01G310600</t>
  </si>
  <si>
    <t>dicarboxylic acid transport</t>
  </si>
  <si>
    <t>TraesCS2D01G268500</t>
  </si>
  <si>
    <t>cellular biogenic amine metabolic process</t>
  </si>
  <si>
    <t>TraesCS3A01G409900;TraesCS5B01G348800;TraesCS3D01G404800</t>
  </si>
  <si>
    <t>TraesCS2D01G281100</t>
  </si>
  <si>
    <t>TraesCS7D01G418700;TraesCS4A01G321800;TraesCS7D01G418900;TraesCS7D01G419600;TraesCS2D01G484000;TraesCS6A01G337300;TraesCS2D01G168200;TraesCS2A01G484100;TraesCS5B01G252100;TraesCS2B01G187200;TraesCS4D01G266700;TraesCS5A01G190000;TraesCS7A01G426600;TraesCS7B01G099900;TraesCS7A01G426700</t>
  </si>
  <si>
    <t>cellular amine metabolic process</t>
  </si>
  <si>
    <t>TraesCS2D01G303900</t>
  </si>
  <si>
    <t>ribonuclease MRP complex</t>
  </si>
  <si>
    <t>TraesCS2D01G322600</t>
  </si>
  <si>
    <t>endonuclease complex</t>
  </si>
  <si>
    <t>TraesCS2D01G325700</t>
  </si>
  <si>
    <t>endoribonuclease complex</t>
  </si>
  <si>
    <t>TraesCS2D01G332300</t>
  </si>
  <si>
    <t>ribonuclease P complex</t>
  </si>
  <si>
    <t>negative regulation of DNA-binding transcription factor activity</t>
  </si>
  <si>
    <t>TraesCS2D01G340400</t>
  </si>
  <si>
    <t>myo-inositol transmembrane transporter activity</t>
  </si>
  <si>
    <t>TraesCS2D01G368300</t>
  </si>
  <si>
    <t>myo-inositol:proton symporter activity</t>
  </si>
  <si>
    <t>TraesCS2D01G369200</t>
  </si>
  <si>
    <t>myo-inositol transport</t>
  </si>
  <si>
    <t>oligosaccharide biosynthetic process</t>
  </si>
  <si>
    <t>nucleoside biosynthetic process</t>
  </si>
  <si>
    <t>ribonucleoside biosynthetic process</t>
  </si>
  <si>
    <t>photoreceptor activity</t>
  </si>
  <si>
    <t>TraesCS7D01G476200;TraesCS4D01G052200</t>
  </si>
  <si>
    <t>RNA-directed 5'-3' RNA polymerase activity</t>
  </si>
  <si>
    <t>TraesCS2D01G433400</t>
  </si>
  <si>
    <t>TraesCS2D01G436500</t>
  </si>
  <si>
    <t>TraesCS7A01G501400;TraesCS5D01G447800;TraesCS7B01G408900;TraesCS6D01G208500;TraesCS7A01G205700;TraesCS5A01G153900;TraesCS7D01G488800;TraesCS6D01G071600;TraesCS7B01G255800;TraesCS6A01G226500;TraesCS7D01G208500;TraesCS6B01G255100;TraesCS7D01G071200;TraesCS4B01G097200;TraesCS7A01G075600;TraesCS2D01G165300;TraesCS5D01G159100;TraesCS7B01G019600;TraesCS6A01G150000;TraesCS6D01G139700</t>
  </si>
  <si>
    <t>TraesCS2D01G484000</t>
  </si>
  <si>
    <t>TraesCS3D01G270200;TraesCS3A01G270400</t>
  </si>
  <si>
    <t>TraesCS2D01G485900</t>
  </si>
  <si>
    <t>TraesCS5B01G261500;TraesCS5B01G261800;TraesCS5A01G263100;TraesCS3D01G188000;TraesCS6A01G062700;TraesCS7A01G200100;TraesCS7A01G244400;TraesCS7D01G203100;TraesCS5D01G240100</t>
  </si>
  <si>
    <t>oxidoreductase activity, acting on a sulfur group of donors</t>
  </si>
  <si>
    <t>TraesCS2D01G074200;TraesCS5D01G447800;TraesCS5A01G153900;TraesCS7B01G255800;TraesCS4D01G236800;TraesCS6A01G226500;TraesCS7D01G208500;TraesCS6B01G255100;TraesCS7D01G071200;TraesCS4B01G097200;TraesCS5B01G235800;TraesCS7A01G075600;TraesCS2D01G165300;TraesCS5B01G235900;TraesCS7B01G019600;TraesCS5D01G173900;TraesCS7A01G387000;TraesCS6A01G338600;TraesCS7A01G501400;TraesCS5A01G236800;TraesCS5B01G166300;TraesCS7B01G408900;TraesCS6D01G208500;TraesCS7A01G205700;TraesCS2B01G310600;TraesCS7D01G488800;TraesCS5A01G169500;TraesCS6D01G071600;TraesCS2B01G545300;TraesCS6D01G319300;TraesCS5D01G159100;TraesCS6A01G150000;TraesCS6D01G139700</t>
  </si>
  <si>
    <t>TraesCS2A01G100900;TraesCS2B01G118100;TraesCS4D01G176100</t>
  </si>
  <si>
    <t>TraesCS2D01G545700</t>
  </si>
  <si>
    <t>extracellular structure organization</t>
  </si>
  <si>
    <t>TraesCS3A01G409900;TraesCS3D01G404800</t>
  </si>
  <si>
    <t>extracellular matrix organization</t>
  </si>
  <si>
    <t>TraesCS2D01G545900</t>
  </si>
  <si>
    <t>cell wall assembly</t>
  </si>
  <si>
    <t>TraesCS2D01G555800</t>
  </si>
  <si>
    <t>plant-type cell wall assembly</t>
  </si>
  <si>
    <t>cellulose microfibril organization</t>
  </si>
  <si>
    <t>TraesCS3A01G001200</t>
  </si>
  <si>
    <t>polyol transport</t>
  </si>
  <si>
    <t>TraesCS3A01G050800</t>
  </si>
  <si>
    <t>TraesCS3A01G079800</t>
  </si>
  <si>
    <t>TraesCS5D01G353600;TraesCS5A01G037200;TraesCS2D01G338300;TraesCS3D01G516000</t>
  </si>
  <si>
    <t>TraesCS3D01G127300;TraesCS2A01G344300;TraesCS2D01G322600;TraesCS2B01G341800;TraesCS1D01G118600;TraesCS2B01G368200;TraesCS4A01G404500;TraesCS4D01G257900;TraesCS1A01G117500;TraesCS1B01G137300;TraesCS3B01G563200;TraesCS1B01G324000;TraesCS4B01G258000;TraesCS5B01G091200</t>
  </si>
  <si>
    <t>TraesCS3A01G105400</t>
  </si>
  <si>
    <t>leaf shaping</t>
  </si>
  <si>
    <t>TraesCS3A01G131900</t>
  </si>
  <si>
    <t>TraesCS3A01G151800</t>
  </si>
  <si>
    <t>TraesCS3A01G158800</t>
  </si>
  <si>
    <t>TraesCS3A01G162400</t>
  </si>
  <si>
    <t>TraesCS3A01G162800</t>
  </si>
  <si>
    <t>TraesCS3A01G216200</t>
  </si>
  <si>
    <t>TraesCS3A01G231100</t>
  </si>
  <si>
    <t>TraesCS3A01G233100</t>
  </si>
  <si>
    <t>TraesCS3A01G233600</t>
  </si>
  <si>
    <t>TraesCS3A01G260200</t>
  </si>
  <si>
    <t>TraesCS3A01G270400</t>
  </si>
  <si>
    <t>TraesCS3A01G326400</t>
  </si>
  <si>
    <t>TraesCS3A01G333200</t>
  </si>
  <si>
    <t>TraesCS3A01G409900</t>
  </si>
  <si>
    <t>TraesCS3A01G442600</t>
  </si>
  <si>
    <t>TraesCS3A01G467700</t>
  </si>
  <si>
    <t>TraesCS3A01G490600</t>
  </si>
  <si>
    <t>TraesCS3A01G505600</t>
  </si>
  <si>
    <t>TraesCS3A01G505700</t>
  </si>
  <si>
    <t>TraesCS3B01G048700</t>
  </si>
  <si>
    <t>TraesCS3B01G054000</t>
  </si>
  <si>
    <t>TraesCS3B01G080100</t>
  </si>
  <si>
    <t>TraesCS3B01G123800</t>
  </si>
  <si>
    <t>TraesCS3B01G158800</t>
  </si>
  <si>
    <t>TraesCS3B01G160300</t>
  </si>
  <si>
    <t>TraesCS3B01G178600</t>
  </si>
  <si>
    <t>TraesCS3B01G228700</t>
  </si>
  <si>
    <t>TraesCS3B01G258800</t>
  </si>
  <si>
    <t>TraesCS3B01G262700</t>
  </si>
  <si>
    <t>TraesCS3B01G264200</t>
  </si>
  <si>
    <t>TraesCS3B01G288300</t>
  </si>
  <si>
    <t>TraesCS3B01G355700</t>
  </si>
  <si>
    <t>TraesCS3B01G363400</t>
  </si>
  <si>
    <t>TraesCS3B01G365300</t>
  </si>
  <si>
    <t>TraesCS3B01G428100</t>
  </si>
  <si>
    <t>TraesCS3B01G516100</t>
  </si>
  <si>
    <t>TraesCS3B01G533800</t>
  </si>
  <si>
    <t>TraesCS3B01G536600</t>
  </si>
  <si>
    <t>TraesCS3B01G549800</t>
  </si>
  <si>
    <t>TraesCS3B01G550200</t>
  </si>
  <si>
    <t>TraesCS3D01G021600</t>
  </si>
  <si>
    <t>TraesCS3D01G035900</t>
  </si>
  <si>
    <t>TraesCS3D01G050400</t>
  </si>
  <si>
    <t>TraesCS3D01G060500</t>
  </si>
  <si>
    <t>TraesCS3D01G066200</t>
  </si>
  <si>
    <t>TraesCS3D01G067100</t>
  </si>
  <si>
    <t>TraesCS3D01G107500</t>
  </si>
  <si>
    <t>TraesCS3D01G127300</t>
  </si>
  <si>
    <t>TraesCS3D01G142500</t>
  </si>
  <si>
    <t>TraesCS3D01G217800</t>
  </si>
  <si>
    <t>TraesCS3D01G219800</t>
  </si>
  <si>
    <t>TraesCS3D01G270200</t>
  </si>
  <si>
    <t>TraesCS3D01G277300</t>
  </si>
  <si>
    <t>TraesCS3D01G293800</t>
  </si>
  <si>
    <t>TraesCS3D01G319800</t>
  </si>
  <si>
    <t>TraesCS3D01G326800</t>
  </si>
  <si>
    <t>TraesCS3D01G353900</t>
  </si>
  <si>
    <t>TraesCS3D01G354000</t>
  </si>
  <si>
    <t>TraesCS3D01G404800</t>
  </si>
  <si>
    <t>TraesCS3D01G413600</t>
  </si>
  <si>
    <t>TraesCS3D01G425300</t>
  </si>
  <si>
    <t>TraesCS3D01G435200</t>
  </si>
  <si>
    <t>TraesCS3D01G462000</t>
  </si>
  <si>
    <t>TraesCS3D01G516000</t>
  </si>
  <si>
    <t>TraesCS4A01G007900</t>
  </si>
  <si>
    <t>TraesCS4A01G069200</t>
  </si>
  <si>
    <t>TraesCS4A01G115600</t>
  </si>
  <si>
    <t>TraesCS4A01G118300</t>
  </si>
  <si>
    <t>TraesCS4A01G123400</t>
  </si>
  <si>
    <t>TraesCS4A01G208400</t>
  </si>
  <si>
    <t>TraesCS4A01G247400</t>
  </si>
  <si>
    <t>TraesCS4A01G250600</t>
  </si>
  <si>
    <t>TraesCS4A01G285700</t>
  </si>
  <si>
    <t>TraesCS4A01G299100</t>
  </si>
  <si>
    <t>TraesCS4A01G386600</t>
  </si>
  <si>
    <t>TraesCS4A01G392300</t>
  </si>
  <si>
    <t>TraesCS4A01G404500</t>
  </si>
  <si>
    <t>TraesCS4A01G437400</t>
  </si>
  <si>
    <t>TraesCS4A01G442700</t>
  </si>
  <si>
    <t>TraesCS4A01G456400</t>
  </si>
  <si>
    <t>TraesCS4A01G457200</t>
  </si>
  <si>
    <t>TraesCS4B01G014300</t>
  </si>
  <si>
    <t>TraesCS4B01G021900</t>
  </si>
  <si>
    <t>TraesCS4B01G027100</t>
  </si>
  <si>
    <t>TraesCS4B01G064000</t>
  </si>
  <si>
    <t>TraesCS4B01G067500</t>
  </si>
  <si>
    <t>TraesCS4B01G073600</t>
  </si>
  <si>
    <t>TraesCS4B01G076500</t>
  </si>
  <si>
    <t>TraesCS4B01G080500</t>
  </si>
  <si>
    <t>TraesCS4B01G082300</t>
  </si>
  <si>
    <t>TraesCS4B01G116700</t>
  </si>
  <si>
    <t>TraesCS4B01G135200</t>
  </si>
  <si>
    <t>TraesCS4B01G169000</t>
  </si>
  <si>
    <t>TraesCS4B01G185600</t>
  </si>
  <si>
    <t>TraesCS4B01G218900</t>
  </si>
  <si>
    <t>TraesCS4B01G233300</t>
  </si>
  <si>
    <t>TraesCS4B01G278500</t>
  </si>
  <si>
    <t>TraesCS4B01G292700</t>
  </si>
  <si>
    <t>TraesCS4B01G296000</t>
  </si>
  <si>
    <t>TraesCS4B01G297000</t>
  </si>
  <si>
    <t>TraesCS4B01G304600</t>
  </si>
  <si>
    <t>TraesCS4B01G341600</t>
  </si>
  <si>
    <t>TraesCS4D01G008300</t>
  </si>
  <si>
    <t>TraesCS4D01G012500</t>
  </si>
  <si>
    <t>TraesCS4D01G024900</t>
  </si>
  <si>
    <t>TraesCS4D01G062900</t>
  </si>
  <si>
    <t>TraesCS4D01G066400</t>
  </si>
  <si>
    <t>TraesCS4D01G182500</t>
  </si>
  <si>
    <t>TraesCS4D01G189800</t>
  </si>
  <si>
    <t>TraesCS4D01G234400</t>
  </si>
  <si>
    <t>TraesCS4D01G240800</t>
  </si>
  <si>
    <t>TraesCS4D01G249200</t>
  </si>
  <si>
    <t>TraesCS4D01G295800</t>
  </si>
  <si>
    <t>TraesCS4D01G295900</t>
  </si>
  <si>
    <t>TraesCS4D01G362800</t>
  </si>
  <si>
    <t>TraesCS4D01G365000</t>
  </si>
  <si>
    <t>TraesCS5A01G034800</t>
  </si>
  <si>
    <t>TraesCS5A01G037200</t>
  </si>
  <si>
    <t>TraesCS5A01G041900</t>
  </si>
  <si>
    <t>TraesCS5A01G077400</t>
  </si>
  <si>
    <t>TraesCS5A01G087100</t>
  </si>
  <si>
    <t>TraesCS5A01G094700</t>
  </si>
  <si>
    <t>TraesCS5A01G163000</t>
  </si>
  <si>
    <t>TraesCS5A01G172900</t>
  </si>
  <si>
    <t>TraesCS5A01G190000</t>
  </si>
  <si>
    <t>TraesCS5A01G225800</t>
  </si>
  <si>
    <t>TraesCS5A01G227100</t>
  </si>
  <si>
    <t>TraesCS5A01G239200</t>
  </si>
  <si>
    <t>TraesCS5A01G248800</t>
  </si>
  <si>
    <t>TraesCS5A01G294700</t>
  </si>
  <si>
    <t>TraesCS5A01G304900</t>
  </si>
  <si>
    <t>TraesCS5A01G344800</t>
  </si>
  <si>
    <t>TraesCS5A01G378200</t>
  </si>
  <si>
    <t>TraesCS5A01G388900</t>
  </si>
  <si>
    <t>TraesCS5A01G443400</t>
  </si>
  <si>
    <t>TraesCS5A01G472500</t>
  </si>
  <si>
    <t>TraesCS5A01G479500</t>
  </si>
  <si>
    <t>TraesCS5A01G538600</t>
  </si>
  <si>
    <t>TraesCS5A01G541900</t>
  </si>
  <si>
    <t>TraesCS5B01G044400</t>
  </si>
  <si>
    <t>TraesCS5B01G086300</t>
  </si>
  <si>
    <t>TraesCS5B01G091200</t>
  </si>
  <si>
    <t>TraesCS5B01G099500</t>
  </si>
  <si>
    <t>TraesCS5B01G138700</t>
  </si>
  <si>
    <t>TraesCS5B01G212500</t>
  </si>
  <si>
    <t>TraesCS5B01G215300</t>
  </si>
  <si>
    <t>TraesCS5B01G229100</t>
  </si>
  <si>
    <t>TraesCS5B01G237800</t>
  </si>
  <si>
    <t>TraesCS5B01G246500</t>
  </si>
  <si>
    <t>TraesCS5B01G348800</t>
  </si>
  <si>
    <t>TraesCS5B01G357200</t>
  </si>
  <si>
    <t>TraesCS5B01G409100</t>
  </si>
  <si>
    <t>TraesCS5B01G414500</t>
  </si>
  <si>
    <t>TraesCS5B01G493000</t>
  </si>
  <si>
    <t>TraesCS5B01G499100</t>
  </si>
  <si>
    <t>TraesCS5D01G044500</t>
  </si>
  <si>
    <t>TraesCS5D01G052300</t>
  </si>
  <si>
    <t>TraesCS5D01G073800</t>
  </si>
  <si>
    <t>TraesCS5D01G099100</t>
  </si>
  <si>
    <t>TraesCS5D01G119100</t>
  </si>
  <si>
    <t>TraesCS5D01G138100</t>
  </si>
  <si>
    <t>TraesCS5D01G138400</t>
  </si>
  <si>
    <t>TraesCS5D01G168000</t>
  </si>
  <si>
    <t>TraesCS5D01G177400</t>
  </si>
  <si>
    <t>TraesCS5D01G228200</t>
  </si>
  <si>
    <t>TraesCS5D01G234600</t>
  </si>
  <si>
    <t>TraesCS5D01G240100</t>
  </si>
  <si>
    <t>TraesCS5D01G256000</t>
  </si>
  <si>
    <t>TraesCS5D01G258500</t>
  </si>
  <si>
    <t>TraesCS5D01G298000</t>
  </si>
  <si>
    <t>TraesCS5D01G313600</t>
  </si>
  <si>
    <t>TraesCS5D01G328600</t>
  </si>
  <si>
    <t>TraesCS5D01G354000</t>
  </si>
  <si>
    <t>TraesCS5D01G385900</t>
  </si>
  <si>
    <t>TraesCS5D01G387500</t>
  </si>
  <si>
    <t>TraesCS5D01G388200</t>
  </si>
  <si>
    <t>TraesCS5D01G403400</t>
  </si>
  <si>
    <t>TraesCS5D01G417300</t>
  </si>
  <si>
    <t>TraesCS5D01G450900</t>
  </si>
  <si>
    <t>TraesCS5D01G507300</t>
  </si>
  <si>
    <t>TraesCS5D01G558500</t>
  </si>
  <si>
    <t>TraesCS6A01G062700</t>
  </si>
  <si>
    <t>TraesCS6A01G185600</t>
  </si>
  <si>
    <t>TraesCS6A01G222100</t>
  </si>
  <si>
    <t>TraesCS6A01G257300</t>
  </si>
  <si>
    <t>TraesCS6A01G259200</t>
  </si>
  <si>
    <t>TraesCS6A01G273700</t>
  </si>
  <si>
    <t>TraesCS6A01G303600</t>
  </si>
  <si>
    <t>TraesCS6A01G321300</t>
  </si>
  <si>
    <t>TraesCS6A01G329900</t>
  </si>
  <si>
    <t>TraesCS6A01G338500</t>
  </si>
  <si>
    <t>TraesCS6A01G376100</t>
  </si>
  <si>
    <t>TraesCS6A01G376400</t>
  </si>
  <si>
    <t>TraesCS6A01G376600</t>
  </si>
  <si>
    <t>TraesCS6A01G376800</t>
  </si>
  <si>
    <t>TraesCS6A01G376900</t>
  </si>
  <si>
    <t>TraesCS6A01G377100</t>
  </si>
  <si>
    <t>TraesCS6A01G377200</t>
  </si>
  <si>
    <t>TraesCS6A01G389700</t>
  </si>
  <si>
    <t>TraesCS6A01G405600</t>
  </si>
  <si>
    <t>TraesCS6B01G029200</t>
  </si>
  <si>
    <t>TraesCS6B01G109900</t>
  </si>
  <si>
    <t>TraesCS6B01G110200</t>
  </si>
  <si>
    <t>TraesCS6B01G120100</t>
  </si>
  <si>
    <t>TraesCS6B01G167100</t>
  </si>
  <si>
    <t>TraesCS6B01G191400</t>
  </si>
  <si>
    <t>TraesCS6B01G205000</t>
  </si>
  <si>
    <t>TraesCS6B01G255100</t>
  </si>
  <si>
    <t>TraesCS6B01G347100</t>
  </si>
  <si>
    <t>TraesCS6B01G366700</t>
  </si>
  <si>
    <t>TraesCS6B01G366900</t>
  </si>
  <si>
    <t>TraesCS6B01G369200</t>
  </si>
  <si>
    <t>TraesCS6B01G413800</t>
  </si>
  <si>
    <t>TraesCS6B01G414400</t>
  </si>
  <si>
    <t>TraesCS6B01G414600</t>
  </si>
  <si>
    <t>TraesCS6D01G013700</t>
  </si>
  <si>
    <t>TraesCS6D01G057000</t>
  </si>
  <si>
    <t>TraesCS6D01G105400</t>
  </si>
  <si>
    <t>TraesCS6D01G127600</t>
  </si>
  <si>
    <t>TraesCS6D01G199100</t>
  </si>
  <si>
    <t>TraesCS6D01G226100</t>
  </si>
  <si>
    <t>TraesCS6D01G240300</t>
  </si>
  <si>
    <t>TraesCS6D01G268300</t>
  </si>
  <si>
    <t>TraesCS6D01G278700</t>
  </si>
  <si>
    <t>TraesCS6D01G283100</t>
  </si>
  <si>
    <t>TraesCS6D01G301000</t>
  </si>
  <si>
    <t>TraesCS6D01G307900</t>
  </si>
  <si>
    <t>TraesCS6D01G316000</t>
  </si>
  <si>
    <t>TraesCS6D01G361800</t>
  </si>
  <si>
    <t>TraesCS7A01G033000</t>
  </si>
  <si>
    <t>TraesCS7A01G126700</t>
  </si>
  <si>
    <t>TraesCS7A01G164000</t>
  </si>
  <si>
    <t>TraesCS7A01G193700</t>
  </si>
  <si>
    <t>TraesCS7A01G205700</t>
  </si>
  <si>
    <t>TraesCS7A01G240600</t>
  </si>
  <si>
    <t>TraesCS7A01G256900</t>
  </si>
  <si>
    <t>TraesCS7A01G306600</t>
  </si>
  <si>
    <t>TraesCS7A01G368200</t>
  </si>
  <si>
    <t>TraesCS7A01G389300</t>
  </si>
  <si>
    <t>TraesCS7A01G428200</t>
  </si>
  <si>
    <t>TraesCS7A01G455300</t>
  </si>
  <si>
    <t>TraesCS7A01G455400</t>
  </si>
  <si>
    <t>TraesCS7A01G504400</t>
  </si>
  <si>
    <t>TraesCS7A01G531500</t>
  </si>
  <si>
    <t>TraesCS7B01G026300</t>
  </si>
  <si>
    <t>TraesCS7B01G028300</t>
  </si>
  <si>
    <t>TraesCS7B01G038800</t>
  </si>
  <si>
    <t>TraesCS7B01G069800</t>
  </si>
  <si>
    <t>TraesCS7B01G090500</t>
  </si>
  <si>
    <t>TraesCS7B01G099900</t>
  </si>
  <si>
    <t>TraesCS7B01G110900</t>
  </si>
  <si>
    <t>TraesCS7B01G112900</t>
  </si>
  <si>
    <t>TraesCS7B01G145100</t>
  </si>
  <si>
    <t>TraesCS7B01G169900</t>
  </si>
  <si>
    <t>TraesCS7B01G245000</t>
  </si>
  <si>
    <t>TraesCS7B01G355700</t>
  </si>
  <si>
    <t>TraesCS7B01G355800</t>
  </si>
  <si>
    <t>TraesCS7B01G364600</t>
  </si>
  <si>
    <t>TraesCS7B01G382700</t>
  </si>
  <si>
    <t>TraesCS7B01G406400</t>
  </si>
  <si>
    <t>TraesCS7B01G443100</t>
  </si>
  <si>
    <t>TraesCS7B01G455900</t>
  </si>
  <si>
    <t>TraesCS7B01G462200</t>
  </si>
  <si>
    <t>TraesCS7D01G006700</t>
  </si>
  <si>
    <t>TraesCS7D01G014600</t>
  </si>
  <si>
    <t>TraesCS7D01G067400</t>
  </si>
  <si>
    <t>TraesCS7D01G076300</t>
  </si>
  <si>
    <t>TraesCS7D01G082600</t>
  </si>
  <si>
    <t>TraesCS7D01G082800</t>
  </si>
  <si>
    <t>TraesCS7D01G087700</t>
  </si>
  <si>
    <t>TraesCS7D01G099500</t>
  </si>
  <si>
    <t>TraesCS7D01G166100</t>
  </si>
  <si>
    <t>TraesCS7D01G167000</t>
  </si>
  <si>
    <t>TraesCS7D01G181800</t>
  </si>
  <si>
    <t>TraesCS7D01G190900</t>
  </si>
  <si>
    <t>TraesCS7D01G203100</t>
  </si>
  <si>
    <t>TraesCS7D01G208500</t>
  </si>
  <si>
    <t>TraesCS7D01G338100</t>
  </si>
  <si>
    <t>TraesCS7D01G419600</t>
  </si>
  <si>
    <t>TraesCS7D01G444200</t>
  </si>
  <si>
    <t>TraesCS7D01G444300</t>
  </si>
  <si>
    <t>TraesCS7D01G462300</t>
  </si>
  <si>
    <t>TraesCS7D01G462400</t>
  </si>
  <si>
    <t>TraesCS7D01G462500</t>
  </si>
  <si>
    <t>TraesCS7D01G519000</t>
  </si>
  <si>
    <t>TraesCS7D01G531400</t>
  </si>
  <si>
    <t>TraesCSU01G043700</t>
  </si>
  <si>
    <t>TraesCSU01G072800</t>
  </si>
  <si>
    <t>TraesCSU01G103000</t>
  </si>
  <si>
    <t>TraesCSU01G109000</t>
  </si>
  <si>
    <t>Fg_down &amp; AS6+Fg_vs_Fg_down</t>
  </si>
  <si>
    <t>Gene list (47)</t>
  </si>
  <si>
    <t>TraesCS4A01G492600;TraesCS6D01G403800;TraesCS6B01G466600</t>
  </si>
  <si>
    <t>TraesCS7B01G048700;TraesCS4A01G492600;TraesCS6D01G403800;TraesCS6B01G466600</t>
  </si>
  <si>
    <t>TraesCS2D01G097400;TraesCS2A01G098000</t>
  </si>
  <si>
    <t>TraesCS7B01G048700;TraesCS4A01G492600;TraesCS6D01G403800;TraesCS3D01G110300;TraesCS6B01G466600</t>
  </si>
  <si>
    <t>TraesCS7B01G048700;TraesCS4A01G492600;TraesCS6D01G403800;TraesCS3B01G354300;TraesCS3D01G110300;TraesCS6B01G466600;TraesCS6A01G367300</t>
  </si>
  <si>
    <t>cellular response to nutrient levels</t>
  </si>
  <si>
    <t>response to nutrient levels</t>
  </si>
  <si>
    <t>response to sucrose</t>
  </si>
  <si>
    <t>response to disaccharide</t>
  </si>
  <si>
    <t>TraesCS1B01G477900;TraesCS3B01G354300;TraesCS6A01G367300</t>
  </si>
  <si>
    <t>response to extracellular stimulus</t>
  </si>
  <si>
    <t>TraesCS1B01G477900;TraesCS3B01G354300</t>
  </si>
  <si>
    <t>response to carbohydrate</t>
  </si>
  <si>
    <t>lipid transport</t>
  </si>
  <si>
    <t>TraesCS4B01G397500;TraesCS3A01G053000</t>
  </si>
  <si>
    <t>TraesCS1B01G477900;TraesCS7B01G048700;TraesCS3B01G354300;TraesCS6A01G367300</t>
  </si>
  <si>
    <t>TraesCS1B01G477900;TraesCS2D01G433700;TraesCS3A01G364100;TraesCS2A01G510400;TraesCS2B01G178400;TraesCS3B01G354300;TraesCS6B01G273200;TraesCS2A01G436200;TraesCS6A01G367300;TraesCS2B01G091000</t>
  </si>
  <si>
    <t>lipid localization</t>
  </si>
  <si>
    <t>cell communication</t>
  </si>
  <si>
    <t>TraesCS2D01G097400;TraesCS3D01G166700;TraesCS3A01G364100;TraesCS2A01G098000</t>
  </si>
  <si>
    <t>TraesCS4D01G091700;TraesCS6D01G096900</t>
  </si>
  <si>
    <t>TraesCS3B01G354300;TraesCS3D01G110300</t>
  </si>
  <si>
    <t>1,3-beta-D-glucan synthase complex</t>
  </si>
  <si>
    <t>(1-&gt;3)-beta-D-glucan metabolic process</t>
  </si>
  <si>
    <t>(1-&gt;3)-beta-D-glucan biosynthetic process</t>
  </si>
  <si>
    <t>1,3-beta-D-glucan synthase activity</t>
  </si>
  <si>
    <t>response to organic substance</t>
  </si>
  <si>
    <t>TraesCS2D01G097400;TraesCS3D01G166700;TraesCS2A01G098000</t>
  </si>
  <si>
    <t>cellular response to stimulus</t>
  </si>
  <si>
    <t>TraesCS2B01G591100;TraesCS5B01G418800;TraesCS4A01G061000;TraesCS4D01G091700;TraesCS7B01G048700;TraesCS6D01G096900;TraesCS1A01G058700;TraesCS6A01G242200</t>
  </si>
  <si>
    <t>carbohydrate derivative transport</t>
  </si>
  <si>
    <t>plant-type cell wall</t>
  </si>
  <si>
    <t>plasma membrane protein complex</t>
  </si>
  <si>
    <t>macromolecule localization</t>
  </si>
  <si>
    <t>TraesCS3A01G364100;TraesCS4B01G397500;TraesCS3A01G053000</t>
  </si>
  <si>
    <t>response to external stimulus</t>
  </si>
  <si>
    <t>Fg_down &amp; GA+Fg_vs_Fg_up</t>
  </si>
  <si>
    <t>Gene list (349)</t>
  </si>
  <si>
    <t>TraesCS6D01G026600;TraesCS6D01G026500;TraesCS7D01G010000;TraesCS2B01G403000;TraesCS2A01G386100;TraesCS4A01G484800;TraesCS2D01G382600;TraesCS6D01G026400;TraesCS7A01G010200;TraesCS6B01G031300</t>
  </si>
  <si>
    <t>TraesCS1B01G216400</t>
  </si>
  <si>
    <t>TraesCS3A01G260200;TraesCS7A01G204500;TraesCS4B01G242300;TraesCS6A01G337300;TraesCS7B01G145100;TraesCS6D01G318100;TraesCS1B01G377100;TraesCS2A01G484100;TraesCS2B01G403000;TraesCS2A01G488900;TraesCS7B01G256000;TraesCS4D01G241900;TraesCS7B01G099900;TraesCS7A01G010200;TraesCS3D01G516000;TraesCS6B01G031300;TraesCS3B01G529700;TraesCS4A01G172000;TraesCS5A01G037200;TraesCS7D01G010000;TraesCS7D01G419600;TraesCS4A01G484800;TraesCS2D01G338300;TraesCS2D01G484000;TraesCS7D01G207600;TraesCS6D01G026600;TraesCS6D01G026500;TraesCS2A01G386100;TraesCS2D01G382600;TraesCS6D01G026400</t>
  </si>
  <si>
    <t>TraesCS3A01G260200;TraesCS7A01G204500;TraesCS4B01G242300;TraesCS6A01G337300;TraesCS7B01G145100;TraesCS6D01G318100;TraesCS1B01G377100;TraesCS2A01G484100;TraesCS2B01G403000;TraesCS2A01G488900;TraesCS7B01G256000;TraesCS4D01G241900;TraesCS7B01G099900;TraesCS7A01G010200;TraesCS6B01G031300;TraesCS3B01G529700;TraesCS4A01G172000;TraesCS7D01G010000;TraesCS7D01G419600;TraesCS4A01G484800;TraesCS2D01G484000;TraesCS7D01G207600;TraesCS6D01G026600;TraesCS6D01G026500;TraesCS2A01G386100;TraesCS2D01G382600;TraesCS6D01G026400</t>
  </si>
  <si>
    <t>TraesCS7A01G501400;TraesCS5D01G195500;TraesCS6B01G178000;TraesCS6D01G208500;TraesCS7A01G205700;TraesCS2B01G310600;TraesCS7D01G488800;TraesCS6D01G071600;TraesCS6A01G226500;TraesCS7D01G208500;TraesCS6B01G255100;TraesCS5B01G235800;TraesCS5B01G235900;TraesCS6A01G150000;TraesCS5B01G187900;TraesCS6D01G139700;TraesCS5A01G195500</t>
  </si>
  <si>
    <t>TraesCS4D01G024900;TraesCS2B01G575200;TraesCS5D01G195500;TraesCS4A01G316500;TraesCS6A01G226500;TraesCS7D01G208500;TraesCS5D01G328600;TraesCS6B01G255100;TraesCS5B01G235800;TraesCS5B01G235900;TraesCS6D01G008900;TraesCS2A01G285900;TraesCS2B01G500500;TraesCS2D01G016300;TraesCS5B01G187900;TraesCS4D01G266700;TraesCS4A01G285700;TraesCS7A01G501400;TraesCS6B01G178000;TraesCS6D01G208500;TraesCS7A01G205700;TraesCS2B01G310600;TraesCS7D01G488800;TraesCS2D01G545900;TraesCS6A01G311000;TraesCS6D01G071600;TraesCS2D01G545800;TraesCS2D01G332500;TraesCS6A01G150000;TraesCS6D01G139700;TraesCS4B01G027100;TraesCS5A01G195500</t>
  </si>
  <si>
    <t>TraesCS7A01G501400;TraesCS5D01G195500;TraesCS6B01G178000;TraesCS6D01G208500;TraesCS7A01G205700;TraesCS7D01G488800;TraesCS6D01G071600;TraesCS6A01G226500;TraesCS7D01G208500;TraesCS6B01G255100;TraesCS6A01G150000;TraesCS5B01G187900;TraesCS6D01G139700;TraesCS5A01G195500</t>
  </si>
  <si>
    <t>TraesCS3A01G260200;TraesCS7A01G489400;TraesCS3A01G346900;TraesCS4D01G024900;TraesCS7A01G204500;TraesCS7A01G256900;TraesCS2D01G322600;TraesCS4A01G316500;TraesCS2B01G535500;TraesCS1D01G205600;TraesCS6A01G337300;TraesCS7B01G145100;TraesCS5D01G322200;TraesCS6D01G318100;TraesCSU01G103000;TraesCS2A01G484100;TraesCS2A01G488900;TraesCS7B01G256000;TraesCS2A01G574700;TraesCS4D01G241900;TraesCS7B01G099900;TraesCS3B01G529700;TraesCS2A01G344300;TraesCS7D01G010000;TraesCS2B01G341800;TraesCS7B01G028300;TraesCS6A01G311000;TraesCS2D01G484000;TraesCS7B01G467200;TraesCS6D01G026500;TraesCS5B01G236800;TraesCS4A01G183300;TraesCS2D01G340400;TraesCS3B01G378600;TraesCS2D01G332500;TraesCS2A01G386100;TraesCS2D01G382600;TraesCS2D01G015900;TraesCS7A01G489300;TraesCS4A01G469500;TraesCS3D01G413600;TraesCS4B01G242300;TraesCS5A01G541900;TraesCS6D01G008900;TraesCS1B01G377100;TraesCS2A01G285900;TraesCS2B01G403000;TraesCS2B01G500500;TraesCS7A01G010200;TraesCS3D01G516000;TraesCS6B01G031300;TraesCS4A01G172000;TraesCS4A01G285700;TraesCS5A01G037200;TraesCS7D01G419600;TraesCS7A01G100600;TraesCS7B01G382700;TraesCS5A01G316000;TraesCS4A01G484800;TraesCS1B01G216400;TraesCS2D01G338300;TraesCS7D01G207600;TraesCS6D01G026600;TraesCS3B01G270600;TraesCS6B01G254500;TraesCS7A01G240600;TraesCS4B01G027100;TraesCS6D01G026400</t>
  </si>
  <si>
    <t>TraesCS3A01G260200;TraesCS7A01G204500;TraesCS4B01G242300;TraesCS6A01G337300;TraesCS7B01G145100;TraesCS6D01G318100;TraesCS1B01G377100;TraesCS2A01G285900;TraesCS2A01G484100;TraesCS2B01G403000;TraesCS2A01G488900;TraesCS5B01G252100;TraesCS7B01G256000;TraesCS4D01G266700;TraesCS4D01G241900;TraesCS7B01G099900;TraesCS7A01G010200;TraesCS6B01G031300;TraesCS3B01G529700;TraesCS4A01G172000;TraesCS7D01G010000;TraesCS7D01G419600;TraesCS4A01G484800;TraesCS2D01G484000;TraesCS7D01G207600;TraesCS6D01G026600;TraesCS6D01G026500;TraesCS2D01G332500;TraesCS2A01G386100;TraesCS2D01G382600;TraesCS6D01G026400</t>
  </si>
  <si>
    <t>TraesCS7A01G501400;TraesCS2B01G575200;TraesCS5D01G195500;TraesCS6B01G178000;TraesCS6D01G208500;TraesCS7A01G205700;TraesCS7D01G488800;TraesCS2D01G545900;TraesCS6D01G071600;TraesCS2D01G545800;TraesCS6A01G226500;TraesCS7D01G208500;TraesCS5D01G328600;TraesCS6B01G255100;TraesCS6A01G150000;TraesCS2D01G016300;TraesCS5B01G187900;TraesCS6D01G139700;TraesCS4D01G266700;TraesCS5A01G195500</t>
  </si>
  <si>
    <t>TraesCS7A01G501400;TraesCS5D01G195500;TraesCS6B01G178000;TraesCS6D01G208500;TraesCS7A01G205700;TraesCS2B01G310600;TraesCS7D01G488800;TraesCS6D01G071600;TraesCS6A01G226500;TraesCS7D01G208500;TraesCS5D01G328600;TraesCS6B01G255100;TraesCS5B01G235800;TraesCS5B01G235900;TraesCS6A01G150000;TraesCS2D01G016300;TraesCS5B01G187900;TraesCS6D01G139700;TraesCS4D01G266700;TraesCS5A01G195500</t>
  </si>
  <si>
    <t>TraesCS1D01G021800;TraesCS4D01G008300;TraesCS7A01G278500;TraesCS7A01G389300</t>
  </si>
  <si>
    <t>TraesCS1D01G205600</t>
  </si>
  <si>
    <t>TraesCS7A01G164000;TraesCS3A01G346900;TraesCS4D01G024900;TraesCS7D01G166100;TraesCS7A01G204500;TraesCS3B01G054000;TraesCS2B01G535500;TraesCS6A01G337300;TraesCS7D01G208500;TraesCS7B01G145100;TraesCS5B01G235800;TraesCSU01G103000;TraesCS4A01G250600;TraesCS6D01G316000;TraesCS2A01G484100;TraesCS2D01G016300;TraesCS7B01G256000;TraesCS5B01G187900;TraesCS7B01G099900;TraesCSU01G043700;TraesCS7A01G205700;TraesCS7D01G010000;TraesCS2B01G310600;TraesCS4A01G086400;TraesCS6B01G117400;TraesCS2D01G484000;TraesCS7B01G448900;TraesCS4D01G062900;TraesCS5B01G215800;TraesCS2A01G386100;TraesCS5A01G195500;TraesCS7A01G489300;TraesCS4B01G242300;TraesCS5D01G328600;TraesCS6B01G366700;TraesCS6D01G008900;TraesCS2A01G285900;TraesCS2B01G403000;TraesCS2B01G500500;TraesCS4B01G064000;TraesCS4A01G285700;TraesCS5A01G316000;TraesCS4A01G484800;TraesCS2D01G545900;TraesCS4D01G218400;TraesCS3D01G395000;TraesCS6A01G336300;TraesCS6D01G071600;TraesCS3B01G433600;TraesCS6D01G026600;TraesCS6A01G150000;TraesCS3A01G505600;TraesCS3A01G260200;TraesCS7A01G489400;TraesCS1B01G093900;TraesCS2B01G575200;TraesCS4A01G316500;TraesCS1D01G205600;TraesCS6B01G255100;TraesCS5D01G322200;TraesCS6D01G318100;TraesCS2A01G488900;TraesCS5B01G252100;TraesCS4D01G241900;TraesCS3B01G529700;TraesCS6D01G174700;TraesCS4B01G218000;TraesCS3A01G400600;TraesCS6A01G311000;TraesCS2D01G545800;TraesCS6D01G026500;TraesCS2D01G340400;TraesCS3B01G378600;TraesCS2D01G332500;TraesCS6D01G139700;TraesCS2D01G382600;TraesCS5B01G058800;TraesCS7D01G519000;TraesCS5D01G447800;TraesCS5D01G195500;TraesCS1D01G105300;TraesCS4A01G469500;TraesCS3D01G413600;TraesCS5A01G541900;TraesCS5D01G069200;TraesCS7B01G069800;TraesCS4D01G236800;TraesCS6A01G226500;TraesCS6B01G366900;TraesCS5B01G235900;TraesCS1B01G377100;TraesCS4D01G266700;TraesCS7A01G010200;TraesCS6B01G031300;TraesCS4A01G172000;TraesCS7A01G501400;TraesCS6B01G178000;TraesCS6D01G208500;TraesCS7D01G419600;TraesCS7B01G382700;TraesCS7D01G488800;TraesCS1B01G216400;TraesCS2A01G478800;TraesCS7D01G207600;TraesCS3B01G270600;TraesCS5D01G138400;TraesCS4B01G027100;TraesCS6D01G026400</t>
  </si>
  <si>
    <t>TraesCS5D01G101500;TraesCS7A01G455400;TraesCS2A01G484100;TraesCS2B01G310600;TraesCS7D01G444300</t>
  </si>
  <si>
    <t>TraesCS2A01G066300</t>
  </si>
  <si>
    <t>TraesCS2A01G429000;TraesCS5D01G195500;TraesCS7A01G205700;TraesCS2D01G016100;TraesCS6D01G071600;TraesCS7D01G208500;TraesCS2B01G006800;TraesCS5D01G328600;TraesCS2B01G006700;TraesCS1A01G270000;TraesCS7B01G462200;TraesCS2D01G016300;TraesCS5B01G187900;TraesCS7A01G148300;TraesCS5A01G195500</t>
  </si>
  <si>
    <t>TraesCS2A01G429000;TraesCS5D01G195500;TraesCS7A01G205700;TraesCS2D01G016100;TraesCS6D01G071600;TraesCS7D01G208500;TraesCS2B01G006800;TraesCS5D01G328600;TraesCS2B01G006700;TraesCS1A01G270000;TraesCS2D01G016300;TraesCS5B01G187900;TraesCS7A01G148300;TraesCS5A01G195500</t>
  </si>
  <si>
    <t>TraesCS7A01G501400;TraesCS5D01G447800;TraesCS5D01G195500;TraesCS6B01G178000;TraesCS6D01G208500;TraesCS7A01G205700;TraesCS7D01G488800;TraesCS6D01G071600;TraesCS6A01G226500;TraesCS7D01G208500;TraesCS6B01G255100;TraesCS6A01G150000;TraesCS5B01G187900;TraesCS6D01G139700;TraesCS5A01G195500</t>
  </si>
  <si>
    <t>TraesCS2A01G285900</t>
  </si>
  <si>
    <t>TraesCS7A01G455400;TraesCS7D01G444300</t>
  </si>
  <si>
    <t>TraesCS7A01G501400;TraesCS5D01G447800;TraesCS5D01G195500;TraesCS6B01G178000;TraesCS6D01G208500;TraesCS7A01G205700;TraesCS7D01G488800;TraesCS6D01G071600;TraesCS6A01G226500;TraesCS7D01G208500;TraesCS6B01G255100;TraesCS6A01G150000;TraesCS5B01G187900;TraesCS6D01G139700;TraesCS4D01G266700;TraesCS5A01G195500</t>
  </si>
  <si>
    <t>TraesCS2A01G368200</t>
  </si>
  <si>
    <t>TraesCS7A01G489400;TraesCS7A01G489300;TraesCSU01G103000;TraesCS4A01G469500;TraesCS7B01G382700;TraesCS3D01G413600;TraesCS5A01G541900</t>
  </si>
  <si>
    <t>TraesCS7B01G448900;TraesCS7D01G519000</t>
  </si>
  <si>
    <t>TraesCS7D01G419600;TraesCS2A01G484100;TraesCS7B01G099900;TraesCS2D01G484000</t>
  </si>
  <si>
    <t>TraesCS5D01G101500;TraesCS2A01G484100;TraesCS2B01G310600</t>
  </si>
  <si>
    <t>TraesCS7A01G501400;TraesCS5D01G447800;TraesCS5D01G195500;TraesCS6B01G178000;TraesCS6D01G208500;TraesCS7A01G205700;TraesCS2B01G310600;TraesCS7D01G488800;TraesCS6D01G071600;TraesCS4D01G236800;TraesCS6A01G226500;TraesCS7D01G208500;TraesCS6B01G255100;TraesCS5B01G235800;TraesCS5B01G235900;TraesCS6A01G150000;TraesCS5B01G187900;TraesCS6D01G139700;TraesCS5A01G195500</t>
  </si>
  <si>
    <t>TraesCS7B01G084000;TraesCS2D01G073700;TraesCS7D01G180200;TraesCS7A01G386800;TraesCS2A01G075000</t>
  </si>
  <si>
    <t>TraesCS2A01G544800;TraesCS1A01G176000;TraesCS2B01G575200;TraesCS2D01G016000;TraesCS1D01G130200;TraesCSU01G084800;TraesCS1D01G096400;TraesCS7D01G221100;TraesCS5A01G094800;TraesCS6A01G226500;TraesCS6B01G255100;TraesCS7B01G171100;TraesCS1D01G021800;TraesCS3B01G350200;TraesCS4D01G008300;TraesCS5B01G235800;TraesCS5B01G235900;TraesCS1B01G331200;TraesCS7B01G355700;TraesCS2B01G412900;TraesCS7A01G278500;TraesCS7A01G389300;TraesCS7A01G501400;TraesCS6B01G178000;TraesCS6D01G208500;TraesCS7D01G444200;TraesCS7D01G488800;TraesCS2D01G081900;TraesCS6A01G225800;TraesCS2D01G545900;TraesCS7D01G375700;TraesCS2D01G545800;TraesCS3D01G035900;TraesCS7A01G455300;TraesCS6A01G150000;TraesCS6D01G139700;TraesCS3D01G314700</t>
  </si>
  <si>
    <t>RNA glycosylase activity</t>
  </si>
  <si>
    <t>TraesCS5A01G037200;TraesCS2D01G338300;TraesCS3D01G516000</t>
  </si>
  <si>
    <t>rRNA N-glycosylase activity</t>
  </si>
  <si>
    <t>transcription coregulator activity</t>
  </si>
  <si>
    <t>TraesCS5B01G235800;TraesCS5B01G235900</t>
  </si>
  <si>
    <t>TraesCS2B01G390000</t>
  </si>
  <si>
    <t>TraesCS2A01G544800;TraesCS1A01G176000;TraesCS2B01G575200;TraesCS2D01G016000;TraesCS1D01G130200;TraesCSU01G084800;TraesCS1D01G096400;TraesCS6A01G226500;TraesCS6B01G255100;TraesCS7B01G171100;TraesCS1D01G021800;TraesCS3B01G350200;TraesCS4D01G008300;TraesCS5B01G235800;TraesCS5B01G235900;TraesCS1B01G331200;TraesCS7B01G355700;TraesCS2B01G412900;TraesCS7A01G278500;TraesCS7A01G389300;TraesCS7A01G501400;TraesCS6B01G178000;TraesCS6D01G208500;TraesCS7D01G444200;TraesCS7D01G488800;TraesCS2D01G081900;TraesCS6A01G225800;TraesCS2D01G545900;TraesCS7D01G375700;TraesCS2D01G545800;TraesCS3D01G035900;TraesCS7A01G455300;TraesCS6A01G150000;TraesCS6D01G139700;TraesCS3D01G314700</t>
  </si>
  <si>
    <t>plant-type ovary development</t>
  </si>
  <si>
    <t>plant ovule development</t>
  </si>
  <si>
    <t>TraesCS7A01G537600;TraesCS7B01G455900</t>
  </si>
  <si>
    <t>regulation of meristem development</t>
  </si>
  <si>
    <t>TraesCS7A01G501400;TraesCS6B01G178000;TraesCS6D01G208500;TraesCS2D01G016000;TraesCSU01G084800;TraesCS7D01G444200;TraesCS7D01G488800;TraesCS6A01G226500;TraesCS6B01G255100;TraesCS7B01G171100;TraesCS7A01G455300;TraesCS6A01G150000;TraesCS6D01G139700;TraesCS7B01G355700</t>
  </si>
  <si>
    <t>TraesCS2A01G285900;TraesCS2D01G332500</t>
  </si>
  <si>
    <t>TraesCS1D01G130200;TraesCS2D01G081900;TraesCS1B01G331200;TraesCS1D01G096400</t>
  </si>
  <si>
    <t>catalytic activity, acting on a rRNA</t>
  </si>
  <si>
    <t>carpel development</t>
  </si>
  <si>
    <t>TraesCS5D01G447800;TraesCS5D01G195500;TraesCS7B01G455900;TraesCS4D01G236800;TraesCS6A01G226500;TraesCS7D01G208500;TraesCS6B01G255100;TraesCS5B01G235800;TraesCS5B01G235900;TraesCS2A01G285900;TraesCS5B01G187900;TraesCS4D01G266700;TraesCS7A01G501400;TraesCS6B01G178000;TraesCS6D01G208500;TraesCS7A01G205700;TraesCS2B01G310600;TraesCS7D01G488800;TraesCS6D01G071600;TraesCS7A01G537600;TraesCS3B01G270600;TraesCS2D01G332500;TraesCS6A01G150000;TraesCS6D01G139700;TraesCS5A01G195500</t>
  </si>
  <si>
    <t>TraesCS7D01G419600;TraesCS2A01G285900;TraesCS2A01G484100;TraesCS2D01G332500;TraesCS5B01G252100;TraesCS4D01G266700;TraesCS7B01G099900;TraesCS2D01G484000;TraesCS6A01G337300</t>
  </si>
  <si>
    <t>TraesCS7D01G419600;TraesCS2A01G484100;TraesCS5B01G252100;TraesCS7B01G099900;TraesCS2D01G484000</t>
  </si>
  <si>
    <t>gynoecium development</t>
  </si>
  <si>
    <t>TraesCS3A01G260200;TraesCS7D01G419600;TraesCS2A01G484100;TraesCS7B01G099900;TraesCS2D01G484000</t>
  </si>
  <si>
    <t>leaf development</t>
  </si>
  <si>
    <t>meristem maintenance</t>
  </si>
  <si>
    <t>shoot system morphogenesis</t>
  </si>
  <si>
    <t>TraesCS5D01G052300;TraesCS6A01G324500;TraesCS4D01G085200;TraesCS4B01G088100;TraesCSU01G057300</t>
  </si>
  <si>
    <t>TraesCS2A01G285900;TraesCS2D01G332500;TraesCS4D01G266700</t>
  </si>
  <si>
    <t>TraesCS5B01G058800;TraesCS1B01G093900;TraesCS5D01G447800;TraesCS2B01G575200;TraesCS5D01G195500;TraesCS1D01G105300;TraesCS2D01G016100;TraesCS5D01G202800;TraesCS5D01G069200;TraesCS6A01G226500;TraesCS7D01G208500;TraesCS5D01G328600;TraesCS6B01G366700;TraesCS6B01G255100;TraesCS4A01G250600;TraesCS5B01G195400;TraesCS7B01G462200;TraesCS2D01G016300;TraesCS5B01G252100;TraesCS5B01G187900;TraesCS4D01G266700;TraesCS4B01G064000;TraesCS7A01G501400;TraesCS6B01G178000;TraesCS6D01G208500;TraesCS7A01G205700;TraesCS4B01G218000;TraesCS4A01G086400;TraesCS7D01G488800;TraesCS2D01G545900;TraesCS4D01G218400;TraesCS6D01G071600;TraesCS2D01G545800;TraesCS2B01G006800;TraesCS2B01G006700;TraesCS4D01G062900;TraesCS2D01G340400;TraesCS5B01G215800;TraesCS6A01G150000;TraesCS5D01G224200;TraesCS6D01G139700;TraesCS5A01G195500</t>
  </si>
  <si>
    <t>TraesCS5D01G328600;TraesCS2D01G016300</t>
  </si>
  <si>
    <t>protein tyrosine kinase activity</t>
  </si>
  <si>
    <t>TraesCS3B01G433600;TraesCS3A01G400600;TraesCS3D01G395000</t>
  </si>
  <si>
    <t>TraesCS7D01G419600;TraesCS2A01G484100;TraesCS1B01G216400;TraesCS7B01G099900;TraesCS2D01G484000</t>
  </si>
  <si>
    <t>TraesCS7D01G419600;TraesCS2A01G484100;TraesCS5B01G252100;TraesCS7B01G099900;TraesCS2D01G484000;TraesCS6A01G337300</t>
  </si>
  <si>
    <t>TraesCS1D01G215100;TraesCS2D01G369200;TraesCS2A01G373000;TraesCS2B01G390000</t>
  </si>
  <si>
    <t>TraesCS3A01G475800</t>
  </si>
  <si>
    <t>TraesCS7A01G489400;TraesCS7A01G489300;TraesCS5D01G322200;TraesCSU01G103000;TraesCS4A01G469500;TraesCS7B01G382700;TraesCS5A01G316000;TraesCS3D01G413600;TraesCS5A01G541900</t>
  </si>
  <si>
    <t>TraesCS3B01G073700</t>
  </si>
  <si>
    <t>TraesCS5B01G261800;TraesCS5A01G263100</t>
  </si>
  <si>
    <t>TraesCS3A01G260200;TraesCS1D01G130200;TraesCS2D01G081900;TraesCS1B01G331200;TraesCS1D01G096400</t>
  </si>
  <si>
    <t>regulation of DNA-binding transcription factor activity</t>
  </si>
  <si>
    <t>TraesCS3B01G201000</t>
  </si>
  <si>
    <t>TraesCS2A01G144500;TraesCS2B01G169400;TraesCS2D01G148400</t>
  </si>
  <si>
    <t>TraesCS5B01G195400;TraesCS5D01G202800</t>
  </si>
  <si>
    <t>TraesCS3B01G316100</t>
  </si>
  <si>
    <t>TraesCS7A01G537600;TraesCS5D01G447800;TraesCS7B01G455900</t>
  </si>
  <si>
    <t>long-chain-alcohol oxidase activity</t>
  </si>
  <si>
    <t>TraesCS6A01G225800</t>
  </si>
  <si>
    <t>regulation of developmental process</t>
  </si>
  <si>
    <t>chitin binding</t>
  </si>
  <si>
    <t>TraesCS3A01G260200;TraesCS5B01G348800</t>
  </si>
  <si>
    <t>defense response to fungus</t>
  </si>
  <si>
    <t>TraesCS2B01G582000;TraesCS2D01G081900;TraesCS2A01G551000</t>
  </si>
  <si>
    <t>TraesCS4A01G208500;TraesCS5D01G101500;TraesCS6D01G174700;TraesCS5B01G348800;TraesCS7A01G455300;TraesCS7D01G419600;TraesCS2A01G484100;TraesCS1B01G216400;TraesCS6B01G117400;TraesCS7B01G099900;TraesCS2D01G484000</t>
  </si>
  <si>
    <t>TraesCS4A01G285700;TraesCS4D01G024900;TraesCS4B01G027100</t>
  </si>
  <si>
    <t>regulation of cellular amide metabolic process</t>
  </si>
  <si>
    <t>regulation of translation</t>
  </si>
  <si>
    <t>plant organ morphogenesis</t>
  </si>
  <si>
    <t>meristem development</t>
  </si>
  <si>
    <t>TraesCS7A01G489400;TraesCS3A01G346900;TraesCS7A01G489300;TraesCS4A01G469500;TraesCS7B01G382700;TraesCS5A01G316000;TraesCS3D01G413600;TraesCS5A01G541900;TraesCS1B01G216400;TraesCS1D01G205600;TraesCS5D01G322200;TraesCSU01G103000;TraesCS3B01G378600</t>
  </si>
  <si>
    <t>pyrimidine deoxyribonucleoside triphosphate metabolic process</t>
  </si>
  <si>
    <t>dUTP metabolic process</t>
  </si>
  <si>
    <t>TraesCS4A01G183300</t>
  </si>
  <si>
    <t>wax metabolic process</t>
  </si>
  <si>
    <t>TraesCS4A01G198700</t>
  </si>
  <si>
    <t>wax biosynthetic process</t>
  </si>
  <si>
    <t>TraesCS4A01G498000</t>
  </si>
  <si>
    <t>TraesCS4D01G085200</t>
  </si>
  <si>
    <t>TraesCS4D01G218400</t>
  </si>
  <si>
    <t>TraesCS5A01G089400</t>
  </si>
  <si>
    <t>TraesCS5A01G289400</t>
  </si>
  <si>
    <t>TraesCS5B01G065000</t>
  </si>
  <si>
    <t>TraesCS5B01G277800</t>
  </si>
  <si>
    <t>TraesCS5D01G094400</t>
  </si>
  <si>
    <t>TraesCS5D01G101500</t>
  </si>
  <si>
    <t>TraesCS5D01G195500</t>
  </si>
  <si>
    <t>TraesCS5D01G224200</t>
  </si>
  <si>
    <t>TraesCS6A01G324500</t>
  </si>
  <si>
    <t>TraesCS6A01G336300</t>
  </si>
  <si>
    <t>TraesCS6B01G178000</t>
  </si>
  <si>
    <t>TraesCS6B01G254500</t>
  </si>
  <si>
    <t>TraesCS6B01G277500</t>
  </si>
  <si>
    <t>TraesCS6D01G174700</t>
  </si>
  <si>
    <t>TraesCS7B01G171100</t>
  </si>
  <si>
    <t>TraesCS7D01G221100</t>
  </si>
  <si>
    <t>Fg_down &amp; GA+Fg_vs_Fg_down</t>
  </si>
  <si>
    <t>Gene list (7)</t>
  </si>
  <si>
    <t>response to chemical</t>
  </si>
  <si>
    <t>response to oxygen-containing compound</t>
  </si>
  <si>
    <t>transcription, DNA-templated</t>
  </si>
  <si>
    <t>TraesCS5B01G054200;TraesCS3D01G166700</t>
  </si>
  <si>
    <t>nucleic acid-templated transcription</t>
  </si>
  <si>
    <t>RNA biosynthetic process</t>
  </si>
  <si>
    <t>nucleobase-containing compound biosynthetic process</t>
  </si>
  <si>
    <t>heterocycle biosynthetic process</t>
  </si>
  <si>
    <t>aromatic compound biosynthetic process</t>
  </si>
  <si>
    <t>organic cyclic compound biosynthetic process</t>
  </si>
  <si>
    <t>RNA metabolic process</t>
  </si>
  <si>
    <t>hormone-mediated signaling pathway</t>
  </si>
  <si>
    <t>regulation of transcription, DNA-templated</t>
  </si>
  <si>
    <t>regulation of nucleic acid-templated transcription</t>
  </si>
  <si>
    <t>regulation of RNA biosynthetic process</t>
  </si>
  <si>
    <t>regulation of RNA metabolic process</t>
  </si>
  <si>
    <t>cellular response to hormone stimulus</t>
  </si>
  <si>
    <t>cellular response to endogenous stimulus</t>
  </si>
  <si>
    <t>regulation of nucleobase-containing compound metabolic process</t>
  </si>
  <si>
    <t>regulation of cellular macromolecule biosynthetic process</t>
  </si>
  <si>
    <t>regulation of macromolecule biosynthetic process</t>
  </si>
  <si>
    <t>regulation of cellular biosynthetic process</t>
  </si>
  <si>
    <t>regulation of biosynthetic process</t>
  </si>
  <si>
    <t>cellular macromolecule biosynthetic process</t>
  </si>
  <si>
    <t>macromolecule biosynthetic process</t>
  </si>
  <si>
    <t>regulation of gene expression</t>
  </si>
  <si>
    <t>cellular nitrogen compound biosynthetic process</t>
  </si>
  <si>
    <t>nucleus</t>
  </si>
  <si>
    <t>gene expression</t>
  </si>
  <si>
    <t>cellular response to organic substance</t>
  </si>
  <si>
    <t>nucleic acid metabolic process</t>
  </si>
  <si>
    <t>regulation of nitrogen compound metabolic process</t>
  </si>
  <si>
    <t>regulation of primary metabolic process</t>
  </si>
  <si>
    <t>regulation of cellular metabolic process</t>
  </si>
  <si>
    <t>cellular response to chemical stimulus</t>
  </si>
  <si>
    <t>regulation of macromolecule metabolic process</t>
  </si>
  <si>
    <t>regulation of metabolic process</t>
  </si>
  <si>
    <t>nucleobase-containing compound metabolic process</t>
  </si>
  <si>
    <t>DNA binding</t>
  </si>
  <si>
    <t>heterocycle metabolic process</t>
  </si>
  <si>
    <t>response to endogenous stimulus</t>
  </si>
  <si>
    <t>response to hormone</t>
  </si>
  <si>
    <t>cellular aromatic compound metabolic process</t>
  </si>
  <si>
    <t>regulation of cellular process</t>
  </si>
  <si>
    <t>organic cyclic compound metabolic process</t>
  </si>
  <si>
    <t>cellular biosynthetic process</t>
  </si>
  <si>
    <t>regulation of biological process</t>
  </si>
  <si>
    <t>protein binding</t>
  </si>
  <si>
    <t>organic substance biosynthetic process</t>
  </si>
  <si>
    <t>cellular nitrogen compound metabolic process</t>
  </si>
  <si>
    <t>intracellular membrane-bounded organelle</t>
  </si>
  <si>
    <t>membrane-bounded organelle</t>
  </si>
  <si>
    <t>intracellular organelle</t>
  </si>
  <si>
    <t>nucleic acid binding</t>
  </si>
  <si>
    <t>cellular macromolecule metabolic process</t>
  </si>
  <si>
    <t>intracellular part</t>
  </si>
  <si>
    <t>intracellular</t>
  </si>
  <si>
    <t>cell part</t>
  </si>
  <si>
    <t>macromolecule metabolic process</t>
  </si>
  <si>
    <t>nitrogen compound metabolic process</t>
  </si>
  <si>
    <t>cellular metabolic process</t>
  </si>
  <si>
    <t>heterocyclic compound binding</t>
  </si>
  <si>
    <t>organic cyclic compound binding</t>
  </si>
  <si>
    <t>Fg_up &amp; ABA_up</t>
  </si>
  <si>
    <t>Gene list (1457)</t>
  </si>
  <si>
    <t>TraesCS1D01G080900</t>
  </si>
  <si>
    <t>TraesCS3A01G458400</t>
  </si>
  <si>
    <t>TraesCS3B01G181300</t>
  </si>
  <si>
    <t>TraesCS3D01G392500</t>
  </si>
  <si>
    <t>TraesCS5D01G004700</t>
  </si>
  <si>
    <t>TraesCS1A01G021000</t>
  </si>
  <si>
    <t>TraesCS1A01G021400</t>
  </si>
  <si>
    <t>TraesCS1A01G035600</t>
  </si>
  <si>
    <t>TraesCS1A01G037800</t>
  </si>
  <si>
    <t>TraesCS1A01G069500</t>
  </si>
  <si>
    <t>TraesCS7B01G325900;TraesCS2B01G208900;TraesCS2D01G509400;TraesCS3B01G295000;TraesCSU01G044100;TraesCS1A01G006800;TraesCS2A01G211900;TraesCS7D01G374700;TraesCS4B01G092400;TraesCS7A01G127100;TraesCS1A01G149700;TraesCS7A01G215800;TraesCS5D01G187700;TraesCS4A01G491600;TraesCS7D01G461900;TraesCS1A01G006000;TraesCS2B01G240800;TraesCS7A01G425900;TraesCS7D01G217500;TraesCS3B01G086900;TraesCS1D01G082200;TraesCS2D01G216700;TraesCS7D01G463700;TraesCS6B01G153100;TraesCS2D01G222300;TraesCS5B01G410900;TraesCS4A01G384500;TraesCS6B01G226000;TraesCS5B01G284400;TraesCS3A01G056300;TraesCS1B01G007400;TraesCS2B01G243000;TraesCS2D01G013200;TraesCS5D01G302000;TraesCS3A01G276200;TraesCS3D01G501400;TraesCS3D01G049000;TraesCS4D01G003300;TraesCS6B01G237600;TraesCS2B01G241900;TraesCS5D01G191400;TraesCS1B01G091900;TraesCS6D01G112200;TraesCS6D01G242000;TraesCS5D01G025500;TraesCS5A01G552200;TraesCS4B01G009500;TraesCS4D01G089200;TraesCS6B01G225700;TraesCS1A01G073300;TraesCS4A01G207800;TraesCS1D01G430800;TraesCS2A01G041000;TraesCS3A01G493600;TraesCS5A01G445700;TraesCSU01G219500;TraesCS2A01G503800;TraesCS1D01G249000;TraesCS2B01G565300;TraesCS1A01G273600;TraesCS1D01G048900;TraesCS2B01G563800;TraesCSU01G076000;TraesCS2A01G371700;TraesCS6A01G342000;TraesCS7A01G146600;TraesCS2D01G511500;TraesCS2A01G182400;TraesCS4B01G328400;TraesCS3D01G072700;TraesCS2D01G052800;TraesCS6D01G359100;TraesCS2A01G371600;TraesCS3A01G049600;TraesCS2A01G214000;TraesCS2A01G510200;TraesCS6A01G122000;TraesCS2B01G477600;TraesCS4A01G384600;TraesCS2B01G536500;TraesCS3B01G141500;TraesCS7B01G326100;TraesCS2D01G222000;TraesCS6D01G072300;TraesCS2B01G519500;TraesCS3B01G544700;TraesCS7A01G042200;TraesCS3B01G588200;TraesCS6B01G231400;TraesCS7B01G333700;TraesCS2B01G241800;TraesCS7D01G365800;TraesCS7A01G460900;TraesCS2B01G096000;TraesCS3D01G104000;TraesCS7B01G356800;TraesCS5A01G048600;TraesCS7B01G071100;TraesCS1B01G355700;TraesCS5D01G268600;TraesCS6A01G276300;TraesCS3B01G310000;TraesCS6B01G225800;TraesCS5D01G019400;TraesCS2B01G034700;TraesCS3B01G555600;TraesCS1B01G062200;TraesCS2B01G084000;TraesCS4B01G343100;TraesCS1B01G006500;TraesCS3D01G500800;TraesCS1A01G340300;TraesCS1A01G342600;TraesCS2D01G190200;TraesCS5B01G455500;TraesCS2D01G364200;TraesCS3B01G474400;TraesCS5A01G261200;TraesCS3A01G261800;TraesCS1D01G344700;TraesCS2B01G242500;TraesCS1D01G431000;TraesCS2D01G025500;TraesCS3B01G084000;TraesCS4A01G474800;TraesCSU01G194300;TraesCSU01G008200;TraesCS7D01G037700;TraesCS5B01G063600;TraesCS4A01G445500;TraesCS6B01G226200;TraesCS7B01G122800;TraesCS3B01G038900;TraesCS2D01G002600;TraesCS3B01G032400;TraesCS2D01G252600;TraesCS3D01G048800;TraesCS6B01G374000;TraesCS4B01G007400;TraesCS2D01G053300;TraesCS2B01G067000;TraesCS2D01G137300;TraesCS7A01G374200;TraesCS2B01G084100;TraesCS1B01G062300;TraesCS4B01G092500;TraesCS3B01G052600;TraesCS6B01G232400;TraesCS2D01G039400;TraesCS4B01G106000;TraesCS6B01G238900;TraesCS7B01G273000;TraesCS1D01G013800;TraesCS3D01G124200;TraesCS2A01G299400;TraesCS2A01G589900;TraesCS3B01G059000;TraesCS1D01G049000;TraesCSU01G008100;TraesCS1D01G271500;TraesCS3A01G016500;TraesCS4D01G325500;TraesCS1D01G076200;TraesCS6B01G212700;TraesCS5A01G406100;TraesCS6B01G231200;TraesCS4D01G109000;TraesCS5B01G454700;TraesCS1B01G410600;TraesCS5B01G184600;TraesCSU01G050000;TraesCS3B01G569900;TraesCS3D01G276200;TraesCS7D01G124900</t>
  </si>
  <si>
    <t>TraesCS1A01G070400</t>
  </si>
  <si>
    <t>TraesCS7B01G325900;TraesCS2B01G208900;TraesCS2D01G509400;TraesCS3B01G295000;TraesCSU01G044100;TraesCS1A01G006800;TraesCS2A01G211900;TraesCS7D01G374700;TraesCS4B01G092400;TraesCS7A01G127100;TraesCS1A01G149700;TraesCS7A01G215800;TraesCS5D01G187700;TraesCS4A01G491600;TraesCS7D01G461900;TraesCS1A01G006000;TraesCS1A01G070400;TraesCS2B01G240800;TraesCS7A01G425900;TraesCS7D01G217500;TraesCS3B01G086900;TraesCS1D01G082200;TraesCS2D01G216700;TraesCS7D01G463700;TraesCS6B01G153100;TraesCS2D01G222300;TraesCS5B01G410900;TraesCS4A01G384500;TraesCS6B01G226000;TraesCS5B01G284400;TraesCS3A01G056300;TraesCS1B01G007400;TraesCS2B01G243000;TraesCS2D01G013200;TraesCS5D01G302000;TraesCS3A01G276200;TraesCS3D01G501400;TraesCS3D01G049000;TraesCS4D01G003300;TraesCS6B01G237600;TraesCS2B01G241900;TraesCS5D01G191400;TraesCS1B01G091900;TraesCS6D01G112200;TraesCS6D01G242000;TraesCS5D01G025500;TraesCS5A01G552200;TraesCS4B01G009500;TraesCS4D01G089200;TraesCS6B01G225700;TraesCS1A01G073300;TraesCS4A01G207800;TraesCS1D01G430800;TraesCS2A01G041000;TraesCS3A01G493600;TraesCS5A01G445700;TraesCSU01G219500;TraesCS2A01G503800;TraesCS1D01G249000;TraesCS2B01G565300;TraesCS1A01G273600;TraesCS1D01G048900;TraesCS2B01G563800;TraesCSU01G076000;TraesCS2A01G371700;TraesCS6A01G342000;TraesCS2D01G511500;TraesCS2A01G182400;TraesCS4B01G328400;TraesCS3D01G072700;TraesCS2D01G052800;TraesCS6D01G359100;TraesCS2A01G371600;TraesCS3A01G049600;TraesCS2A01G214000;TraesCS2A01G510200;TraesCS6A01G122000;TraesCS2B01G477600;TraesCS4A01G384600;TraesCS2B01G536500;TraesCS3B01G141500;TraesCS7B01G326100;TraesCS2D01G222000;TraesCS6D01G072300;TraesCS2B01G519500;TraesCS3B01G544700;TraesCS7A01G042200;TraesCS3B01G588200;TraesCS6B01G231400;TraesCS7B01G333700;TraesCS2B01G241800;TraesCS7D01G365800;TraesCS7A01G460900;TraesCS2B01G096000;TraesCS3D01G104000;TraesCS7B01G356800;TraesCS5A01G048600;TraesCS7B01G071100;TraesCS1B01G355700;TraesCS5D01G268600;TraesCS6A01G276300;TraesCS3B01G310000;TraesCS6B01G225800;TraesCS5D01G019400;TraesCS2B01G034700;TraesCS3B01G555600;TraesCS1B01G062200;TraesCS2B01G084000;TraesCS4B01G343100;TraesCS1B01G006500;TraesCS3D01G500800;TraesCS1A01G340300;TraesCS1A01G342600;TraesCS2D01G190200;TraesCS5B01G455500;TraesCS2D01G364200;TraesCS3B01G474400;TraesCS5A01G261200;TraesCS3A01G261800;TraesCS1D01G344700;TraesCS2B01G242500;TraesCS1D01G431000;TraesCS2D01G025500;TraesCS3B01G084000;TraesCS4A01G474800;TraesCSU01G194300;TraesCSU01G008200;TraesCS7D01G037700;TraesCS5B01G063600;TraesCS4A01G445500;TraesCS6B01G226200;TraesCS7B01G122800;TraesCS3B01G038900;TraesCS2D01G002600;TraesCS3B01G032400;TraesCS2D01G252600;TraesCS3D01G048800;TraesCS6B01G374000;TraesCS4B01G007400;TraesCS2D01G053300;TraesCS2B01G067000;TraesCS2D01G137300;TraesCS7A01G374200;TraesCS2B01G084100;TraesCS1B01G062300;TraesCS4B01G092500;TraesCS3B01G052600;TraesCS6B01G232400;TraesCS2D01G039400;TraesCS4B01G106000;TraesCS6B01G238900;TraesCS7B01G273000;TraesCS1D01G013800;TraesCS3D01G124200;TraesCS2A01G299400;TraesCS2A01G589900;TraesCS3B01G059000;TraesCS1D01G049000;TraesCSU01G008100;TraesCS1D01G271500;TraesCS3A01G016500;TraesCS4D01G325500;TraesCS1D01G076200;TraesCS6B01G212700;TraesCS5A01G406100;TraesCS6B01G231200;TraesCS4D01G109000;TraesCS5B01G454700;TraesCS1B01G410600;TraesCS5B01G184600;TraesCSU01G050000;TraesCS3B01G569900;TraesCS3D01G276200;TraesCS7D01G124900</t>
  </si>
  <si>
    <t>TraesCS1A01G072100</t>
  </si>
  <si>
    <t>TraesCS2B01G369100;TraesCS2A01G196400;TraesCS2A01G196700;TraesCS2B01G369000;TraesCS2B01G489800;TraesCS2A01G467000;TraesCS7B01G370700;TraesCS2D01G349000;TraesCS1D01G103500;TraesCS3B01G354000;TraesCS2D01G349400;TraesCS4B01G328400;TraesCS2A01G350700;TraesCS1D01G080900;TraesCS2A01G350800;TraesCS2A01G350900;TraesCS2B01G125300;TraesCS2D01G218700;TraesCS2D01G348900;TraesCS2A01G107800;TraesCS2D01G348800;TraesCS2A01G107600;TraesCS4D01G325500;TraesCS1B01G122800;TraesCS5B01G468300;TraesCS7A01G262000;TraesCS1D01G039300;TraesCS2D01G377500;TraesCS3B01G258100;TraesCS2A01G212900;TraesCS2D01G377400;TraesCS2B01G398200;TraesCS2D01G204400;TraesCS1B01G410600;TraesCS2D01G204700;TraesCS1A01G203600;TraesCS2B01G224300;TraesCS1A01G037800;TraesCS2B01G224000;TraesCS3A01G226400</t>
  </si>
  <si>
    <t>TraesCS1A01G073200</t>
  </si>
  <si>
    <t>TraesCS7B01G325900;TraesCS2B01G208900;TraesCS2D01G509400;TraesCS3B01G295000;TraesCSU01G044100;TraesCS1A01G006800;TraesCS2A01G211900;TraesCS7D01G374700;TraesCS4B01G092400;TraesCS7A01G127100;TraesCS1A01G149700;TraesCS7A01G215800;TraesCS5D01G187700;TraesCS4A01G491600;TraesCS7D01G461900;TraesCS1A01G006000;TraesCS2B01G240800;TraesCS7A01G425900;TraesCS7D01G217500;TraesCS3B01G086900;TraesCS1D01G082200;TraesCS2D01G216700;TraesCS7D01G463700;TraesCS6B01G153100;TraesCS2D01G222300;TraesCS5B01G410900;TraesCS4A01G384500;TraesCS6B01G226000;TraesCS5B01G284400;TraesCS3A01G056300;TraesCS1B01G007400;TraesCS2B01G243000;TraesCS2D01G013200;TraesCS5D01G302000;TraesCS3A01G276200;TraesCS3D01G501400;TraesCS3D01G049000;TraesCS4D01G003300;TraesCS6B01G237600;TraesCS2B01G241900;TraesCS5D01G191400;TraesCS1B01G091900;TraesCS6D01G112200;TraesCS6D01G242000;TraesCS5D01G025500;TraesCS5A01G552200;TraesCS4B01G009500;TraesCS4D01G089200;TraesCS6B01G225700;TraesCS1A01G073300;TraesCS4A01G207800;TraesCS1D01G430800;TraesCS2A01G041000;TraesCS3A01G493600;TraesCS5A01G445700;TraesCSU01G219500;TraesCS2A01G503800;TraesCS1D01G249000;TraesCS2B01G565300;TraesCS1A01G273600;TraesCS1D01G048900;TraesCS2B01G563800;TraesCSU01G076000;TraesCS2A01G371700;TraesCS6A01G342000;TraesCS7A01G146600;TraesCS2D01G511500;TraesCS2A01G182400;TraesCS4B01G328400;TraesCS3D01G072700;TraesCS2D01G052800;TraesCS6D01G359100;TraesCS2A01G371600;TraesCS3A01G049600;TraesCS2A01G214000;TraesCS2A01G510200;TraesCS6A01G122000;TraesCS2B01G477600;TraesCS4A01G384600;TraesCS2B01G536500;TraesCS3B01G141500;TraesCS7B01G326100;TraesCS2D01G222000;TraesCS6D01G072300;TraesCS2B01G519500;TraesCS3B01G544700;TraesCS7A01G042200;TraesCS3B01G588200;TraesCS6B01G231400;TraesCS7B01G333700;TraesCS2B01G241800;TraesCS7D01G365800;TraesCS7A01G460900;TraesCS2B01G096000;TraesCS3D01G104000;TraesCS7B01G356800;TraesCS5A01G048600;TraesCS7B01G071100;TraesCS1B01G355700;TraesCS5D01G268600;TraesCS6A01G276300;TraesCS3B01G310000;TraesCS6B01G225800;TraesCS5D01G019400;TraesCS2B01G034700;TraesCS3B01G555600;TraesCS1B01G062200;TraesCS2B01G084000;TraesCS4B01G343100;TraesCS1B01G006500;TraesCS3D01G500800;TraesCS1A01G340300;TraesCS1A01G342600;TraesCS2D01G190200;TraesCS5B01G455500;TraesCS2D01G364200;TraesCS3B01G474400;TraesCS5A01G261200;TraesCS3A01G261800;TraesCS1D01G344700;TraesCS2B01G242500;TraesCS1D01G431000;TraesCS2D01G025500;TraesCS3B01G084000;TraesCS4A01G474800;TraesCSU01G194300;TraesCSU01G008200;TraesCS7D01G037700;TraesCS5A01G072700;TraesCS5B01G063600;TraesCS4A01G445500;TraesCS6B01G226200;TraesCS7B01G122800;TraesCS3B01G038900;TraesCS2D01G002600;TraesCS3B01G032400;TraesCS2D01G252600;TraesCS3D01G048800;TraesCS6B01G374000;TraesCS4B01G007400;TraesCS2D01G053300;TraesCS2B01G067000;TraesCS2D01G137300;TraesCS7A01G374200;TraesCS2B01G084100;TraesCS1B01G062300;TraesCS4B01G092500;TraesCS3B01G052600;TraesCS6B01G232400;TraesCS2D01G039400;TraesCS4B01G106000;TraesCS6B01G238900;TraesCS7B01G273000;TraesCS1D01G013800;TraesCS3D01G124200;TraesCS2A01G299400;TraesCS2A01G589900;TraesCS3B01G059000;TraesCS1D01G049000;TraesCSU01G008100;TraesCS1D01G271500;TraesCS3A01G016500;TraesCS4D01G325500;TraesCS1D01G076200;TraesCS6B01G212700;TraesCS5A01G406100;TraesCS6B01G231200;TraesCS4D01G109000;TraesCS5B01G454700;TraesCS1B01G410600;TraesCS5B01G184600;TraesCSU01G050000;TraesCS3B01G569900;TraesCS3D01G276200;TraesCS7D01G124900</t>
  </si>
  <si>
    <t>TraesCS1A01G073300</t>
  </si>
  <si>
    <t>TraesCS1A01G107100;TraesCS2A01G590900;TraesCS2A01G588300;TraesCS7D01G009700;TraesCS2D01G402000;TraesCS5D01G038400;TraesCS4B01G074100;TraesCS2B01G369100;TraesCS5B01G394300;TraesCS1D01G056500;TraesCS2A01G588900;TraesCS2B01G051600;TraesCS6B01G058000;TraesCS4B01G026100;TraesCS7B01G370700;TraesCS2D01G349000;TraesCS4D01G350500;TraesCS1B01G090700;TraesCS6D01G048900;TraesCS2D01G349400;TraesCS3B01G526000;TraesCS5B01G476000;TraesCS2A01G350800;TraesCS3D01G475200;TraesCS5A01G526200;TraesCS4B01G142000;TraesCS2D01G348800;TraesCS3D01G477300;TraesCS2B01G580200;TraesCS4D01G023500;TraesCS1D01G162000;TraesCS3B01G258600;TraesCS2D01G564900;TraesCS3B01G267700;TraesCS4A01G485400;TraesCS1D01G402500;TraesCS2D01G550700;TraesCS4A01G485000;TraesCS2A01G405100;TraesCS3D01G476500;TraesCS3B01G526700;TraesCS4A01G240900;TraesCS4D01G072800;TraesCS5A01G464500;TraesCS7A01G427300;TraesCS2B01G594700;TraesCS4A01G186500;TraesCS2B01G594900;TraesCS2B01G369000;TraesCS4D01G142000;TraesCS5D01G019100;TraesCS3D01G478000;TraesCS4B01G328400;TraesCS1B01G182000;TraesCS2A01G350700;TraesCS2A01G350900;TraesCS1A01G072100;TraesCS7B01G286100;TraesCS1A01G072300;TraesCS2D01G348900;TraesCS2B01G580300;TraesCS1B01G422700;TraesCS4D01G325500;TraesCS5D01G477100;TraesCS4B01G356800;TraesCS1B01G410600;TraesCS1A01G203600;TraesCS5B01G475700;TraesCS4D01G227700;TraesCS2D01G550600;TraesCS4A01G288700</t>
  </si>
  <si>
    <t>TraesCS1A01G083300</t>
  </si>
  <si>
    <t>TraesCS7B01G325900;TraesCS2B01G208900;TraesCS2D01G509400;TraesCS3B01G295000;TraesCSU01G044100;TraesCS1A01G006800;TraesCS2A01G211900;TraesCS7D01G374700;TraesCS4B01G092400;TraesCS7A01G127100;TraesCS1A01G149700;TraesCS7A01G215800;TraesCS5D01G187700;TraesCS4A01G491600;TraesCS7D01G461900;TraesCS1A01G006000;TraesCS2B01G240800;TraesCS7A01G425900;TraesCS7D01G217500;TraesCS3B01G086900;TraesCS1D01G082200;TraesCS2D01G216700;TraesCS7D01G463700;TraesCS6B01G153100;TraesCS2D01G222300;TraesCS5B01G410900;TraesCS4A01G384500;TraesCS6B01G226000;TraesCS7A01G115400;TraesCS5B01G284400;TraesCS3A01G056300;TraesCS1B01G007400;TraesCS2B01G243000;TraesCS2D01G013200;TraesCS5D01G302000;TraesCS3A01G276200;TraesCS3D01G501400;TraesCS3D01G049000;TraesCS4D01G003300;TraesCS6B01G237600;TraesCS2B01G241900;TraesCS5D01G191400;TraesCS1B01G091900;TraesCS6D01G112200;TraesCS6D01G242000;TraesCS5D01G025500;TraesCS5A01G552200;TraesCS4B01G009500;TraesCS4D01G089200;TraesCS6B01G225700;TraesCS1A01G073300;TraesCS4A01G207800;TraesCS3B01G395900;TraesCS1D01G430800;TraesCS2A01G041000;TraesCS3A01G493600;TraesCS5A01G445700;TraesCSU01G219500;TraesCS2A01G503800;TraesCS1D01G249000;TraesCS2B01G565300;TraesCS1A01G273600;TraesCS1D01G048900;TraesCS2B01G563800;TraesCSU01G076000;TraesCS2A01G371700;TraesCS6A01G342000;TraesCS7A01G146600;TraesCS2D01G511500;TraesCS2A01G182400;TraesCS4B01G328400;TraesCS3D01G072700;TraesCS2D01G052800;TraesCS6D01G359100;TraesCS2A01G371600;TraesCS3A01G049600;TraesCS2A01G214000;TraesCS2A01G510200;TraesCS6A01G122000;TraesCS2B01G477600;TraesCS4A01G384600;TraesCS2B01G536500;TraesCS3B01G141500;TraesCS7B01G326100;TraesCS2D01G222000;TraesCS6D01G072300;TraesCS2B01G519500;TraesCS3B01G544700;TraesCS7A01G042200;TraesCS3B01G588200;TraesCS6B01G231400;TraesCS7B01G333700;TraesCS2B01G241800;TraesCS7D01G365800;TraesCS7A01G460900;TraesCS2B01G096000;TraesCS3D01G104000;TraesCS7B01G356800;TraesCS5A01G048600;TraesCS7B01G071100;TraesCS1B01G355700;TraesCS5D01G268600;TraesCS6A01G276300;TraesCS3B01G310000;TraesCS6B01G225800;TraesCS5D01G019400;TraesCS2B01G034700;TraesCS3B01G555600;TraesCS1B01G062200;TraesCS2B01G084000;TraesCS4B01G343100;TraesCS1B01G006500;TraesCS3D01G500800;TraesCS1A01G340300;TraesCS1A01G342600;TraesCS2D01G190200;TraesCS5B01G455500;TraesCS2D01G364200;TraesCS3B01G474400;TraesCS5A01G261200;TraesCS3A01G261800;TraesCS1D01G344700;TraesCS2B01G242500;TraesCS1D01G431000;TraesCS2D01G025500;TraesCS3B01G084000;TraesCS4A01G474800;TraesCSU01G194300;TraesCSU01G008200;TraesCS7D01G037700;TraesCS5A01G072700;TraesCS5B01G063600;TraesCS4A01G445500;TraesCS6B01G226200;TraesCS7B01G122800;TraesCS3B01G038900;TraesCS2D01G002600;TraesCS3B01G032400;TraesCS2D01G252600;TraesCS3D01G048800;TraesCS6B01G374000;TraesCS4B01G007400;TraesCS2D01G053300;TraesCS2B01G067000;TraesCS2D01G137300;TraesCS7A01G374200;TraesCS2B01G084100;TraesCS1B01G062300;TraesCS4B01G092500;TraesCS3B01G052600;TraesCS6B01G232400;TraesCS2D01G039400;TraesCS4B01G106000;TraesCS6B01G238900;TraesCS7B01G273000;TraesCS1D01G013800;TraesCS3D01G124200;TraesCS2A01G299400;TraesCS2A01G589900;TraesCS3B01G059000;TraesCS1D01G049000;TraesCSU01G008100;TraesCS1D01G271500;TraesCS3A01G016500;TraesCS4D01G325500;TraesCS1D01G076200;TraesCS6B01G212700;TraesCS5A01G406100;TraesCS7D01G111600;TraesCS6B01G231200;TraesCS4D01G109000;TraesCS5B01G454700;TraesCS1B01G410600;TraesCS5B01G184600;TraesCSU01G050000;TraesCS3B01G569900;TraesCS3D01G276200;TraesCS7D01G124900</t>
  </si>
  <si>
    <t>TraesCS1A01G089500</t>
  </si>
  <si>
    <t>TraesCS1A01G107100;TraesCS2A01G590900;TraesCS2A01G588300;TraesCS7D01G009700;TraesCS2D01G402000;TraesCS5D01G038400;TraesCS4B01G074100;TraesCS2B01G369100;TraesCS5B01G394300;TraesCS1D01G056500;TraesCS2A01G588900;TraesCS2B01G051600;TraesCS6B01G058000;TraesCS4B01G026100;TraesCS7B01G370700;TraesCS1A01G277900;TraesCS2D01G349000;TraesCS4D01G350500;TraesCS1B01G090700;TraesCS6D01G048900;TraesCS2D01G349400;TraesCS3B01G526000;TraesCS5B01G476000;TraesCS2A01G350800;TraesCS3D01G475200;TraesCS5A01G526200;TraesCS4B01G142000;TraesCS2D01G348800;TraesCS3D01G477300;TraesCS2B01G580200;TraesCS4D01G023500;TraesCS1D01G162000;TraesCS3B01G258600;TraesCS2D01G564900;TraesCS3B01G267700;TraesCS4A01G485400;TraesCS1D01G402500;TraesCS2D01G550700;TraesCS4A01G485000;TraesCS2A01G405100;TraesCS1B01G286800;TraesCS3D01G476500;TraesCS3B01G526700;TraesCS4A01G240900;TraesCS4D01G072800;TraesCS5A01G464500;TraesCS7A01G427300;TraesCS2B01G594700;TraesCS4A01G186500;TraesCS2B01G594900;TraesCS2B01G369000;TraesCS4D01G142000;TraesCS5D01G019100;TraesCS3D01G478000;TraesCS4B01G328400;TraesCS1B01G182000;TraesCS2A01G350700;TraesCS2A01G350900;TraesCS1A01G072100;TraesCS7B01G286100;TraesCS1A01G072300;TraesCS2D01G348900;TraesCS2B01G580300;TraesCS1B01G422700;TraesCS4D01G325500;TraesCS5D01G477100;TraesCS4B01G356800;TraesCS7A01G046600;TraesCS1B01G410600;TraesCS1A01G203600;TraesCS5B01G475700;TraesCS4D01G227700;TraesCS2D01G550600;TraesCS4A01G288700</t>
  </si>
  <si>
    <t>TraesCS1A01G089600</t>
  </si>
  <si>
    <t>TraesCS7B01G325900;TraesCS2B01G208900;TraesCS3A01G124700;TraesCS2D01G509400;TraesCS3B01G295000;TraesCSU01G044100;TraesCS1A01G006800;TraesCS2A01G211900;TraesCS7D01G374700;TraesCS4B01G092400;TraesCS7A01G127100;TraesCS1A01G149700;TraesCS7A01G215800;TraesCS5D01G187700;TraesCS4A01G491600;TraesCS7D01G461900;TraesCS1A01G006000;TraesCS1A01G070400;TraesCS2B01G240800;TraesCS7A01G425900;TraesCS7D01G217500;TraesCS3B01G086900;TraesCS1D01G082200;TraesCS2D01G216700;TraesCS7D01G463700;TraesCS6B01G153100;TraesCS2D01G222300;TraesCS5B01G410900;TraesCS4A01G384500;TraesCS6B01G226000;TraesCS7A01G115400;TraesCS5B01G284400;TraesCS3A01G056300;TraesCS1B01G007400;TraesCS2B01G243000;TraesCS2D01G013200;TraesCS5D01G302000;TraesCS3A01G276200;TraesCS3D01G501400;TraesCS3D01G049000;TraesCS4D01G003300;TraesCS6B01G237600;TraesCS2B01G241900;TraesCS5D01G191400;TraesCS1B01G091900;TraesCS6D01G112200;TraesCS6D01G242000;TraesCS5D01G025500;TraesCS5A01G552200;TraesCS4B01G009500;TraesCS4D01G089200;TraesCS6B01G225700;TraesCS1A01G073300;TraesCS4A01G207800;TraesCS1D01G430800;TraesCS2A01G041000;TraesCS3A01G493600;TraesCS5A01G445700;TraesCSU01G219500;TraesCS2A01G503800;TraesCS1D01G249000;TraesCS2B01G565300;TraesCS1A01G273600;TraesCS1D01G048900;TraesCS2B01G563800;TraesCSU01G076000;TraesCS2A01G371700;TraesCS6A01G342000;TraesCS7A01G146600;TraesCS2D01G511500;TraesCS2A01G182400;TraesCS4B01G328400;TraesCS3D01G072700;TraesCS2D01G052800;TraesCS6D01G359100;TraesCS2A01G371600;TraesCS3A01G049600;TraesCS2A01G214000;TraesCS2A01G510200;TraesCS6A01G122000;TraesCS2B01G477600;TraesCS4A01G384600;TraesCS2B01G536500;TraesCS3B01G141500;TraesCS7B01G326100;TraesCS2D01G222000;TraesCS6D01G072300;TraesCS2B01G519500;TraesCS3B01G544700;TraesCS7A01G042200;TraesCS3B01G588200;TraesCS6B01G231400;TraesCS7B01G333700;TraesCS2B01G241800;TraesCS7D01G365800;TraesCS7A01G460900;TraesCS2B01G096000;TraesCS3D01G104000;TraesCS7B01G356800;TraesCS5A01G048600;TraesCS7B01G071100;TraesCS1B01G355700;TraesCS5D01G268600;TraesCS6A01G276300;TraesCS3B01G310000;TraesCS6B01G225800;TraesCS5D01G019400;TraesCS2B01G034700;TraesCS3B01G555600;TraesCS1B01G062200;TraesCS2B01G084000;TraesCS4B01G343100;TraesCS1B01G006500;TraesCS3D01G500800;TraesCS1A01G340300;TraesCS1A01G342600;TraesCS2D01G190200;TraesCS5B01G455500;TraesCS2D01G364200;TraesCS3B01G474400;TraesCS5A01G261200;TraesCS3A01G261800;TraesCS1D01G344700;TraesCS2B01G242500;TraesCS1D01G431000;TraesCS2D01G025500;TraesCS3B01G084000;TraesCS4A01G474800;TraesCSU01G194300;TraesCSU01G008200;TraesCS7D01G037700;TraesCS5A01G072700;TraesCS5B01G063600;TraesCS4A01G445500;TraesCS6B01G226200;TraesCS7B01G122800;TraesCS3B01G038900;TraesCS2D01G002600;TraesCS3B01G032400;TraesCS2D01G252600;TraesCS3D01G048800;TraesCS6B01G374000;TraesCS4B01G007400;TraesCS2D01G053300;TraesCS2B01G067000;TraesCS2D01G137300;TraesCS7A01G374200;TraesCS2B01G084100;TraesCS1B01G062300;TraesCS4B01G092500;TraesCS3B01G052600;TraesCS6B01G232400;TraesCS2D01G039400;TraesCS4B01G106000;TraesCS6B01G238900;TraesCS7B01G273000;TraesCS1D01G013800;TraesCS3D01G124200;TraesCS2A01G299400;TraesCS2A01G589900;TraesCS3B01G059000;TraesCS1D01G049000;TraesCSU01G008100;TraesCS1D01G271500;TraesCS3A01G016500;TraesCS4D01G325500;TraesCS1D01G076200;TraesCS6B01G212700;TraesCS5A01G406100;TraesCS6B01G231200;TraesCS4D01G109000;TraesCS5B01G454700;TraesCS1B01G410600;TraesCS5B01G184600;TraesCSU01G050000;TraesCS3B01G569900;TraesCS3D01G276200;TraesCS7D01G124900</t>
  </si>
  <si>
    <t>TraesCS1A01G095800</t>
  </si>
  <si>
    <t>erythrose 4-phosphate/phosphoenolpyruvate family amino acid catabolic process</t>
  </si>
  <si>
    <t>TraesCS2D01G218700;TraesCS1B01G122800;TraesCS5B01G468300;TraesCS2A01G196400;TraesCS1D01G039300;TraesCS2A01G196700;TraesCS2D01G377500;TraesCS2A01G212900;TraesCS2D01G377400;TraesCS2B01G398200;TraesCS2D01G204400;TraesCS2D01G204700;TraesCS2B01G224300;TraesCS1A01G037800;TraesCS1D01G103500;TraesCS2B01G224000</t>
  </si>
  <si>
    <t>TraesCS1A01G102900</t>
  </si>
  <si>
    <t>L-phenylalanine catabolic process</t>
  </si>
  <si>
    <t>TraesCS1A01G110400</t>
  </si>
  <si>
    <t>ammonia-lyase activity</t>
  </si>
  <si>
    <t>TraesCS1A01G110600</t>
  </si>
  <si>
    <t>drug binding</t>
  </si>
  <si>
    <t>TraesCS7B01G325900;TraesCS2B01G208900;TraesCS2D01G509400;TraesCS2B01G369100;TraesCS3B01G295000;TraesCS2A01G211900;TraesCS4D01G232700;TraesCS4B01G092400;TraesCS7A01G127100;TraesCS5D01G187700;TraesCS4A01G491600;TraesCS2D01G033200;TraesCS7A01G425900;TraesCS3D01G234300;TraesCS7D01G463700;TraesCS6B01G153100;TraesCS2D01G222300;TraesCS5B01G410900;TraesCS6B01G226000;TraesCS7A01G391100;TraesCS2B01G243000;TraesCS6B01G233800;TraesCS5D01G302000;TraesCS3A01G276200;TraesCS3D01G049000;TraesCS6B01G237600;TraesCS5D01G191400;TraesCS5D01G025500;TraesCS5A01G552200;TraesCS6B01G225700;TraesCS1A01G430200;TraesCS6D01G402500;TraesCS4D01G326400;TraesCS5A01G445700;TraesCS2A01G503800;TraesCS1D01G249000;TraesCS2B01G565300;TraesCS1A01G273600;TraesCS1D01G048900;TraesCS2B01G563800;TraesCSU01G076000;TraesCS2A01G371700;TraesCS2D01G511500;TraesCS3D01G072700;TraesCS6D01G359100;TraesCS2A01G371600;TraesCS3A01G049600;TraesCS2A01G510200;TraesCS2B01G477600;TraesCS7B01G326100;TraesCS2B01G519500;TraesCS7A01G042200;TraesCS3B01G588200;TraesCS6B01G231400;TraesCS7D01G365800;TraesCS7A01G460900;TraesCS1A01G343000;TraesCS1B01G355700;TraesCS1D01G381700;TraesCS6A01G276300;TraesCS3B01G310000;TraesCS6B01G225800;TraesCS5D01G019400;TraesCS3B01G555600;TraesCS1B01G062200;TraesCS2B01G084000;TraesCS4B01G343100;TraesCS1B01G006500;TraesCS3A01G230900;TraesCS3D01G500800;TraesCS1A01G340300;TraesCS1A01G342600;TraesCS4A01G331100;TraesCS2D01G364200;TraesCS5A01G261200;TraesCS1A01G332800;TraesCS1D01G344700;TraesCS1D01G431000;TraesCS2A01G350800;TraesCS3B01G084000;TraesCS4A01G474800;TraesCS7B01G292700;TraesCS5A01G072700;TraesCS5B01G063600;TraesCS4A01G445500;TraesCS6B01G226200;TraesCS2D01G002600;TraesCS3B01G032400;TraesCS4B01G240900;TraesCS6B01G235900;TraesCS5B01G366800;TraesCS1D01G439400;TraesCS4B01G231400;TraesCS5D01G004700;TraesCS3D01G048800;TraesCS6B01G374000;TraesCS7B01G000200;TraesCS2B01G067000;TraesCS2D01G137300;TraesCS7A01G374200;TraesCS2B01G084100;TraesCS1B01G062300;TraesCS6B01G232400;TraesCS2B01G369000;TraesCS2D01G039400;TraesCS4B01G106000;TraesCS1D01G013800;TraesCS1A01G235200;TraesCS2A01G299400;TraesCS2A01G350700;TraesCS2A01G589900;TraesCS1D01G271500;TraesCS1D01G076200;TraesCS6B01G212700;TraesCS6B01G231200;TraesCS4D01G109000;TraesCS5B01G454700;TraesCS1B01G410600;TraesCS5B01G184600;TraesCSU01G050000;TraesCS3B01G569900;TraesCS3D01G276200;TraesCS1A01G270300;TraesCS1D01G439300;TraesCS7D01G124900;TraesCSU01G044100;TraesCS1A01G006800;TraesCS7D01G374700;TraesCS1A01G149700;TraesCS7A01G215800;TraesCS7D01G461900;TraesCS1A01G006000;TraesCS2B01G240800;TraesCS2D01G349000;TraesCS5D01G452500;TraesCS7D01G217500;TraesCS3B01G086900;TraesCS1D01G082200;TraesCS2D01G216700;TraesCS4A01G384500;TraesCS5B01G284400;TraesCS3A01G056300;TraesCS4B01G237300;TraesCS1B01G007400;TraesCS2D01G013200;TraesCS3D01G501400;TraesCS1A01G312300;TraesCS4D01G003300;TraesCS2B01G241900;TraesCS1B01G091900;TraesCS6D01G112200;TraesCS6D01G242000;TraesCS4B01G009500;TraesCS4D01G089200;TraesCS1A01G073300;TraesCS4A01G207800;TraesCS1D01G430800;TraesCS2A01G041000;TraesCS3A01G493600;TraesCSU01G219500;TraesCS3A01G218000;TraesCS6A01G178500;TraesCS6A01G342000;TraesCS2A01G182400;TraesCS4A01G130300;TraesCS4B01G328400;TraesCS2D01G052800;TraesCS2A01G214000;TraesCS5B01G439400;TraesCS6A01G122000;TraesCS4A01G075600;TraesCS4A01G384600;TraesCS2B01G536500;TraesCS3B01G141500;TraesCS2D01G222000;TraesCS4A01G083900;TraesCS5D01G564000;TraesCS6B01G231000;TraesCS6D01G072300;TraesCS3B01G544700;TraesCS7B01G333700;TraesCS1D01G439500;TraesCS2B01G241800;TraesCS4B01G174300;TraesCS2B01G096000;TraesCS3D01G104000;TraesCS7B01G356800;TraesCS7D01G386600;TraesCS5A01G048600;TraesCS7B01G071100;TraesCS5D01G268600;TraesCS6A01G171800;TraesCS2B01G034700;TraesCS4D01G238600;TraesCS2D01G190200;TraesCS5B01G449500;TraesCS5B01G455500;TraesCS3B01G474400;TraesCS3A01G261800;TraesCS4D01G092000;TraesCS2B01G242500;TraesCS2D01G025500;TraesCSU01G194300;TraesCSU01G008200;TraesCS2D01G348800;TraesCS7D01G037700;TraesCS7B01G122800;TraesCS3B01G038900;TraesCS6B01G199700;TraesCS2D01G252600;TraesCS4B01G007400;TraesCS2D01G053300;TraesCS4B01G092500;TraesCS3B01G052600;TraesCS4A01G384800;TraesCS6B01G238900;TraesCS7B01G273000;TraesCS1B01G465000;TraesCS6B01G205900;TraesCS4D01G220500;TraesCS3D01G124200;TraesCS3B01G059000;TraesCS1D01G049000;TraesCS4D01G176300;TraesCSU01G008100;TraesCS2D01G348900;TraesCS3A01G016500;TraesCS4D01G325500;TraesCS5A01G406100;TraesCS6B01G229400</t>
  </si>
  <si>
    <t>TraesCS1A01G113300</t>
  </si>
  <si>
    <t>erythrose 4-phosphate/phosphoenolpyruvate family amino acid metabolic process</t>
  </si>
  <si>
    <t>TraesCS2D01G218700;TraesCS1B01G122800;TraesCS5B01G468300;TraesCS2A01G196400;TraesCS1D01G039300;TraesCS2A01G196700;TraesCS2D01G377500;TraesCS2A01G212900;TraesCS2D01G377400;TraesCS2B01G398200;TraesCS2D01G204400;TraesCS2D01G204700;TraesCS2B01G224300;TraesCS1A01G037800;TraesCS1D01G103500;TraesCS2B01G224000;TraesCS1A01G270300</t>
  </si>
  <si>
    <t>TraesCS1A01G166100</t>
  </si>
  <si>
    <t>L-phenylalanine metabolic process</t>
  </si>
  <si>
    <t>TraesCS1A01G166200</t>
  </si>
  <si>
    <t>TraesCS7B01G325900;TraesCS2B01G208900;TraesCS2D01G509400;TraesCS3B01G295000;TraesCSU01G044100;TraesCS1A01G006800;TraesCS2A01G211900;TraesCS7D01G374700;TraesCS4B01G092400;TraesCS7A01G127100;TraesCS1A01G149700;TraesCS7A01G215800;TraesCS5D01G187700;TraesCS4A01G491600;TraesCS7D01G461900;TraesCS1A01G006000;TraesCS2B01G240800;TraesCS7A01G425900;TraesCS7D01G217500;TraesCS3B01G086900;TraesCS1D01G082200;TraesCS2D01G216700;TraesCS7D01G463700;TraesCS6B01G153100;TraesCS2D01G222300;TraesCS5B01G410900;TraesCS4A01G384500;TraesCS6B01G226000;TraesCS7A01G115400;TraesCS5B01G284400;TraesCS3A01G056300;TraesCS1B01G007400;TraesCS2B01G243000;TraesCS2D01G013200;TraesCS5D01G302000;TraesCS3A01G276200;TraesCS3D01G501400;TraesCS3D01G049000;TraesCS4D01G003300;TraesCS6B01G237600;TraesCS2B01G241900;TraesCS5D01G191400;TraesCS1B01G091900;TraesCS6D01G112200;TraesCS6D01G242000;TraesCS5D01G025500;TraesCS5A01G552200;TraesCS4B01G009500;TraesCS4D01G089200;TraesCS6B01G225700;TraesCS1A01G073300;TraesCS4A01G207800;TraesCS3B01G395900;TraesCS1D01G430800;TraesCS2A01G041000;TraesCS3A01G493600;TraesCS5A01G445700;TraesCSU01G219500;TraesCS2A01G503800;TraesCS1D01G249000;TraesCS2B01G565300;TraesCS1A01G273600;TraesCS1D01G048900;TraesCS2B01G563800;TraesCSU01G076000;TraesCS2A01G371700;TraesCS6A01G342000;TraesCS7A01G146600;TraesCS2D01G511500;TraesCS2A01G182400;TraesCS4B01G328400;TraesCS3D01G072700;TraesCS2D01G052800;TraesCS6D01G359100;TraesCS2A01G371600;TraesCS3A01G049600;TraesCS2A01G214000;TraesCS2A01G510200;TraesCS6A01G122000;TraesCS2B01G477600;TraesCS4A01G384600;TraesCS2B01G536500;TraesCS3B01G141500;TraesCS7B01G326100;TraesCS2D01G222000;TraesCS6D01G072300;TraesCS2B01G519500;TraesCS3B01G544700;TraesCS7A01G042200;TraesCS3B01G588200;TraesCS6B01G231400;TraesCS7B01G333700;TraesCS2B01G241800;TraesCS7D01G365800;TraesCS7A01G460900;TraesCS2B01G096000;TraesCS3D01G104000;TraesCS7B01G356800;TraesCS5A01G048600;TraesCS7B01G071100;TraesCS1B01G355700;TraesCS5D01G268600;TraesCS6A01G276300;TraesCS3B01G310000;TraesCS6B01G225800;TraesCS5D01G019400;TraesCS2B01G034700;TraesCS7B01G278900;TraesCS3B01G555600;TraesCS1B01G062200;TraesCS2B01G084000;TraesCS4B01G343100;TraesCS1B01G006500;TraesCS3D01G500800;TraesCS1A01G340300;TraesCS1A01G342600;TraesCS2D01G190200;TraesCS5B01G455500;TraesCS2D01G364200;TraesCS3B01G474400;TraesCS5A01G261200;TraesCS3A01G261800;TraesCS1D01G344700;TraesCS2B01G242500;TraesCS1D01G431000;TraesCS2D01G025500;TraesCS3B01G084000;TraesCS4A01G474800;TraesCSU01G194300;TraesCSU01G008200;TraesCS7D01G037700;TraesCS5A01G072700;TraesCS5B01G063600;TraesCS4A01G445500;TraesCS6B01G083500;TraesCS6B01G226200;TraesCS7B01G122800;TraesCS3B01G038900;TraesCS2D01G002600;TraesCS3B01G032400;TraesCS2D01G252600;TraesCS3D01G048800;TraesCS6B01G374000;TraesCS4B01G007400;TraesCS2D01G053300;TraesCS2B01G067000;TraesCS2D01G137300;TraesCS7A01G374200;TraesCS2B01G084100;TraesCS1B01G062300;TraesCS4B01G092500;TraesCS3B01G052600;TraesCS6B01G232400;TraesCS2D01G039400;TraesCS4B01G106000;TraesCS6B01G238900;TraesCS7B01G273000;TraesCS1D01G013800;TraesCS3D01G124200;TraesCS2A01G299400;TraesCS2A01G589900;TraesCS3B01G059000;TraesCS1D01G049000;TraesCSU01G008100;TraesCS1D01G271500;TraesCS3A01G016500;TraesCS4D01G325500;TraesCS1D01G076200;TraesCS6B01G212700;TraesCS5A01G406100;TraesCS7D01G111600;TraesCS6B01G231200;TraesCS4D01G109000;TraesCS5B01G454700;TraesCS1B01G410600;TraesCS5B01G184600;TraesCSU01G050000;TraesCS3B01G569900;TraesCS3D01G276200;TraesCS7D01G124900</t>
  </si>
  <si>
    <t>TraesCS1A01G168100</t>
  </si>
  <si>
    <t>catalytic activity, acting on a protein</t>
  </si>
  <si>
    <t>TraesCS7B01G325900;TraesCS2B01G208900;TraesCS1B01G345000;TraesCS2D01G509400;TraesCS3A01G067700;TraesCS3B01G295000;TraesCS2A01G211900;TraesCS4B01G092400;TraesCS7A01G127100;TraesCS5D01G187700;TraesCS4A01G491600;TraesCS7A01G425900;TraesCS6B01G238000;TraesCS4D01G350300;TraesCS5A01G526000;TraesCS7D01G463700;TraesCS6B01G153100;TraesCS6B01G171900;TraesCS2D01G222300;TraesCS5B01G410900;TraesCS6B01G226000;TraesCS2B01G402800;TraesCS2B01G243000;TraesCS5D01G302000;TraesCS3A01G276200;TraesCS3D01G049000;TraesCS6B01G237600;TraesCS5D01G191400;TraesCS5D01G025500;TraesCS5A01G552200;TraesCS6B01G225700;TraesCS5A01G445700;TraesCS6A01G220200;TraesCS2A01G503800;TraesCS1D01G249000;TraesCS2B01G565300;TraesCS1A01G273600;TraesCS1D01G048900;TraesCS2B01G563800;TraesCS4D01G098400;TraesCSU01G076000;TraesCS2A01G371700;TraesCS2D01G511500;TraesCS3D01G072700;TraesCS6D01G359100;TraesCS2A01G371600;TraesCS5B01G187000;TraesCS3A01G049600;TraesCS2A01G510200;TraesCS2B01G477600;TraesCS6D01G053400;TraesCS7B01G326100;TraesCS2D01G132500;TraesCS5D01G251100;TraesCS3D01G467600;TraesCS2B01G519500;TraesCS6B01G229200;TraesCS7A01G042200;TraesCS6B01G261700;TraesCS2B01G404200;TraesCS3B01G588200;TraesCS6B01G231400;TraesCS7D01G365800;TraesCS7A01G460900;TraesCS1B01G355700;TraesCS6A01G276300;TraesCS3B01G310000;TraesCS6B01G225800;TraesCS5D01G019400;TraesCS7A01G489000;TraesCS3B01G555600;TraesCS1B01G062200;TraesCS2B01G084000;TraesCS4B01G343100;TraesCS1B01G006500;TraesCS2A01G385900;TraesCS3D01G500800;TraesCS1A01G340300;TraesCS1A01G342600;TraesCS2D01G364200;TraesCS5A01G261200;TraesCS3B01G266200;TraesCS5A01G196800;TraesCS1D01G344700;TraesCS1D01G431000;TraesCS3B01G084000;TraesCS4A01G474800;TraesCS1D01G412300;TraesCS4A01G241700;TraesCS7B01G301600;TraesCS1D01G441600;TraesCS5B01G063600;TraesCS4A01G445500;TraesCS6B01G226200;TraesCS2D01G002600;TraesCS3B01G032400;TraesCS6D01G215000;TraesCS3D01G039400;TraesCS3A01G446200;TraesCS3D01G048800;TraesCS6B01G374000;TraesCS2B01G067000;TraesCS2D01G137300;TraesCS7A01G374200;TraesCS2B01G084100;TraesCS1B01G062300;TraesCS6B01G232400;TraesCS2D01G039400;TraesCS4B01G106000;TraesCS1D01G013800;TraesCS2A01G299400;TraesCS3D01G534200;TraesCS2A01G589900;TraesCS1D01G271500;TraesCS1D01G076200;TraesCS6B01G212700;TraesCS6B01G231200;TraesCS4D01G109000;TraesCS5B01G454700;TraesCS1B01G410600;TraesCS3A01G411700;TraesCS3D01G039300;TraesCS5B01G184600;TraesCSU01G050000;TraesCS3B01G569900;TraesCS3D01G276200;TraesCS7D01G124900;TraesCS5D01G250300;TraesCSU01G044100;TraesCS1A01G006800;TraesCS7D01G374700;TraesCS1A01G168100;TraesCS1A01G149700;TraesCS7A01G215800;TraesCS7D01G461900;TraesCS1A01G006000;TraesCS2B01G240800;TraesCS7D01G217500;TraesCS3B01G086900;TraesCS1D01G082200;TraesCS6B01G224900;TraesCS2D01G216700;TraesCS5D01G194400;TraesCS4B01G098100;TraesCS4A01G384500;TraesCS5B01G284400;TraesCS3A01G056300;TraesCS1B01G007400;TraesCS2D01G013200;TraesCS3D01G501400;TraesCS4D01G003300;TraesCS2B01G241900;TraesCS1B01G091900;TraesCS6D01G112200;TraesCS6D01G242000;TraesCS2D01G382400;TraesCS4B01G009500;TraesCS4D01G089200;TraesCS3D01G346200;TraesCS1A01G073300;TraesCS4A01G207800;TraesCS1D01G430800;TraesCS2A01G041000;TraesCS3A01G493600;TraesCSU01G219500;TraesCS5D01G194600;TraesCS6A01G342000;TraesCS7A01G146600;TraesCS2B01G152600;TraesCS2A01G182400;TraesCS4B01G328400;TraesCS7D01G475300;TraesCS2D01G052800;TraesCS2A01G214000;TraesCS2D01G409500;TraesCS6A01G122000;TraesCS4A01G384600;TraesCS2B01G536500;TraesCS3B01G141500;TraesCS2D01G222000;TraesCS6B01G231000;TraesCS6D01G072300;TraesCS3B01G544700;TraesCS6B01G229600;TraesCS7B01G333700;TraesCS2B01G241800;TraesCS2B01G096000;TraesCS3D01G104000;TraesCS7B01G356800;TraesCS5A01G048600;TraesCS7B01G071100;TraesCS5D01G268600;TraesCS2B01G034700;TraesCS6B01G041200;TraesCS2D01G190200;TraesCS5B01G455500;TraesCS3B01G474400;TraesCS3A01G261800;TraesCS2B01G242500;TraesCS2D01G383400;TraesCS2D01G025500;TraesCSU01G194300;TraesCSU01G008200;TraesCS7D01G037700;TraesCS7B01G122800;TraesCS3B01G038900;TraesCS2D01G252600;TraesCS3A01G040800;TraesCS4B01G007400;TraesCS2D01G053300;TraesCS3B01G140500;TraesCS3B01G356700;TraesCS6B01G231700;TraesCS4B01G092500;TraesCS3B01G052600;TraesCS6B01G238900;TraesCS7B01G273000;TraesCS1A01G095800;TraesCS3D01G124200;TraesCS3B01G059000;TraesCS1D01G049000;TraesCSU01G008100;TraesCS3A01G016500;TraesCS4D01G325500;TraesCS4B01G356600;TraesCS5A01G406100;TraesCS5B01G255200</t>
  </si>
  <si>
    <t>TraesCS1A01G186100</t>
  </si>
  <si>
    <t>TraesCS3D01G396800;TraesCS1D01G098100;TraesCS2B01G445300;TraesCS1B01G175600;TraesCSU01G009100;TraesCS1D01G415900;TraesCS5D01G233800;TraesCS3B01G161100;TraesCS6B01G225200;TraesCS7B01G474000;TraesCS2D01G467000;TraesCS2D01G505600;TraesCS7D01G447200;TraesCS4D01G253800;TraesCS4B01G106500;TraesCS2B01G489800;TraesCS5B01G153100;TraesCS5D01G324300;TraesCS7A01G241400;TraesCS2D01G309500;TraesCS4B01G031800;TraesCS2B01G359300;TraesCS2A01G052600;TraesCS5A01G303400;TraesCS7D01G368700;TraesCS5D01G012000;TraesCS2A01G107800;TraesCS5A01G226400;TraesCS4D01G103000;TraesCS5A01G261400;TraesCS5B01G303800;TraesCS4D01G195700;TraesCS7A01G175400;TraesCS7A01G262000;TraesCS2D01G021500;TraesCS4A01G109200;TraesCS3B01G596800;TraesCS7B01G253300;TraesCS5A01G004600;TraesCS5B01G473300;TraesCS3D01G061900;TraesCS3D01G305300;TraesCS6D01G054900;TraesCS1B01G410300;TraesCSU01G031600;TraesCS3A01G061600;TraesCS4A01G202300;TraesCS4B01G195000;TraesCS1B01G001700;TraesCSU01G008800;TraesCS7D01G080400;TraesCS4D01G265800;TraesCS7B01G354400;TraesCS2A01G026600;TraesCS5D01G233700;TraesCS5D01G199900;TraesCS2B01G040000;TraesCS1D01G098000;TraesCS6A01G297500;TraesCS3B01G395900;TraesCS2D01G483100;TraesCS5A01G462200;TraesCS2A01G546600;TraesCS2D01G099300;TraesCS5A01G462600;TraesCS4A01G033600;TraesCS1D01G239600;TraesCS7D01G347300;TraesCS7D01G536900;TraesCS2B01G230400;TraesCS2B01G177600;TraesCS7D01G142000;TraesCS7D01G438700;TraesCS5B01G028300;TraesCS7A01G459400;TraesCS2B01G572400;TraesCS3B01G128700;TraesCS2B01G459100;TraesCS5D01G012300;TraesCS6B01G302400;TraesCS1A01G089600;TraesCS4D01G309900;TraesCS2A01G013400;TraesCS3A01G297100;TraesCS6B01G229200;TraesCS4D01G003400;TraesCS1A01G394900;TraesCS3A01G136100;TraesCS5A01G004700;TraesCS4B01G271800;TraesCS3B01G485000;TraesCS6B01G239400;TraesCS3B01G597000;TraesCS3D01G367200;TraesCS2B01G210900;TraesCS7D01G204900;TraesCS2D01G028600;TraesCS6B01G353200;TraesCS3A01G109500;TraesCS4A01G033500;TraesCS4A01G384700;TraesCS2A01G467000;TraesCS5D01G565100;TraesCS6B01G230200;TraesCS7A01G077500;TraesCS2B01G284300;TraesCS1D01G080900;TraesCS2B01G173500;TraesCS7A01G085700;TraesCS7A01G354000;TraesCS2D01G407700;TraesCS4B01G037600;TraesCS2B01G125300;TraesCS5D01G012200;TraesCS2D01G029700;TraesCS7B01G349100;TraesCS2B01G066800;TraesCS5A01G381100;TraesCS2A01G107600;TraesCS2D01G052300;TraesCS5B01G099700;TraesCS5D01G310500;TraesCS7B01G273600;TraesCS3D01G475800;TraesCS4D01G270900;TraesCS1B01G067500;TraesCS2A01G060400;TraesCS2B01G459000;TraesCS4D01G116700;TraesCS3D01G061700;TraesCS1A01G089500;TraesCS3A01G297200;TraesCS7B01G251200;TraesCS2A01G504900;TraesCS7B01G037400;TraesCS5A01G318000;TraesCS3B01G353000;TraesCS4A01G202100;TraesCS4B01G271900;TraesCS2A01G019400;TraesCS2D01G261100;TraesCS3D01G403800;TraesCS6D01G020700;TraesCS3A01G401900;TraesCS5B01G023100;TraesCS4B01G202000;TraesCS5D01G460700;TraesCS6D01G300600;TraesCS1B01G117500;TraesCS4D01G270000;TraesCS6B01G238500;TraesCS3B01G354000;TraesCS7A01G201800;TraesCS7D01G349400;TraesCS1A01G239400;TraesCS7B01G359700;TraesCS6D01G359300;TraesCS4D01G103300;TraesCS5D01G012100;TraesCS4A01G311000;TraesCS2B01G033000;TraesCS2D01G153100;TraesCS2D01G157300;TraesCS6B01G327200;TraesCS7A01G136500;TraesCS2A01G438300;TraesCS4B01G312300;TraesCS3A01G519000;TraesCS1B01G437500;TraesCS7B01G251100;TraesCS1B01G305600;TraesCS4D01G116600;TraesCS5B01G429800;TraesCS7A01G317500;TraesCS6B01G227900;TraesCSU01G008900;TraesCS7A01G277500;TraesCS5D01G268800;TraesCS2D01G367400;TraesCS5D01G396500</t>
  </si>
  <si>
    <t>TraesCS1A01G186300</t>
  </si>
  <si>
    <t>TraesCS6A01G276300;TraesCS6B01G225800;TraesCS2B01G208900;TraesCS5D01G019400;TraesCS2D01G509400;TraesCS2A01G211900;TraesCS7D01G374700;TraesCS1B01G062200;TraesCS4B01G092400;TraesCS7A01G127100;TraesCS5D01G187700;TraesCS1A01G340300;TraesCS7D01G461900;TraesCS2D01G364200;TraesCS2B01G240800;TraesCS5A01G261200;TraesCS7D01G217500;TraesCS2B01G242500;TraesCS3B01G086900;TraesCS1D01G082200;TraesCS2D01G025500;TraesCS2D01G216700;TraesCS7D01G463700;TraesCS6B01G153100;TraesCS5B01G063600;TraesCS2D01G222300;TraesCS5B01G410900;TraesCS6B01G226200;TraesCS2D01G002600;TraesCS5B01G284400;TraesCS3A01G056300;TraesCS2D01G252600;TraesCS2B01G243000;TraesCS2D01G013200;TraesCS5D01G302000;TraesCS3D01G501400;TraesCS3D01G049000;TraesCS4D01G003300;TraesCS2B01G241900;TraesCS5D01G191400;TraesCS1B01G091900;TraesCS6D01G242000;TraesCS5D01G025500;TraesCS3D01G048800;TraesCS4D01G089200;TraesCS6B01G225700;TraesCS1A01G073300;TraesCS4A01G207800;TraesCS2D01G053300;TraesCS2B01G067000;TraesCS7A01G374200;TraesCS1D01G430800;TraesCS3A01G493600;TraesCS5A01G445700;TraesCS4B01G092500;TraesCS3B01G052600;TraesCS2D01G039400;TraesCS4B01G106000;TraesCS6B01G238900;TraesCS7B01G273000;TraesCS1A01G273600;TraesCS1D01G048900;TraesCS2B01G563800;TraesCS1D01G013800;TraesCS2D01G511500;TraesCS2A01G299400;TraesCS3D01G072700;TraesCS2D01G052800;TraesCS2A01G589900;TraesCS6D01G359100;TraesCS3A01G049600;TraesCS2A01G214000;TraesCS4D01G325500;TraesCS4A01G384600;TraesCS2B01G536500;TraesCS1D01G076200;TraesCS4D01G109000;TraesCS6D01G072300;TraesCS7B01G333700;TraesCS2B01G241800;TraesCS2B01G096000;TraesCS7B01G356800;TraesCS5A01G048600;TraesCS7B01G071100;TraesCS5D01G268600;TraesCS7D01G124900</t>
  </si>
  <si>
    <t>TraesCS1A01G186400</t>
  </si>
  <si>
    <t>ATP binding</t>
  </si>
  <si>
    <t>TraesCS7B01G325900;TraesCS2B01G208900;TraesCS2D01G509400;TraesCS3B01G295000;TraesCS2A01G211900;TraesCS4B01G092400;TraesCS7A01G127100;TraesCS5D01G187700;TraesCS4A01G491600;TraesCS2D01G033200;TraesCS7A01G425900;TraesCS3D01G234300;TraesCS7D01G463700;TraesCS6B01G153100;TraesCS2D01G222300;TraesCS5B01G410900;TraesCS6B01G226000;TraesCS7A01G391100;TraesCS2B01G243000;TraesCS6B01G233800;TraesCS5D01G302000;TraesCS3A01G276200;TraesCS3D01G049000;TraesCS6B01G237600;TraesCS5D01G191400;TraesCS5D01G025500;TraesCS5A01G552200;TraesCS6B01G225700;TraesCS1A01G430200;TraesCS6D01G402500;TraesCS5A01G445700;TraesCS2A01G503800;TraesCS1D01G249000;TraesCS2B01G565300;TraesCS1A01G273600;TraesCS1D01G048900;TraesCS2B01G563800;TraesCSU01G076000;TraesCS2A01G371700;TraesCS2D01G511500;TraesCS3D01G072700;TraesCS6D01G359100;TraesCS2A01G371600;TraesCS3A01G049600;TraesCS2A01G510200;TraesCS2B01G477600;TraesCS7B01G326100;TraesCS2B01G519500;TraesCS7A01G042200;TraesCS3B01G588200;TraesCS6B01G231400;TraesCS7D01G365800;TraesCS7A01G460900;TraesCS1A01G343000;TraesCS1B01G355700;TraesCS1D01G381700;TraesCS6A01G276300;TraesCS3B01G310000;TraesCS6B01G225800;TraesCS5D01G019400;TraesCS3B01G555600;TraesCS1B01G062200;TraesCS2B01G084000;TraesCS4B01G343100;TraesCS1B01G006500;TraesCS3A01G230900;TraesCS3D01G500800;TraesCS1A01G340300;TraesCS1A01G342600;TraesCS4A01G331100;TraesCS2D01G364200;TraesCS5A01G261200;TraesCS1A01G332800;TraesCS1D01G344700;TraesCS1D01G431000;TraesCS3B01G084000;TraesCS4A01G474800;TraesCS7B01G292700;TraesCS5A01G072700;TraesCS5B01G063600;TraesCS4A01G445500;TraesCS6B01G226200;TraesCS2D01G002600;TraesCS3B01G032400;TraesCS4B01G240900;TraesCS6B01G235900;TraesCS1D01G439400;TraesCS5D01G004700;TraesCS3D01G048800;TraesCS6B01G374000;TraesCS7B01G000200;TraesCS2B01G067000;TraesCS2D01G137300;TraesCS7A01G374200;TraesCS2B01G084100;TraesCS1B01G062300;TraesCS6B01G232400;TraesCS2D01G039400;TraesCS4B01G106000;TraesCS1D01G013800;TraesCS1A01G235200;TraesCS2A01G299400;TraesCS2A01G589900;TraesCS1D01G271500;TraesCS1D01G076200;TraesCS6B01G212700;TraesCS6B01G231200;TraesCS4D01G109000;TraesCS5B01G454700;TraesCS1B01G410600;TraesCS5B01G184600;TraesCSU01G050000;TraesCS3B01G569900;TraesCS3D01G276200;TraesCS1D01G439300;TraesCS7D01G124900;TraesCSU01G044100;TraesCS1A01G006800;TraesCS7D01G374700;TraesCS1A01G149700;TraesCS7A01G215800;TraesCS7D01G461900;TraesCS1A01G006000;TraesCS2B01G240800;TraesCS5D01G452500;TraesCS7D01G217500;TraesCS3B01G086900;TraesCS1D01G082200;TraesCS2D01G216700;TraesCS4A01G384500;TraesCS5B01G284400;TraesCS3A01G056300;TraesCS1B01G007400;TraesCS2D01G013200;TraesCS3D01G501400;TraesCS1A01G312300;TraesCS4D01G003300;TraesCS2B01G241900;TraesCS1B01G091900;TraesCS6D01G112200;TraesCS6D01G242000;TraesCS4B01G009500;TraesCS4D01G089200;TraesCS1A01G073300;TraesCS4A01G207800;TraesCS1D01G430800;TraesCS2A01G041000;TraesCS3A01G493600;TraesCSU01G219500;TraesCS3A01G218000;TraesCS6A01G178500;TraesCS6A01G342000;TraesCS2A01G182400;TraesCS4A01G130300;TraesCS4B01G328400;TraesCS2D01G052800;TraesCS2A01G214000;TraesCS6A01G122000;TraesCS4A01G384600;TraesCS2B01G536500;TraesCS3B01G141500;TraesCS2D01G222000;TraesCS4A01G083900;TraesCS5D01G564000;TraesCS6B01G231000;TraesCS6D01G072300;TraesCS3B01G544700;TraesCS7B01G333700;TraesCS1D01G439500;TraesCS2B01G241800;TraesCS4B01G174300;TraesCS2B01G096000;TraesCS3D01G104000;TraesCS7B01G356800;TraesCS7D01G386600;TraesCS5A01G048600;TraesCS7B01G071100;TraesCS5D01G268600;TraesCS6A01G171800;TraesCS2B01G034700;TraesCS2D01G190200;TraesCS5B01G449500;TraesCS5B01G455500;TraesCS3B01G474400;TraesCS3A01G261800;TraesCS4D01G092000;TraesCS2B01G242500;TraesCS2D01G025500;TraesCSU01G194300;TraesCSU01G008200;TraesCS7D01G037700;TraesCS7B01G122800;TraesCS3B01G038900;TraesCS6B01G199700;TraesCS2D01G252600;TraesCS4B01G007400;TraesCS2D01G053300;TraesCS4B01G092500;TraesCS3B01G052600;TraesCS4A01G384800;TraesCS6B01G238900;TraesCS7B01G273000;TraesCS1B01G465000;TraesCS6B01G205900;TraesCS4D01G220500;TraesCS3D01G124200;TraesCS3B01G059000;TraesCS1D01G049000;TraesCS4D01G176300;TraesCSU01G008100;TraesCS3A01G016500;TraesCS4D01G325500;TraesCS5A01G406100;TraesCS6B01G229400</t>
  </si>
  <si>
    <t>TraesCS1A01G186600</t>
  </si>
  <si>
    <t>aromatic amino acid family catabolic process</t>
  </si>
  <si>
    <t>TraesCS2D01G218700;TraesCS1B01G122800;TraesCS5B01G468300;TraesCS2A01G196400;TraesCS1D01G039300;TraesCS2A01G196700;TraesCS2D01G377500;TraesCS2A01G212900;TraesCS2D01G377400;TraesCS2B01G398200;TraesCS2D01G204400;TraesCS5A01G160800;TraesCS2D01G204700;TraesCS2B01G224300;TraesCS1A01G037800;TraesCS1D01G103500;TraesCS2B01G224000</t>
  </si>
  <si>
    <t>TraesCS1A01G186700</t>
  </si>
  <si>
    <t>cell wall macromolecule catabolic process</t>
  </si>
  <si>
    <t>TraesCS2A01G350800;TraesCS2A01G350900;TraesCS2D01G348900;TraesCS2D01G348800;TraesCS4D01G325500;TraesCS2B01G369100;TraesCS4D01G326400;TraesCS2B01G369000;TraesCS1B01G410600;TraesCS1A01G203600;TraesCS7B01G370700;TraesCS2D01G349000;TraesCS2D01G349400;TraesCS4B01G328400;TraesCS2A01G350700</t>
  </si>
  <si>
    <t>TraesCS1A01G186800</t>
  </si>
  <si>
    <t>TraesCS1A01G107100;TraesCS2A01G590900;TraesCS2A01G588300;TraesCS6D01G230500;TraesCS7D01G009700;TraesCS2D01G402000;TraesCS5D01G038400;TraesCS3A01G124700;TraesCS4B01G074100;TraesCS2B01G369100;TraesCS5B01G394300;TraesCS1D01G056500;TraesCS2A01G588900;TraesCS1A01G113300;TraesCS2B01G051600;TraesCS2B01G489800;TraesCS7B01G093800;TraesCS2A01G467000;TraesCS6B01G058000;TraesCS4B01G026100;TraesCS7B01G370700;TraesCS2D01G349000;TraesCS4B01G031800;TraesCS4D01G350500;TraesCS6D01G281100;TraesCS1B01G090700;TraesCS6D01G048900;TraesCS2B01G521100;TraesCS2D01G349400;TraesCS3B01G526000;TraesCS5B01G476000;TraesCS2A01G350800;TraesCS3D01G475200;TraesCS2B01G341400;TraesCS5A01G526200;TraesCS4B01G142000;TraesCS2D01G348800;TraesCS3D01G477300;TraesCS2B01G580200;TraesCS4D01G023500;TraesCS1D01G162000;TraesCS5A01G072700;TraesCS3B01G258600;TraesCS2D01G564900;TraesCS3B01G267700;TraesCS4A01G485400;TraesCS1B01G133400;TraesCS1D01G402500;TraesCS2D01G550700;TraesCS4A01G485000;TraesCS2A01G405100;TraesCS3D01G476500;TraesCS2D01G322100;TraesCS3B01G526700;TraesCS4A01G240900;TraesCS4D01G072800;TraesCS5A01G464500;TraesCS2A01G343800;TraesCS7A01G427300;TraesCS2B01G594700;TraesCS4A01G186500;TraesCS2B01G594900;TraesCS2B01G369000;TraesCS4D01G142000;TraesCS5D01G019100;TraesCS3D01G478000;TraesCS4D01G220500;TraesCS6B01G276300;TraesCS1B01G182000;TraesCS2A01G350700;TraesCS2A01G350900;TraesCS1A01G072100;TraesCS7B01G286100;TraesCS7D01G190100;TraesCS1A01G072300;TraesCS2D01G348900;TraesCS6B01G226700;TraesCS2B01G580300;TraesCS1B01G422700;TraesCS2D01G321800;TraesCS5D01G477100;TraesCS3B01G258100;TraesCS4B01G356800;TraesCS4A01G083900;TraesCS3D01G467600;TraesCS1B01G133300;TraesCS1A01G203600;TraesCS4A01G187200;TraesCS5B01G475700;TraesCS4D01G227700;TraesCS3A01G226400;TraesCS2D01G550600;TraesCS4A01G288700</t>
  </si>
  <si>
    <t>TraesCS1A01G197200</t>
  </si>
  <si>
    <t>chitinase activity</t>
  </si>
  <si>
    <t>TraesCS2A01G350800;TraesCS2A01G350900;TraesCS2D01G348900;TraesCS2D01G348800;TraesCS4D01G325500;TraesCS2B01G369100;TraesCS2B01G369000;TraesCS1B01G410600;TraesCS1A01G203600;TraesCS7B01G370700;TraesCS2D01G349000;TraesCS2D01G349400;TraesCS4B01G328400;TraesCS2A01G350700</t>
  </si>
  <si>
    <t>TraesCS1A01G203600</t>
  </si>
  <si>
    <t>aminoglycan catabolic process</t>
  </si>
  <si>
    <t>TraesCS1A01G211500</t>
  </si>
  <si>
    <t>chitin metabolic process</t>
  </si>
  <si>
    <t>TraesCS1A01G231200</t>
  </si>
  <si>
    <t>amino sugar catabolic process</t>
  </si>
  <si>
    <t>TraesCS1A01G235000</t>
  </si>
  <si>
    <t>glucosamine-containing compound catabolic process</t>
  </si>
  <si>
    <t>TraesCS1A01G239300</t>
  </si>
  <si>
    <t>chitin catabolic process</t>
  </si>
  <si>
    <t>TraesCS1A01G239400</t>
  </si>
  <si>
    <t>TraesCS3D01G396800;TraesCS1D01G098100;TraesCS2B01G445300;TraesCSU01G009100;TraesCS5D01G233800;TraesCS3B01G161100;TraesCS6B01G225200;TraesCS7B01G474000;TraesCS2D01G467000;TraesCS2D01G505600;TraesCS7D01G447200;TraesCS4D01G253800;TraesCS4B01G106500;TraesCS7A01G259100;TraesCS2B01G489800;TraesCS5B01G153100;TraesCS5D01G324300;TraesCS7A01G241400;TraesCS2D01G309500;TraesCS4B01G031800;TraesCS2B01G359300;TraesCS2A01G052600;TraesCS5A01G303400;TraesCS7D01G368700;TraesCS5D01G012000;TraesCS2A01G107800;TraesCS5A01G226400;TraesCS4D01G103000;TraesCS5A01G261400;TraesCS5B01G303800;TraesCS4D01G195700;TraesCS7A01G262000;TraesCS2D01G021500;TraesCS4A01G109200;TraesCS3B01G596800;TraesCS7B01G253300;TraesCS5A01G004600;TraesCS3D01G061900;TraesCS3D01G305300;TraesCS6D01G054900;TraesCS1B01G410300;TraesCSU01G031600;TraesCS3A01G061600;TraesCS4A01G202300;TraesCS4B01G195000;TraesCS1B01G001700;TraesCSU01G008800;TraesCS7D01G080400;TraesCS4D01G265800;TraesCS7B01G354400;TraesCS2A01G026600;TraesCS5D01G233700;TraesCS5D01G199900;TraesCS2B01G040000;TraesCS1D01G098000;TraesCS3B01G395900;TraesCS2D01G483100;TraesCS2A01G546600;TraesCS2D01G099300;TraesCS1D01G239600;TraesCS7D01G347300;TraesCS7D01G536900;TraesCS2B01G230400;TraesCS2B01G177600;TraesCS7D01G142000;TraesCS7D01G438700;TraesCS5B01G028300;TraesCS7A01G459400;TraesCS2B01G572400;TraesCS3B01G128700;TraesCS2B01G459100;TraesCS5D01G012300;TraesCS6B01G302400;TraesCS1A01G089600;TraesCS4D01G309900;TraesCS2A01G013400;TraesCS3A01G297100;TraesCS6B01G229200;TraesCS4D01G003400;TraesCS1A01G394900;TraesCS3A01G136100;TraesCS5A01G004700;TraesCS3B01G485000;TraesCS6B01G239400;TraesCS3B01G597000;TraesCS3D01G367200;TraesCS2B01G210900;TraesCS7D01G204900;TraesCS2D01G028600;TraesCS6B01G353200;TraesCS3A01G109500;TraesCS4A01G384700;TraesCS2A01G467000;TraesCS5D01G565100;TraesCS6B01G230200;TraesCS7A01G077500;TraesCS2B01G284300;TraesCS1D01G080900;TraesCS2B01G173500;TraesCS7A01G085700;TraesCS7A01G354000;TraesCS2D01G407700;TraesCS4B01G037600;TraesCS2B01G125300;TraesCS5D01G012200;TraesCS2D01G029700;TraesCS7B01G349100;TraesCS2B01G066800;TraesCS5A01G381100;TraesCS2A01G107600;TraesCS2D01G052300;TraesCS5B01G099700;TraesCS5D01G310500;TraesCS7B01G273600;TraesCS3D01G475800;TraesCS1B01G067500;TraesCS2A01G060400;TraesCS2B01G459000;TraesCS4D01G116700;TraesCS3D01G061700;TraesCS1A01G089500;TraesCS3A01G297200;TraesCS7B01G251200;TraesCS2A01G504900;TraesCS7B01G037400;TraesCS5A01G318000;TraesCS4A01G202100;TraesCS2A01G019400;TraesCS2D01G261100;TraesCS3D01G403800;TraesCS6D01G020700;TraesCS3A01G401900;TraesCS5B01G023100;TraesCS4B01G202000;TraesCS5D01G460700;TraesCS6D01G300600;TraesCS1B01G117500;TraesCS4D01G270000;TraesCS6B01G238500;TraesCS3B01G354000;TraesCS7A01G201800;TraesCS7D01G349400;TraesCS1A01G239400;TraesCS7B01G359700;TraesCS6D01G359300;TraesCS4D01G103300;TraesCS5D01G012100;TraesCS4A01G311000;TraesCS2B01G033000;TraesCS2D01G153100;TraesCS2D01G157300;TraesCS7A01G136500;TraesCS2A01G438300;TraesCS4B01G312300;TraesCS3A01G519000;TraesCS1B01G437500;TraesCS7B01G251100;TraesCS4D01G116600;TraesCS5B01G429800;TraesCS7A01G317500;TraesCS6B01G227900;TraesCSU01G008900;TraesCS7A01G277500;TraesCS5D01G268800;TraesCS2D01G367400</t>
  </si>
  <si>
    <t>TraesCS1A01G265600</t>
  </si>
  <si>
    <t>glucosamine-containing compound metabolic process</t>
  </si>
  <si>
    <t>TraesCS1A01G265700</t>
  </si>
  <si>
    <t>amino sugar metabolic process</t>
  </si>
  <si>
    <t>TraesCS1A01G265900</t>
  </si>
  <si>
    <t>TraesCS3B01G597000;TraesCS2B01G445300;TraesCS7D01G204900;TraesCSU01G009100;TraesCS5D01G233800;TraesCS7B01G474000;TraesCS2D01G505600;TraesCS4D01G253800;TraesCS4A01G384700;TraesCS5B01G153100;TraesCS5D01G324300;TraesCS5D01G565100;TraesCS7A01G077500;TraesCS7A01G085700;TraesCS5D01G012000;TraesCS5D01G012200;TraesCS2D01G029700;TraesCS7B01G349100;TraesCS5A01G226400;TraesCS5A01G381100;TraesCS4D01G195700;TraesCS2D01G021500;TraesCS4A01G109200;TraesCS1B01G067500;TraesCS3B01G596800;TraesCS7B01G253300;TraesCS3D01G061700;TraesCS5A01G004600;TraesCS2A01G504900;TraesCS3D01G061900;TraesCS7B01G037400;TraesCSU01G031600;TraesCS3A01G061600;TraesCS5A01G318000;TraesCS4B01G195000;TraesCS1B01G001700;TraesCSU01G008800;TraesCS7D01G080400;TraesCS7B01G354400;TraesCS2A01G019400;TraesCS2D01G261100;TraesCS5D01G233700;TraesCS3D01G403800;TraesCS2A01G546600;TraesCS4B01G202000;TraesCS5D01G460700;TraesCS6D01G300600;TraesCS1D01G239600;TraesCS7A01G201800;TraesCS7D01G349400;TraesCS7D01G536900;TraesCS1A01G239400;TraesCS6D01G359300;TraesCS5D01G012100;TraesCS4A01G311000;TraesCS2B01G033000;TraesCS2B01G177600;TraesCS7D01G142000;TraesCS2D01G157300;TraesCS7D01G438700;TraesCS7A01G136500;TraesCS5D01G012300;TraesCS4B01G312300;TraesCS3A01G519000;TraesCS4D01G309900;TraesCS2A01G013400;TraesCS1A01G394900;TraesCS3A01G136100;TraesCS5A01G004700;TraesCS6B01G239400;TraesCSU01G008900;TraesCS7A01G277500</t>
  </si>
  <si>
    <t>TraesCS1A01G266100</t>
  </si>
  <si>
    <t>carbohydrate binding</t>
  </si>
  <si>
    <t>TraesCS7D01G189700;TraesCS2D01G509400;TraesCS1B01G062200;TraesCS1A01G340300;TraesCS5B01G455500;TraesCS3B01G474400;TraesCS5A01G261200;TraesCS7A01G425900;TraesCS3A01G261800;TraesCS2B01G341400;TraesCS2B01G580200;TraesCS5B01G063600;TraesCS5B01G410900;TraesCS4A01G384500;TraesCS2D01G002600;TraesCS2D01G550700;TraesCS3D01G048800;TraesCS2D01G322100;TraesCS6B01G374000;TraesCS2D01G137300;TraesCS5A01G445700;TraesCS1B01G062300;TraesCS2A01G343800;TraesCS5D01G460700;TraesCS2D01G039400;TraesCS4B01G106000;TraesCS1D01G048900;TraesCS2B01G563800;TraesCSU01G076000;TraesCS2A01G371700;TraesCS6A01G342000;TraesCS3D01G124200;TraesCS3B01G059000;TraesCS1D01G049000;TraesCS2A01G371600;TraesCS3A01G049600;TraesCS2A01G214000;TraesCS2A01G510200;TraesCS2B01G580300;TraesCS2B01G477600;TraesCS4A01G384600;TraesCS2B01G536500;TraesCS2D01G321800;TraesCS3B01G141500;TraesCS5A01G406100;TraesCS5B01G454700;TraesCS4A01G187200;TraesCS5D01G373800;TraesCS3D01G104000;TraesCS2D01G550600;TraesCS5D01G268600</t>
  </si>
  <si>
    <t>TraesCS1A01G273600</t>
  </si>
  <si>
    <t>TraesCS2B01G445300;TraesCSU01G009100;TraesCS3B01G161100;TraesCS2D01G467000;TraesCS2D01G505600;TraesCS4D01G232700;TraesCS2B01G489800;TraesCS5D01G324300;TraesCS2D01G309500;TraesCS4B01G031800;TraesCS2A01G052600;TraesCS7D01G368700;TraesCS5D01G012000;TraesCS2A01G107800;TraesCS5A01G261400;TraesCS5D01G276800;TraesCS7A01G262000;TraesCS2D01G021500;TraesCS3B01G596800;TraesCS7B01G253300;TraesCS4B01G237300;TraesCS5A01G004600;TraesCS3D01G061900;TraesCS3D01G305300;TraesCS6D01G054900;TraesCSU01G031600;TraesCS3A01G061600;TraesCS1B01G001700;TraesCSU01G008800;TraesCS7D01G080400;TraesCS7B01G354400;TraesCS2A01G026600;TraesCS2B01G040000;TraesCS2D01G481600;TraesCS2D01G483100;TraesCS2A01G546600;TraesCS1D01G239600;TraesCS3D01G514300;TraesCS7D01G347300;TraesCS2B01G177600;TraesCS5B01G439400;TraesCS7D01G438700;TraesCS2B01G572400;TraesCS4A01G075600;TraesCS3B01G128700;TraesCS5D01G012300;TraesCS6B01G302400;TraesCS4D01G309900;TraesCS2A01G013400;TraesCS3A01G297100;TraesCS6B01G229200;TraesCS1A01G394900;TraesCS3A01G136100;TraesCS5A01G004700;TraesCS6A01G381700;TraesCS6B01G239400;TraesCS3B01G597000;TraesCS3D01G367200;TraesCS7D01G204900;TraesCS2D01G028600;TraesCS7B01G297700;TraesCS6B01G353200;TraesCS3A01G109500;TraesCS4D01G238600;TraesCS4A01G384700;TraesCS2A01G467000;TraesCS2A01G482000;TraesCS3B01G380500;TraesCS7A01G077500;TraesCS2B01G284300;TraesCS1D01G080900;TraesCS2B01G173500;TraesCS7A01G085700;TraesCS7A01G354000;TraesCS2B01G125300;TraesCS5D01G012200;TraesCS2D01G029700;TraesCS7B01G349100;TraesCS2B01G066800;TraesCS5A01G381100;TraesCS2A01G107600;TraesCS2D01G052300;TraesCS7B01G273600;TraesCS7D01G391400;TraesCS3D01G475800;TraesCS1B01G067500;TraesCS2D01G493500;TraesCS4D01G116700;TraesCS3D01G061700;TraesCS3A01G297200;TraesCS7B01G251200;TraesCS2A01G504900;TraesCS7B01G037400;TraesCS5B01G366800;TraesCS5A01G318000;TraesCS4B01G231400;TraesCS3B01G353000;TraesCS2A01G019400;TraesCS2D01G261100;TraesCS6D01G020700;TraesCS4B01G202000;TraesCS5D01G460700;TraesCS4D01G270000;TraesCS3B01G380600;TraesCS6B01G238500;TraesCS3B01G354000;TraesCS7A01G201800;TraesCS7D01G349400;TraesCS2B01G521600;TraesCS1A01G239400;TraesCS5D01G012100;TraesCS2B01G033000;TraesCS2D01G153100;TraesCS2D01G157300;TraesCS7A01G136500;TraesCS4B01G312300;TraesCS3A01G519000;TraesCS7B01G251100;TraesCS4D01G116600;TraesCS5B01G429800;TraesCS7A01G317500;TraesCSU01G008900;TraesCS7A01G277500;TraesCS5D01G268800;TraesCS1A01G402500;TraesCS1A01G270300</t>
  </si>
  <si>
    <t>TraesCS1A01G277900</t>
  </si>
  <si>
    <t>TraesCS2A01G350800;TraesCS2A01G350900;TraesCS2D01G348900;TraesCS2D01G348800;TraesCS4D01G325500;TraesCS2B01G369100;TraesCS2D01G493500;TraesCS2B01G369000;TraesCS1B01G410600;TraesCS1A01G203600;TraesCS7B01G370700;TraesCS2D01G349000;TraesCS2D01G349400;TraesCS2B01G521600;TraesCS4B01G328400;TraesCS2A01G350700</t>
  </si>
  <si>
    <t>TraesCS1A01G309100</t>
  </si>
  <si>
    <t>purine ribonucleoside triphosphate binding</t>
  </si>
  <si>
    <t>TraesCS7B01G325900;TraesCS2B01G208900;TraesCS2D01G509400;TraesCS3B01G295000;TraesCS2A01G211900;TraesCS4B01G092400;TraesCS7A01G127100;TraesCS5D01G187700;TraesCS4A01G491600;TraesCS6B01G230400;TraesCS2D01G033200;TraesCS7A01G425900;TraesCS3D01G234300;TraesCS7D01G463700;TraesCS6B01G153100;TraesCS2D01G222300;TraesCS5B01G410900;TraesCS6B01G226000;TraesCS7A01G391100;TraesCS2B01G243000;TraesCS6B01G233800;TraesCS5D01G302000;TraesCS3A01G276200;TraesCS3D01G049000;TraesCS6B01G237600;TraesCS5D01G191400;TraesCS5D01G025500;TraesCS5A01G552200;TraesCS6B01G225700;TraesCS1A01G430200;TraesCS6D01G402500;TraesCS5A01G445700;TraesCS2A01G503800;TraesCS1D01G249000;TraesCS2B01G565300;TraesCS1A01G273600;TraesCS1D01G048900;TraesCS2B01G563800;TraesCSU01G076000;TraesCS2A01G371700;TraesCS2D01G511500;TraesCS3D01G072700;TraesCS6D01G359100;TraesCS2A01G371600;TraesCS3A01G049600;TraesCS2A01G510200;TraesCS2B01G477600;TraesCS7B01G326100;TraesCS2B01G519500;TraesCS7A01G042200;TraesCS3B01G588200;TraesCS6B01G231400;TraesCS7D01G365800;TraesCS7A01G460900;TraesCS1A01G343000;TraesCS1B01G355700;TraesCS1D01G381700;TraesCS6A01G276300;TraesCS3B01G310000;TraesCS6B01G225800;TraesCS5D01G019400;TraesCS3B01G555600;TraesCS1B01G062200;TraesCS2B01G084000;TraesCS4B01G343100;TraesCS1B01G006500;TraesCS3A01G230900;TraesCS3D01G500800;TraesCS1A01G340300;TraesCS1A01G342600;TraesCS4A01G331100;TraesCS6B01G238600;TraesCS2D01G364200;TraesCS5A01G261200;TraesCS1A01G332800;TraesCS1D01G344700;TraesCS1D01G431000;TraesCS3B01G084000;TraesCS4A01G474800;TraesCS7B01G292700;TraesCS5A01G072700;TraesCS5B01G063600;TraesCS4A01G445500;TraesCS6B01G226200;TraesCS2D01G002600;TraesCS3B01G032400;TraesCS4B01G240900;TraesCS6B01G235900;TraesCS1D01G439400;TraesCS5D01G004700;TraesCS3D01G048800;TraesCS6B01G374000;TraesCS7B01G000200;TraesCS2B01G067000;TraesCS2D01G137300;TraesCS7A01G374200;TraesCS2B01G084100;TraesCS1B01G062300;TraesCS6B01G232400;TraesCS2D01G039400;TraesCS4B01G106000;TraesCS1D01G013800;TraesCS1A01G235200;TraesCS2A01G299400;TraesCS2A01G589900;TraesCS1D01G271500;TraesCS1D01G076200;TraesCS6B01G212700;TraesCS6B01G231200;TraesCS4D01G109000;TraesCS5B01G454700;TraesCS1B01G410600;TraesCS5B01G184600;TraesCSU01G050000;TraesCS3B01G569900;TraesCS3D01G276200;TraesCS1D01G439300;TraesCS7D01G124900;TraesCSU01G044100;TraesCS1A01G006800;TraesCS7D01G374700;TraesCS1A01G149700;TraesCS7A01G215800;TraesCS7D01G461900;TraesCS1A01G006000;TraesCS2B01G240800;TraesCS5D01G452500;TraesCS7D01G217500;TraesCS3B01G086900;TraesCS1D01G082200;TraesCS2D01G216700;TraesCS4A01G384500;TraesCS5B01G284400;TraesCS3A01G056300;TraesCS1B01G007400;TraesCS2D01G013200;TraesCS3D01G501400;TraesCS1A01G312300;TraesCS4D01G003300;TraesCS2B01G241900;TraesCS1B01G091900;TraesCS6D01G112200;TraesCS6D01G242000;TraesCS4B01G009500;TraesCS4D01G089200;TraesCS1A01G073300;TraesCS4A01G207800;TraesCS1D01G430800;TraesCS2A01G041000;TraesCS3A01G493600;TraesCSU01G219500;TraesCS3A01G218000;TraesCS6A01G178500;TraesCS6A01G342000;TraesCS2A01G182400;TraesCS4A01G130300;TraesCS4B01G328400;TraesCS2D01G052800;TraesCS2A01G214000;TraesCS6A01G122000;TraesCS4A01G384600;TraesCS2B01G536500;TraesCS3B01G141500;TraesCS2D01G222000;TraesCS4A01G083900;TraesCS5D01G564000;TraesCS6B01G231000;TraesCS6D01G072300;TraesCS3B01G544700;TraesCS7B01G333700;TraesCS1D01G439500;TraesCS2B01G241800;TraesCS4B01G174300;TraesCS2B01G096000;TraesCS3D01G104000;TraesCS7B01G356800;TraesCS7D01G386600;TraesCS5A01G048600;TraesCS7B01G071100;TraesCS5D01G268600;TraesCS6A01G171800;TraesCS2B01G034700;TraesCS2D01G190200;TraesCS5B01G449500;TraesCS5B01G455500;TraesCS3B01G474400;TraesCS3A01G261800;TraesCS4D01G092000;TraesCS2B01G242500;TraesCS2D01G025500;TraesCSU01G194300;TraesCSU01G008200;TraesCS7D01G037700;TraesCS7B01G122800;TraesCS3B01G038900;TraesCS6B01G199700;TraesCS2D01G252600;TraesCS4B01G007400;TraesCS2D01G053300;TraesCS4B01G092500;TraesCS3B01G052600;TraesCS4A01G384800;TraesCS6B01G238900;TraesCS7B01G273000;TraesCS1B01G465000;TraesCS6B01G205900;TraesCS4D01G220500;TraesCS3D01G124200;TraesCS3B01G059000;TraesCS1D01G049000;TraesCS4D01G176300;TraesCSU01G008100;TraesCS3A01G016500;TraesCS4D01G325500;TraesCS5A01G406100;TraesCS6B01G229400</t>
  </si>
  <si>
    <t>TraesCS1A01G312300</t>
  </si>
  <si>
    <t>carbon-nitrogen lyase activity</t>
  </si>
  <si>
    <t>TraesCS2D01G218700;TraesCS2B01G196500;TraesCS1B01G122800;TraesCS5B01G468300;TraesCS2A01G196400;TraesCS1D01G039300;TraesCS2A01G196700;TraesCS2D01G377500;TraesCS2A01G212900;TraesCS2D01G377400;TraesCS2B01G398200;TraesCS2D01G204400;TraesCS2D01G204700;TraesCS2B01G224300;TraesCS1A01G037800;TraesCS1D01G103500;TraesCS2B01G224000</t>
  </si>
  <si>
    <t>TraesCS1A01G322900</t>
  </si>
  <si>
    <t>TraesCS7B01G325900;TraesCS2B01G208900;TraesCS3A01G124700;TraesCS2D01G509400;TraesCS3B01G295000;TraesCS2A01G211900;TraesCS4B01G092400;TraesCS7A01G127100;TraesCS5D01G187700;TraesCS4A01G491600;TraesCS1A01G070400;TraesCS6D01G281100;TraesCS7A01G425900;TraesCS7D01G463700;TraesCS6B01G153100;TraesCS2D01G222300;TraesCS5B01G410900;TraesCS4D01G069300;TraesCS6B01G226000;TraesCS2B01G243000;TraesCS5D01G302000;TraesCS3A01G276200;TraesCS3D01G049000;TraesCS6B01G237600;TraesCS5D01G191400;TraesCS5D01G025500;TraesCS5A01G552200;TraesCS6B01G225700;TraesCS5A01G445700;TraesCS2A01G503800;TraesCS1D01G249000;TraesCS2B01G565300;TraesCS1A01G273600;TraesCS1D01G048900;TraesCS2B01G563800;TraesCSU01G076000;TraesCS2A01G371700;TraesCS2D01G511500;TraesCS3D01G072700;TraesCS6D01G359100;TraesCS2A01G371600;TraesCS3A01G049600;TraesCS2A01G510200;TraesCS2B01G477600;TraesCS7B01G326100;TraesCS2B01G519500;TraesCS7A01G042200;TraesCS3B01G588200;TraesCS6B01G231400;TraesCS7D01G365800;TraesCS7A01G460900;TraesCS6B01G239000;TraesCS1B01G355700;TraesCS6A01G276300;TraesCS3B01G310000;TraesCS6B01G225800;TraesCS6D01G230500;TraesCS5D01G019400;TraesCS3B01G555600;TraesCS1B01G062200;TraesCS2B01G084000;TraesCS4B01G343100;TraesCS1B01G006500;TraesCS3D01G500800;TraesCS1A01G340300;TraesCS1A01G342600;TraesCS2D01G364200;TraesCS5A01G261200;TraesCS3B01G266200;TraesCS1D01G344700;TraesCS3B01G547300;TraesCS1D01G431000;TraesCS3B01G084000;TraesCS4A01G474800;TraesCS7A01G492400;TraesCS5A01G072700;TraesCS5B01G063600;TraesCS4A01G445500;TraesCS6B01G226200;TraesCS2D01G002600;TraesCS3B01G032400;TraesCS3D01G048800;TraesCS6B01G374000;TraesCS2B01G067000;TraesCS2D01G137300;TraesCS7A01G374200;TraesCS2B01G084100;TraesCS1B01G062300;TraesCS6B01G232400;TraesCS2D01G039400;TraesCS4B01G106000;TraesCS1D01G013800;TraesCS2A01G299400;TraesCS2A01G589900;TraesCS1D01G271500;TraesCS1D01G076200;TraesCS6B01G212700;TraesCS6B01G231200;TraesCS4D01G109000;TraesCS5B01G454700;TraesCS1B01G410600;TraesCS5B01G184600;TraesCSU01G050000;TraesCS3B01G569900;TraesCS3D01G276200;TraesCS7D01G124900;TraesCSU01G044100;TraesCS1A01G006800;TraesCS5D01G293700;TraesCS7D01G374700;TraesCS1A01G149700;TraesCS7A01G215800;TraesCS3D01G493700;TraesCS7D01G461900;TraesCS1A01G006000;TraesCS2B01G240800;TraesCS7D01G217500;TraesCS3B01G086900;TraesCS1D01G082200;TraesCS6B01G224900;TraesCS2D01G216700;TraesCS4A01G384500;TraesCS7A01G115400;TraesCS5B01G284400;TraesCS3A01G056300;TraesCS1B01G007400;TraesCS2D01G013200;TraesCS3D01G501400;TraesCS4D01G003300;TraesCS2B01G241900;TraesCS1B01G091900;TraesCS6D01G112200;TraesCS6D01G242000;TraesCS4B01G009500;TraesCS4D01G089200;TraesCS1A01G073300;TraesCS4A01G207800;TraesCS1D01G430800;TraesCS2A01G041000;TraesCS3A01G493600;TraesCSU01G219500;TraesCS1B01G404000;TraesCS6A01G342000;TraesCS7A01G146600;TraesCS2A01G182400;TraesCS4B01G328400;TraesCS2D01G052800;TraesCS2A01G214000;TraesCS6A01G122000;TraesCS4A01G384600;TraesCS2B01G536500;TraesCS3B01G141500;TraesCS2D01G222000;TraesCS6D01G072300;TraesCS3B01G544700;TraesCS6B01G229600;TraesCS7B01G333700;TraesCS2B01G241800;TraesCS2B01G096000;TraesCS3D01G104000;TraesCS7B01G356800;TraesCS5A01G048600;TraesCS7B01G071100;TraesCS5D01G268600;TraesCS2B01G034700;TraesCS2D01G190200;TraesCS5B01G455500;TraesCS3B01G474400;TraesCS3A01G261800;TraesCS5A01G286100;TraesCS2B01G242500;TraesCS2D01G025500;TraesCSU01G194300;TraesCSU01G008200;TraesCS7D01G037700;TraesCS7B01G122800;TraesCS3B01G038900;TraesCS2D01G252600;TraesCS6D01G198700;TraesCS4B01G007400;TraesCS2D01G053300;TraesCS4B01G092500;TraesCS3B01G052600;TraesCS6B01G238900;TraesCS7B01G273000;TraesCS3D01G124200;TraesCS3B01G059000;TraesCS1D01G049000;TraesCSU01G008100;TraesCS3A01G016500;TraesCS4D01G325500;TraesCS5A01G406100;TraesCS6B01G227900</t>
  </si>
  <si>
    <t>TraesCS1A01G323000</t>
  </si>
  <si>
    <t>aminoglycan metabolic process</t>
  </si>
  <si>
    <t>TraesCS1A01G338000</t>
  </si>
  <si>
    <t>TraesCS1A01G343000</t>
  </si>
  <si>
    <t>alpha-amino acid catabolic process</t>
  </si>
  <si>
    <t>TraesCS2D01G218700;TraesCS1B01G122800;TraesCS5B01G468300;TraesCS2A01G196400;TraesCS1D01G039300;TraesCS2A01G196700;TraesCS2D01G377500;TraesCS2A01G212900;TraesCS2D01G377400;TraesCS2B01G398200;TraesCS2D01G493500;TraesCS2D01G204400;TraesCS5A01G160800;TraesCS2D01G204700;TraesCS2B01G224300;TraesCS1A01G037800;TraesCS1D01G103500;TraesCS2B01G224000;TraesCS2B01G521600</t>
  </si>
  <si>
    <t>TraesCS1A01G350400</t>
  </si>
  <si>
    <t>TraesCS3B01G597000;TraesCS2B01G445300;TraesCS7D01G204900;TraesCSU01G009100;TraesCS2D01G467000;TraesCS4D01G238600;TraesCS2D01G505600;TraesCS2B01G489800;TraesCS4A01G384700;TraesCS5D01G324300;TraesCS2A01G467000;TraesCS7A01G077500;TraesCS1D01G080900;TraesCS2B01G173500;TraesCS7A01G085700;TraesCS5D01G012000;TraesCS2B01G125300;TraesCS5D01G012200;TraesCS2D01G029700;TraesCS2A01G107800;TraesCS7B01G349100;TraesCS5A01G381100;TraesCS2A01G107600;TraesCS7A01G262000;TraesCS2D01G021500;TraesCS1B01G067500;TraesCS3B01G596800;TraesCS4D01G116700;TraesCS7B01G253300;TraesCS3D01G061700;TraesCS4B01G237300;TraesCS5A01G004600;TraesCS3A01G297200;TraesCS7B01G251200;TraesCS2A01G504900;TraesCS3D01G061900;TraesCS3D01G305300;TraesCS6D01G054900;TraesCS7B01G037400;TraesCSU01G031600;TraesCS3A01G061600;TraesCS5A01G318000;TraesCS1B01G001700;TraesCSU01G008800;TraesCS7D01G080400;TraesCS7B01G354400;TraesCS2A01G019400;TraesCS2D01G261100;TraesCS6D01G020700;TraesCS2A01G546600;TraesCS4B01G202000;TraesCS1D01G239600;TraesCS3B01G354000;TraesCS7A01G201800;TraesCS7D01G347300;TraesCS7D01G349400;TraesCS1A01G239400;TraesCS5D01G012100;TraesCS2B01G033000;TraesCS2B01G177600;TraesCS2D01G153100;TraesCS2D01G157300;TraesCS7D01G438700;TraesCS7A01G136500;TraesCS5D01G012300;TraesCS4B01G312300;TraesCS3A01G519000;TraesCS4D01G309900;TraesCS7B01G251100;TraesCS2A01G013400;TraesCS3A01G297100;TraesCS4D01G116600;TraesCS1A01G394900;TraesCS3A01G136100;TraesCS5A01G004700;TraesCS6B01G239400;TraesCSU01G008900;TraesCS7A01G277500</t>
  </si>
  <si>
    <t>TraesCS1A01G364000</t>
  </si>
  <si>
    <t>regulation of peptidase activity</t>
  </si>
  <si>
    <t>TraesCS1A01G431300;TraesCS1D01G266000;TraesCS4B01G328100;TraesCS1A01G021000;TraesCS1D01G020600;TraesCS1B01G276800;TraesCS1B01G276500;TraesCS1A01G021400;TraesCS1D01G265900;TraesCS3A01G093900;TraesCS1A01G265600;TraesCS1A01G265700</t>
  </si>
  <si>
    <t>TraesCS1A01G380900</t>
  </si>
  <si>
    <t>negative regulation of peptidase activity</t>
  </si>
  <si>
    <t>TraesCS1A01G391900</t>
  </si>
  <si>
    <t>regulation of endopeptidase activity</t>
  </si>
  <si>
    <t>TraesCS1A01G394900</t>
  </si>
  <si>
    <t>negative regulation of endopeptidase activity</t>
  </si>
  <si>
    <t>TraesCS1A01G414700</t>
  </si>
  <si>
    <t>TraesCS1A01G431100</t>
  </si>
  <si>
    <t>TraesCS1A01G107100;TraesCS2A01G590900;TraesCS7D01G009700;TraesCS4A01G341500;TraesCS1B01G345000;TraesCS3A01G067700;TraesCS2B01G369100;TraesCS7A01G259100;TraesCS6B01G230400;TraesCS4B01G026100;TraesCS7B01G370700;TraesCS6D01G281100;TraesCS1A01G069300;TraesCS2D01G349400;TraesCS4D01G350300;TraesCS3D01G475200;TraesCS5A01G526000;TraesCS3D01G234300;TraesCS5D01G417100;TraesCS6B01G171900;TraesCS3B01G258600;TraesCS4D01G069300;TraesCS2B01G402800;TraesCS7A01G391100;TraesCS5A01G321000;TraesCS2A01G405100;TraesCS3B01G039500;TraesCS1A01G430200;TraesCS3A01G025400;TraesCS6A01G220200;TraesCS7A01G427300;TraesCS5B01G321500;TraesCS4D01G142000;TraesCS1D01G141800;TraesCS2A01G350900;TraesCS7B01G286100;TraesCS5B01G187000;TraesCS6D01G053400;TraesCS2D01G132500;TraesCS5D01G251100;TraesCS3D01G467600;TraesCS6B01G229200;TraesCS5A01G160800;TraesCS6B01G261700;TraesCS7D01G046900;TraesCS2B01G404200;TraesCS1A01G203600;TraesCS1B01G277100;TraesCS1A01G343000;TraesCS3A01G226400;TraesCS3A01G044100;TraesCS6D01G230500;TraesCS3A01G533800;TraesCS4B01G074100;TraesCS7A01G489000;TraesCS1D01G056500;TraesCS2A01G588900;TraesCS1D01G054200;TraesCS1D01G256800;TraesCS2A01G385900;TraesCS4A01G331100;TraesCS6B01G238600;TraesCS3B01G080200;TraesCS4D01G350500;TraesCS1A01G332800;TraesCS3B01G266200;TraesCS5A01G196800;TraesCS2A01G350800;TraesCS6D01G038600;TraesCS5B01G059800;TraesCS5A01G526200;TraesCS7B01G292700;TraesCS3D01G020600;TraesCS1D01G412300;TraesCS4A01G241700;TraesCS7B01G301600;TraesCS1D01G162000;TraesCS1D01G441600;TraesCS2D01G493500;TraesCS6D01G215000;TraesCS1D01G402500;TraesCS1D01G439400;TraesCS3D01G039400;TraesCS6A01G232500;TraesCS3A01G446200;TraesCS4A01G485000;TraesCS5D01G004700;TraesCS1B01G286800;TraesCS3D01G476500;TraesCS4A01G230500;TraesCS4D01G072800;TraesCS7B01G000200;TraesCS3D01G036700;TraesCS4A01G186500;TraesCS2B01G369000;TraesCS3D01G478000;TraesCS2B01G521600;TraesCS1B01G182000;TraesCS2A01G350700;TraesCS3D01G534200;TraesCS1A01G072300;TraesCS6B01G354400;TraesCS1B01G422700;TraesCS3D01G341900;TraesCS6B01G229000;TraesCS7A01G046600;TraesCS1B01G133300;TraesCS1B01G410600;TraesCS2D01G147100;TraesCS2B01G394300;TraesCS3A01G411700;TraesCS3D01G039300;TraesCS2A01G588300;TraesCS5D01G038400;TraesCS5D01G250300;TraesCS5D01G293700;TraesCS1A01G168100;TraesCS6B01G058000;TraesCS1A01G277900;TraesCS2D01G349000;TraesCS1B01G090700;TraesCS5D01G452500;TraesCS6D01G048900;TraesCS7B01G156900;TraesCS3B01G526000;TraesCS5B01G476000;TraesCS6B01G224900;TraesCS5D01G194400;TraesCS3B01G380200;TraesCS2B01G580200;TraesCS4B01G098100;TraesCS1B01G069200;TraesCS5D01G327800;TraesCS1A01G312300;TraesCS1B01G133400;TraesCS2D01G550700;TraesCS2D01G382400;TraesCS3D01G346200;TraesCS5A01G464500;TraesCS2B01G594700;TraesCS3A01G218000;TraesCS6A01G178500;TraesCS5D01G019100;TraesCS5D01G194600;TraesCS2B01G152600;TraesCS4A01G130300;TraesCS4B01G328400;TraesCS7D01G475300;TraesCS1A01G072100;TraesCS4D01G285300;TraesCS2D01G409500;TraesCS2B01G580300;TraesCS5D01G477100;TraesCS4B01G356800;TraesCS5D01G564000;TraesCS6B01G231000;TraesCS5B01G475700;TraesCS6B01G229600;TraesCS1D01G439500;TraesCS4B01G174300;TraesCS7D01G386600;TraesCS4A01G288700;TraesCS6A01G171800;TraesCS2D01G402000;TraesCS5B01G394300;TraesCS6B01G041200;TraesCS1A01G113300;TraesCS5B01G285300;TraesCS2B01G051600;TraesCS5B01G449500;TraesCS4D01G092000;TraesCS5A01G286100;TraesCS2D01G383400;TraesCS1D01G114600;TraesCS4B01G142000;TraesCS2D01G348800;TraesCS7B01G349100;TraesCS3D01G477300;TraesCS4D01G023500;TraesCS6B01G230600;TraesCS2D01G564900;TraesCS3B01G267700;TraesCS6B01G199700;TraesCS4A01G485400;TraesCS3A01G040800;TraesCS6D01G198700;TraesCS3A01G044400;TraesCS1A01G266100;TraesCS3B01G526700;TraesCS7D01G491900;TraesCS4A01G240900;TraesCS3B01G140500;TraesCS3B01G356700;TraesCS6B01G231700;TraesCS4A01G436500;TraesCS5B01G285400;TraesCS2B01G594900;TraesCS4A01G384800;TraesCS1A01G095800;TraesCS1B01G465000;TraesCS6B01G205900;TraesCS5B01G239300;TraesCS1D01G410500;TraesCS4D01G176300;TraesCS2D01G348900;TraesCS6B01G226700;TraesCS4D01G325500;TraesCS4B01G356600;TraesCS3B01G258100;TraesCS6B01G229400;TraesCS3D01G224400;TraesCS4D01G227700;TraesCS5B01G255200;TraesCS2D01G550600</t>
  </si>
  <si>
    <t>TraesCS1A01G431300</t>
  </si>
  <si>
    <t>negative regulation of proteolysis</t>
  </si>
  <si>
    <t>TraesCS1B01G001700</t>
  </si>
  <si>
    <t>ion binding</t>
  </si>
  <si>
    <t>TraesCS7B01G325900;TraesCS3B01G295000;TraesCS2D01G505600;TraesCS4D01G232700;TraesCS7A01G127100;TraesCS2B01G489800;TraesCS4A01G491600;TraesCS2D01G309500;TraesCS2D01G033200;TraesCS2A01G469900;TraesCS5A01G360700;TraesCS1D01G005400;TraesCS3D01G234300;TraesCS6A01G120000;TraesCS6B01G153100;TraesCS7A01G175400;TraesCS4A01G109200;TraesCS7B01G253300;TraesCS5A01G004600;TraesCS7A01G391100;TraesCS2B01G243000;TraesCS5D01G302000;TraesCS3A01G061600;TraesCS3A01G276200;TraesCS3D01G049000;TraesCS6B01G237600;TraesCS4A01G202300;TraesCS5D01G191400;TraesCS1B01G001700;TraesCS5A01G552200;TraesCS6B01G225700;TraesCS6A01G297500;TraesCS6D01G354100;TraesCS6D01G402500;TraesCS2A01G546600;TraesCS5A01G462600;TraesCS4A01G033600;TraesCS2A01G503800;TraesCS2B01G565300;TraesCSU01G076000;TraesCS5A01G360600;TraesCS7B01G286100;TraesCS7A01G381200;TraesCS3A01G049600;TraesCS2A01G510200;TraesCS2B01G177600;TraesCS7D01G142000;TraesCS2B01G477600;TraesCS3B01G128700;TraesCS5D01G238700;TraesCS2B01G519500;TraesCS1A01G394900;TraesCS3A01G136100;TraesCS5A01G004700;TraesCS7D01G365800;TraesCS1A01G343000;TraesCS6B01G407500;TraesCS1B01G355700;TraesCS2B01G042600;TraesCS6B01G225800;TraesCS5D01G019400;TraesCS2B01G084000;TraesCS3B01G321300;TraesCS3D01G500800;TraesCS6B01G238600;TraesCS2D01G364200;TraesCS5D01G464000;TraesCS1D01G080900;TraesCS7A01G085700;TraesCS2B01G043700;TraesCS7B01G292700;TraesCS2B01G066800;TraesCS5A01G072700;TraesCS4A01G445500;TraesCS2D01G002600;TraesCS3B01G032400;TraesCS4B01G240900;TraesCS2A01G504900;TraesCS1D01G439400;TraesCS3B01G353000;TraesCS7B01G000200;TraesCS2D01G137300;TraesCS2B01G084100;TraesCS4B01G106000;TraesCS6B01G238500;TraesCS3B01G354000;TraesCS7A01G201800;TraesCS1D01G271500;TraesCS4B01G312300;TraesCS6B01G212700;TraesCS7D01G111600;TraesCS4D01G109000;TraesCS1B01G410600;TraesCS5B01G184600;TraesCS7A01G277500;TraesCSU01G050000;TraesCS5A01G382800;TraesCS1D01G439300;TraesCS7D01G124900;TraesCS3B01G161100;TraesCS1A01G006800;TraesCS5D01G293700;TraesCS4D01G253800;TraesCS4B01G106500;TraesCS7B01G013100;TraesCS7D01G461900;TraesCS2A01G425800;TraesCS7D01G217500;TraesCS2A01G052600;TraesCS2D01G423700;TraesCS5B01G476000;TraesCS7D01G368700;TraesCS5D01G012000;TraesCS2D01G216700;TraesCS7A01G262000;TraesCS7A01G115400;TraesCS3B01G596800;TraesCS6B01G231100;TraesCS1B01G007400;TraesCS3D01G305300;TraesCS2D01G013200;TraesCSU01G031600;TraesCS4D01G003300;TraesCS1B01G091900;TraesCS6D01G112200;TraesCSU01G008800;TraesCS7B01G354400;TraesCS2B01G040000;TraesCS4A01G207800;TraesCS3A01G493600;TraesCS6B01G236800;TraesCS6A01G178500;TraesCS6A01G342000;TraesCS4A01G130300;TraesCS4B01G328400;TraesCS2D01G052800;TraesCS6A01G122000;TraesCS7A01G459400;TraesCS2A01G008900;TraesCS4A01G075600;TraesCS2B01G536500;TraesCS3B01G141500;TraesCS5D01G477100;TraesCS2D01G222000;TraesCS4D01G309900;TraesCS6B01G231000;TraesCS6D01G072300;TraesCS7B01G333700;TraesCSU01G008700;TraesCS6D01G110000;TraesCS4B01G174300;TraesCS2B01G096000;TraesCS3D01G104000;TraesCS7B01G356800;TraesCS7B01G071100;TraesCS6A01G171800;TraesCS1B01G368200;TraesCS3A01G109500;TraesCS2B01G034700;TraesCS4D01G238600;TraesCS4A01G389600;TraesCS5B01G455500;TraesCS3B01G474400;TraesCS7A01G077500;TraesCS3A01G261800;TraesCS4D01G092000;TraesCS2B01G242500;TraesCS2B01G173500;TraesCS2D01G025500;TraesCS7A01G354000;TraesCS4B01G037600;TraesCS2B01G125300;TraesCS7B01G349100;TraesCS5D01G310500;TraesCS7B01G122800;TraesCS3B01G038900;TraesCS6B01G151000;TraesCS1B01G067500;TraesCS6B01G199700;TraesCS3D01G061700;TraesCS7B01G037400;TraesCS5A01G318000;TraesCS4A01G202100;TraesCS4B01G271900;TraesCS6D01G020700;TraesCS4A01G389700;TraesCS4B01G092500;TraesCS5D01G460700;TraesCS6D01G300600;TraesCS6B01G238900;TraesCS1A01G095800;TraesCS6B01G205900;TraesCS2A01G539600;TraesCS4D01G176300;TraesCS3A01G016500;TraesCS7A01G136500;TraesCS1B01G460100;TraesCS7D01G181600;TraesCS6B01G227900;TraesCSU01G008900;TraesCS5D01G042800;TraesCS3D01G129200;TraesCS2B01G445300;TraesCS2B01G208900;TraesCS6B01G116600;TraesCS5D01G233800;TraesCS2D01G509400;TraesCS2A01G211900;TraesCS7D01G447200;TraesCS4B01G092400;TraesCS5D01G187700;TraesCS5B01G153100;TraesCS6B01G230400;TraesCS7A01G425900;TraesCS2A01G107800;TraesCS5A01G226400;TraesCS7D01G463700;TraesCS5A01G261400;TraesCS2D01G222300;TraesCS5B01G410900;TraesCS6B01G226000;TraesCS3D01G061900;TraesCS6B01G233800;TraesCSU01G129500;TraesCS5D01G025500;TraesCS3B01G569800;TraesCS2A01G539300;TraesCS7A01G537500;TraesCS2A01G026600;TraesCS5D01G233700;TraesCS5D01G199900;TraesCS1A01G430200;TraesCS7B01G455700;TraesCS2B01G569100;TraesCS7B01G453400;TraesCS5A01G445700;TraesCS7A01G500100;TraesCS2A01G211800;TraesCS1D01G249000;TraesCS1A01G273600;TraesCS1D01G048900;TraesCS2B01G563800;TraesCS2A01G371700;TraesCS2D01G511500;TraesCS3D01G072700;TraesCS6D01G359100;TraesCS2A01G371600;TraesCS7D01G438700;TraesCS2B01G572400;TraesCS5D01G012300;TraesCS1B01G439200;TraesCS7B01G326100;TraesCS2A01G013400;TraesCS6B01G229200;TraesCS7A01G042200;TraesCS3B01G588200;TraesCS6B01G231400;TraesCS3B01G485000;TraesCS7A01G460900;TraesCS5A01G453200;TraesCS1D01G381700;TraesCS3B01G597000;TraesCS6A01G276300;TraesCS3B01G310000;TraesCS2D01G028600;TraesCS5D01G369800;TraesCS2B01G445500;TraesCS6B01G353200;TraesCS6B01G225000;TraesCS3B01G555600;TraesCS1B01G062200;TraesCS4B01G343100;TraesCS1B01G006500;TraesCS3A01G230900;TraesCS1A01G340300;TraesCS1A01G342600;TraesCS4A01G331100;TraesCS2A01G467000;TraesCS5A01G261200;TraesCS2B01G284300;TraesCS1A01G332800;TraesCS5B01G363400;TraesCS3B01G266200;TraesCS1D01G344700;TraesCS1D01G431000;TraesCS3B01G084000;TraesCS7A01G226500;TraesCS4A01G474800;TraesCS5D01G012200;TraesCS2D01G029700;TraesCS2A01G107600;TraesCS5B01G063600;TraesCS6B01G226200;TraesCS7B01G273600;TraesCS6B01G235900;TraesCS5B01G366800;TraesCS4B01G231400;TraesCS2A01G539100;TraesCS5D01G004700;TraesCS3D01G048800;TraesCS6B01G374000;TraesCS2B01G067000;TraesCS7A01G374200;TraesCS1B01G062300;TraesCS4A01G364000;TraesCS6B01G232400;TraesCS2D01G039400;TraesCS4D01G270000;TraesCS1D01G013800;TraesCS5B01G363300;TraesCS1A01G235200;TraesCS2A01G299400;TraesCS2A01G589900;TraesCS5B01G462200;TraesCS5D01G012100;TraesCS2B01G033000;TraesCS2D01G153100;TraesCS1D01G076200;TraesCS2B01G100200;TraesCS6B01G231200;TraesCS5B01G454700;TraesCS7D01G436600;TraesCS3B01G569900;TraesCS3D01G276200;TraesCS1A01G270300;TraesCSU01G009100;TraesCS4A01G278900;TraesCSU01G044100;TraesCS7D01G374700;TraesCS1A01G149700;TraesCS7A01G215800;TraesCS5D01G324300;TraesCS1A01G006000;TraesCS2B01G240800;TraesCS5D01G452500;TraesCS3B01G086900;TraesCS1D01G082200;TraesCS5A01G303400;TraesCS6B01G224900;TraesCS2B01G446100;TraesCS4D01G103000;TraesCS5B01G303800;TraesCS4D01G195700;TraesCS4A01G384500;TraesCS2D01G021500;TraesCS5B01G284400;TraesCS3A01G056300;TraesCS4B01G237300;TraesCS5B01G473300;TraesCS5A01G545500;TraesCS4D01G242100;TraesCS3D01G501400;TraesCS1A01G312300;TraesCS2B01G241900;TraesCS6D01G242000;TraesCS7D01G080400;TraesCS1A01G127800;TraesCS4B01G009500;TraesCS4D01G089200;TraesCS1A01G073300;TraesCS1D01G430800;TraesCS2A01G041000;TraesCSU01G219500;TraesCS5A01G464500;TraesCS3A01G218000;TraesCS6B01G236000;TraesCS1D01G239600;TraesCS7D01G347300;TraesCS2A01G182400;TraesCS3D01G032300;TraesCS2A01G214000;TraesCS5B01G439400;TraesCS4A01G384600;TraesCS6B01G230700;TraesCS4A01G083900;TraesCS4D01G032500;TraesCS5D01G564000;TraesCS3B01G544700;TraesCS5B01G475700;TraesCS1D01G439500;TraesCS2B01G241800;TraesCS6B01G239400;TraesCS7D01G386600;TraesCS5A01G048600;TraesCS5D01G268600;TraesCS3D01G367200;TraesCS7D01G204900;TraesCS2D01G540000;TraesCS4A01G033500;TraesCS5B01G285300;TraesCS4A01G384700;TraesCS2D01G190200;TraesCS5B01G449500;TraesCS5D01G565100;TraesCS2B01G565800;TraesCS5A01G286100;TraesCSU01G194300;TraesCSU01G008200;TraesCS5A01G381100;TraesCS2D01G052300;TraesCS7D01G037700;TraesCS5B01G099700;TraesCS3D01G475800;TraesCS4D01G116700;TraesCS2D01G252600;TraesCS5A01G409700;TraesCS6B01G239300;TraesCS2A01G019400;TraesCS2D01G261100;TraesCS5A01G229000;TraesCS4B01G007400;TraesCS2D01G053300;TraesCS4B01G202000;TraesCS6B01G231700;TraesCS6D01G033100;TraesCS3B01G052600;TraesCS5B01G285400;TraesCS4A01G384800;TraesCS7B01G273000;TraesCS1B01G465000;TraesCS2A01G031400;TraesCS4D01G220500;TraesCS3D01G124200;TraesCS7D01G349400;TraesCS1A01G239400;TraesCS7B01G359700;TraesCS6D01G359300;TraesCS3B01G059000;TraesCS4A01G065100;TraesCS1D01G049000;TraesCS4D01G103300;TraesCSU01G008100;TraesCS4A01G311000;TraesCS2D01G157300;TraesCS4D01G325500;TraesCS5A01G406100;TraesCS3A01G519000;TraesCS4D01G116600;TraesCS5B01G429800;TraesCS6B01G227100;TraesCS6B01G231600;TraesCS6B01G229400;TraesCS7A01G317500;TraesCS5D01G373800;TraesCS1A01G276800;TraesCS5D01G268800</t>
  </si>
  <si>
    <t>TraesCS1B01G006500</t>
  </si>
  <si>
    <t>protein modification process</t>
  </si>
  <si>
    <t>TraesCS7B01G325900;TraesCS2B01G208900;TraesCS2D01G509400;TraesCS3B01G295000;TraesCSU01G044100;TraesCS1A01G006800;TraesCS2A01G211900;TraesCS7D01G374700;TraesCS4B01G092400;TraesCS7A01G127100;TraesCS1A01G149700;TraesCS7A01G215800;TraesCS5D01G187700;TraesCS4A01G491600;TraesCS7D01G461900;TraesCS1A01G006000;TraesCS1A01G070400;TraesCS2B01G240800;TraesCS7A01G425900;TraesCS6B01G238000;TraesCS7D01G217500;TraesCS3B01G086900;TraesCS1D01G082200;TraesCS6B01G224900;TraesCS2D01G216700;TraesCS7D01G463700;TraesCS6B01G153100;TraesCS2D01G222300;TraesCS5B01G410900;TraesCS4A01G384500;TraesCS6B01G226000;TraesCS5B01G284400;TraesCS3A01G056300;TraesCS1B01G007400;TraesCS2B01G243000;TraesCS2D01G013200;TraesCS5D01G302000;TraesCS3A01G276200;TraesCS3D01G501400;TraesCS3D01G049000;TraesCS4D01G003300;TraesCS6B01G237600;TraesCS2B01G241900;TraesCS5D01G191400;TraesCS1B01G091900;TraesCS6D01G112200;TraesCS6D01G242000;TraesCS5D01G025500;TraesCS5A01G552200;TraesCS4B01G009500;TraesCS4D01G089200;TraesCS6B01G225700;TraesCS1A01G073300;TraesCS4A01G207800;TraesCS1D01G430800;TraesCS2A01G041000;TraesCS3A01G493600;TraesCS5A01G445700;TraesCSU01G219500;TraesCS2A01G503800;TraesCS1D01G249000;TraesCS2B01G565300;TraesCS1A01G273600;TraesCS1D01G048900;TraesCS2B01G563800;TraesCSU01G076000;TraesCS2A01G371700;TraesCS6A01G342000;TraesCS2D01G511500;TraesCS2A01G182400;TraesCS4B01G328400;TraesCS3D01G072700;TraesCS2D01G052800;TraesCS6D01G359100;TraesCS2A01G371600;TraesCS3A01G049600;TraesCS2A01G214000;TraesCS2A01G510200;TraesCS6A01G122000;TraesCS2B01G477600;TraesCS4A01G384600;TraesCS2B01G536500;TraesCS3B01G141500;TraesCS7B01G326100;TraesCS2D01G222000;TraesCS6D01G072300;TraesCS2B01G519500;TraesCS3B01G544700;TraesCS7A01G042200;TraesCS6B01G227300;TraesCS3B01G588200;TraesCS6B01G231400;TraesCS6B01G229600;TraesCS7B01G333700;TraesCS2B01G241800;TraesCS7D01G365800;TraesCS7A01G460900;TraesCS2B01G096000;TraesCS3D01G104000;TraesCS7B01G356800;TraesCS5A01G048600;TraesCS7B01G071100;TraesCS1B01G355700;TraesCS5D01G268600;TraesCS6A01G276300;TraesCS3B01G310000;TraesCS6B01G225800;TraesCS5D01G019400;TraesCS7D01G189700;TraesCS2B01G034700;TraesCS3B01G555600;TraesCS1B01G062200;TraesCS2B01G084000;TraesCS4B01G343100;TraesCS1B01G006500;TraesCS3D01G500800;TraesCS1A01G340300;TraesCS1A01G342600;TraesCS2D01G190200;TraesCS5B01G455500;TraesCS2D01G364200;TraesCS3B01G474400;TraesCS5A01G261200;TraesCS3A01G261800;TraesCS3B01G266200;TraesCS1D01G344700;TraesCS2B01G242500;TraesCS1D01G431000;TraesCS2D01G025500;TraesCS3B01G084000;TraesCS4A01G474800;TraesCSU01G194300;TraesCSU01G008200;TraesCS7D01G037700;TraesCS1D01G441600;TraesCS5B01G063600;TraesCS4A01G445500;TraesCS6B01G226200;TraesCS7B01G122800;TraesCS3B01G038900;TraesCS2D01G002600;TraesCS3B01G032400;TraesCS2D01G252600;TraesCS3D01G048800;TraesCS6B01G374000;TraesCS4B01G007400;TraesCS2D01G053300;TraesCS2B01G067000;TraesCS2D01G137300;TraesCS7A01G374200;TraesCS6B01G231700;TraesCS2B01G084100;TraesCS1B01G062300;TraesCS4B01G092500;TraesCS3B01G052600;TraesCS6B01G232400;TraesCS2D01G039400;TraesCS4B01G106000;TraesCS6B01G238900;TraesCS7B01G273000;TraesCS1D01G013800;TraesCS3D01G124200;TraesCS2A01G299400;TraesCS2A01G589900;TraesCS3B01G059000;TraesCS1D01G049000;TraesCSU01G008100;TraesCS1D01G271500;TraesCS3A01G016500;TraesCS4D01G325500;TraesCS1D01G076200;TraesCS6B01G212700;TraesCS5A01G406100;TraesCS6B01G231200;TraesCS4D01G109000;TraesCS5B01G454700;TraesCS1B01G410600;TraesCS5B01G184600;TraesCSU01G050000;TraesCS3B01G569900;TraesCS3D01G276200;TraesCS7D01G124900</t>
  </si>
  <si>
    <t>TraesCS1B01G011600</t>
  </si>
  <si>
    <t>cellular protein modification process</t>
  </si>
  <si>
    <t>TraesCS1B01G017400</t>
  </si>
  <si>
    <t>regulation of proteolysis</t>
  </si>
  <si>
    <t>TraesCS1B01G053900</t>
  </si>
  <si>
    <t>phenylalanine ammonia-lyase activity</t>
  </si>
  <si>
    <t>TraesCS2B01G398200;TraesCS1A01G037800;TraesCS1B01G122800;TraesCS1D01G103500;TraesCS5B01G468300;TraesCS2A01G196400;TraesCS1D01G039300;TraesCS2D01G377400</t>
  </si>
  <si>
    <t>TraesCS1B01G080400</t>
  </si>
  <si>
    <t>TraesCS3B01G597000;TraesCS2B01G445300;TraesCS7D01G204900;TraesCSU01G009100;TraesCS4D01G238600;TraesCS2D01G505600;TraesCS4A01G384700;TraesCS5D01G324300;TraesCS5D01G565100;TraesCS7A01G077500;TraesCS7A01G085700;TraesCS5D01G012000;TraesCS5D01G012200;TraesCS2D01G029700;TraesCS7B01G349100;TraesCS5A01G381100;TraesCS4D01G195700;TraesCS2D01G021500;TraesCS4A01G109200;TraesCS1B01G067500;TraesCS3B01G596800;TraesCS7B01G253300;TraesCS3D01G061700;TraesCS4B01G237300;TraesCS5A01G004600;TraesCS2A01G504900;TraesCS3D01G061900;TraesCS7B01G037400;TraesCSU01G031600;TraesCS3A01G061600;TraesCS5A01G318000;TraesCS1B01G001700;TraesCSU01G008800;TraesCS7D01G080400;TraesCS7B01G354400;TraesCS2A01G019400;TraesCS2D01G261100;TraesCS5D01G233700;TraesCS2A01G546600;TraesCS4B01G202000;TraesCS5D01G460700;TraesCS6D01G300600;TraesCS1D01G239600;TraesCS7A01G201800;TraesCS7D01G349400;TraesCS1A01G239400;TraesCS5D01G012100;TraesCS2B01G033000;TraesCS2B01G177600;TraesCS2D01G157300;TraesCS7D01G438700;TraesCS7A01G136500;TraesCS5D01G012300;TraesCS4B01G312300;TraesCS3A01G519000;TraesCS4D01G309900;TraesCS2A01G013400;TraesCS5B01G429800;TraesCS1A01G394900;TraesCS3A01G136100;TraesCS5A01G004700;TraesCS6B01G239400;TraesCSU01G008900;TraesCS7A01G277500</t>
  </si>
  <si>
    <t>TraesCS1B01G088900</t>
  </si>
  <si>
    <t>anion binding</t>
  </si>
  <si>
    <t>TraesCS7B01G325900;TraesCS2B01G208900;TraesCS6B01G116600;TraesCS2D01G509400;TraesCS3B01G295000;TraesCS2A01G211900;TraesCS4D01G232700;TraesCS4B01G092400;TraesCS7A01G127100;TraesCS5D01G187700;TraesCS4A01G491600;TraesCS6B01G230400;TraesCS2D01G309500;TraesCS2D01G033200;TraesCS7A01G425900;TraesCS1D01G005400;TraesCS3D01G234300;TraesCS6A01G120000;TraesCS7D01G463700;TraesCS5A01G261400;TraesCS6B01G153100;TraesCS2D01G222300;TraesCS5B01G410900;TraesCS6B01G226000;TraesCS7A01G391100;TraesCS2B01G243000;TraesCS6B01G233800;TraesCS5D01G302000;TraesCS3A01G276200;TraesCS3D01G049000;TraesCS6B01G237600;TraesCS5D01G191400;TraesCS5D01G025500;TraesCS3B01G569800;TraesCS2A01G026600;TraesCS5A01G552200;TraesCS6B01G225700;TraesCS1A01G430200;TraesCS6D01G354100;TraesCS6D01G402500;TraesCS7B01G453400;TraesCS5A01G445700;TraesCS2A01G503800;TraesCS1D01G249000;TraesCS2B01G565300;TraesCS1A01G273600;TraesCS1D01G048900;TraesCS2B01G563800;TraesCSU01G076000;TraesCS2A01G371700;TraesCS2D01G511500;TraesCS3D01G072700;TraesCS6D01G359100;TraesCS2A01G371600;TraesCS3A01G049600;TraesCS2A01G510200;TraesCS2B01G572400;TraesCS2B01G477600;TraesCS3B01G128700;TraesCS1B01G439200;TraesCS7B01G326100;TraesCS2B01G519500;TraesCS7A01G042200;TraesCS3B01G588200;TraesCS6B01G231400;TraesCS7D01G365800;TraesCS7A01G460900;TraesCS1A01G343000;TraesCS6B01G407500;TraesCS1B01G355700;TraesCS1D01G381700;TraesCS2B01G042600;TraesCS6A01G276300;TraesCS3B01G310000;TraesCS6B01G225800;TraesCS2D01G028600;TraesCS5D01G019400;TraesCS6B01G353200;TraesCS3B01G555600;TraesCS1B01G062200;TraesCS2B01G084000;TraesCS4B01G343100;TraesCS1B01G006500;TraesCS3A01G230900;TraesCS3B01G321300;TraesCS3D01G500800;TraesCS1A01G340300;TraesCS1A01G342600;TraesCS4A01G331100;TraesCS6B01G238600;TraesCS2D01G364200;TraesCS5A01G261200;TraesCS2B01G284300;TraesCS1A01G332800;TraesCS1D01G344700;TraesCS1D01G431000;TraesCS3B01G084000;TraesCS7A01G226500;TraesCS2B01G043700;TraesCS4A01G474800;TraesCS7B01G292700;TraesCS2B01G066800;TraesCS5A01G072700;TraesCS5B01G063600;TraesCS4A01G445500;TraesCS6B01G226200;TraesCS7B01G273600;TraesCS2D01G002600;TraesCS3B01G032400;TraesCS4B01G240900;TraesCS6B01G235900;TraesCS5B01G366800;TraesCS1D01G439400;TraesCS4B01G231400;TraesCS3B01G353000;TraesCS5D01G004700;TraesCS3D01G048800;TraesCS6B01G374000;TraesCS7B01G000200;TraesCS2B01G067000;TraesCS2D01G137300;TraesCS7A01G374200;TraesCS2B01G084100;TraesCS1B01G062300;TraesCS6B01G232400;TraesCS2D01G039400;TraesCS4B01G106000;TraesCS4D01G270000;TraesCS1D01G013800;TraesCS1A01G235200;TraesCS2A01G299400;TraesCS2A01G589900;TraesCS1D01G271500;TraesCS1D01G076200;TraesCS6B01G212700;TraesCS2B01G100200;TraesCS7D01G111600;TraesCS6B01G231200;TraesCS4D01G109000;TraesCS5B01G454700;TraesCS1B01G410600;TraesCS7D01G436600;TraesCS5B01G184600;TraesCSU01G050000;TraesCS3B01G569900;TraesCS3D01G276200;TraesCS1A01G270300;TraesCS1D01G439300;TraesCS7D01G124900;TraesCS3B01G161100;TraesCSU01G044100;TraesCS1A01G006800;TraesCS7D01G374700;TraesCS1A01G149700;TraesCS7A01G215800;TraesCS7B01G013100;TraesCS7D01G461900;TraesCS1A01G006000;TraesCS2B01G240800;TraesCS5D01G452500;TraesCS7D01G217500;TraesCS2A01G052600;TraesCS3B01G086900;TraesCS1D01G082200;TraesCS7D01G368700;TraesCS2D01G216700;TraesCS4A01G384500;TraesCS7A01G115400;TraesCS5B01G284400;TraesCS3A01G056300;TraesCS1B01G007400;TraesCS2D01G013200;TraesCS3D01G501400;TraesCS1A01G312300;TraesCS4D01G003300;TraesCS2B01G241900;TraesCS1B01G091900;TraesCS6D01G112200;TraesCS6D01G242000;TraesCS4B01G009500;TraesCS4D01G089200;TraesCS2B01G040000;TraesCS1A01G073300;TraesCS4A01G207800;TraesCS1D01G430800;TraesCS2A01G041000;TraesCS3A01G493600;TraesCSU01G219500;TraesCS3A01G218000;TraesCS6A01G178500;TraesCS6A01G342000;TraesCS2A01G182400;TraesCS4A01G130300;TraesCS4B01G328400;TraesCS3D01G032300;TraesCS2D01G052800;TraesCS2A01G214000;TraesCS5B01G439400;TraesCS6A01G122000;TraesCS2A01G008900;TraesCS4A01G075600;TraesCS4A01G384600;TraesCS2B01G536500;TraesCS3B01G141500;TraesCS2D01G222000;TraesCS4A01G083900;TraesCS5D01G564000;TraesCS6B01G231000;TraesCS6D01G072300;TraesCS3B01G544700;TraesCS7B01G333700;TraesCS1D01G439500;TraesCS2B01G241800;TraesCS6D01G110000;TraesCS4B01G174300;TraesCS2B01G096000;TraesCS3D01G104000;TraesCS7B01G356800;TraesCS7D01G386600;TraesCS5A01G048600;TraesCS7B01G071100;TraesCS5D01G268600;TraesCS3D01G367200;TraesCS6A01G171800;TraesCS1B01G368200;TraesCS3A01G109500;TraesCS2B01G034700;TraesCS4A01G389600;TraesCS2D01G190200;TraesCS5B01G449500;TraesCS5B01G455500;TraesCS3B01G474400;TraesCS3A01G261800;TraesCS4D01G092000;TraesCS2B01G242500;TraesCS2D01G025500;TraesCS7A01G354000;TraesCSU01G194300;TraesCSU01G008200;TraesCS2D01G052300;TraesCS7D01G037700;TraesCS7B01G122800;TraesCS3B01G038900;TraesCS3D01G475800;TraesCS6B01G199700;TraesCS2D01G252600;TraesCS5A01G409700;TraesCS4B01G007400;TraesCS2D01G053300;TraesCS4A01G389700;TraesCS4B01G092500;TraesCS3B01G052600;TraesCS5D01G460700;TraesCS4A01G384800;TraesCS6B01G238900;TraesCS7B01G273000;TraesCS1B01G465000;TraesCS6B01G205900;TraesCS2A01G031400;TraesCS4D01G220500;TraesCS3D01G124200;TraesCS3B01G059000;TraesCS1D01G049000;TraesCS4D01G176300;TraesCSU01G008100;TraesCS3A01G016500;TraesCS4D01G325500;TraesCS5A01G406100;TraesCS1B01G460100;TraesCS7D01G181600;TraesCS5B01G429800;TraesCS6B01G229400;TraesCS7A01G317500;TraesCS5D01G268800</t>
  </si>
  <si>
    <t>TraesCS1B01G090700</t>
  </si>
  <si>
    <t>TraesCS1B01G091900</t>
  </si>
  <si>
    <t>negative regulation of hydrolase activity</t>
  </si>
  <si>
    <t>TraesCS1B01G092000</t>
  </si>
  <si>
    <t>TraesCS7D01G164500;TraesCS2B01G208900;TraesCS2A01G477000;TraesCS4B01G187800;TraesCS4D01G238600;TraesCS4D01G326400;TraesCS5A01G090600;TraesCS7A01G259100;TraesCS2D01G033200;TraesCS1A01G070400;TraesCS4B01G324000;TraesCS7B01G156900;TraesCS2B01G500100;TraesCS2B01G500200;TraesCS2B01G500300;TraesCS2D01G476400;TraesCS6B01G354400;TraesCS7D01G551400;TraesCS7A01G492400;TraesCS1D01G261400;TraesCS2A01G476800;TraesCS4D01G321000;TraesCS2A01G476700;TraesCS1B01G216300;TraesCS2A01G476500;TraesCS7B01G068300;TraesCS4B01G237300;TraesCS2D01G317800;TraesCS7A01G162600;TraesCS4A01G116400;TraesCS4D01G189200</t>
  </si>
  <si>
    <t>TraesCS1B01G100700</t>
  </si>
  <si>
    <t>carbohydrate derivative binding</t>
  </si>
  <si>
    <t>TraesCS7B01G325900;TraesCS2B01G208900;TraesCS6B01G116600;TraesCS2D01G509400;TraesCS2B01G369100;TraesCS3B01G295000;TraesCS2A01G211900;TraesCS4B01G092400;TraesCS7A01G127100;TraesCS5D01G187700;TraesCS4A01G491600;TraesCS6B01G230400;TraesCS2D01G309500;TraesCS2D01G033200;TraesCS7A01G425900;TraesCS1D01G005400;TraesCS3D01G234300;TraesCS6A01G120000;TraesCS7D01G463700;TraesCS6B01G153100;TraesCS2D01G222300;TraesCS5B01G410900;TraesCS6B01G226000;TraesCS7A01G391100;TraesCS2B01G243000;TraesCS6B01G233800;TraesCS5D01G302000;TraesCS3A01G276200;TraesCS3D01G049000;TraesCS6B01G237600;TraesCS5D01G191400;TraesCS5D01G025500;TraesCS3B01G569800;TraesCS2A01G026600;TraesCS5A01G552200;TraesCS6B01G225700;TraesCS1A01G430200;TraesCS6D01G402500;TraesCS7B01G453400;TraesCS4D01G326400;TraesCS5A01G445700;TraesCS2A01G503800;TraesCS1D01G249000;TraesCS2B01G565300;TraesCS1A01G273600;TraesCS1D01G048900;TraesCS2B01G563800;TraesCSU01G076000;TraesCS2A01G371700;TraesCS2D01G511500;TraesCS3D01G072700;TraesCS6D01G359100;TraesCS2A01G371600;TraesCS3A01G049600;TraesCS2A01G510200;TraesCS2B01G477600;TraesCS1B01G439200;TraesCS7B01G326100;TraesCS2B01G519500;TraesCS7A01G042200;TraesCS3B01G588200;TraesCS6B01G231400;TraesCS7D01G365800;TraesCS7A01G460900;TraesCS1A01G343000;TraesCS1B01G355700;TraesCS1D01G381700;TraesCS2B01G042600;TraesCS6A01G276300;TraesCS3B01G310000;TraesCS6B01G225800;TraesCS2D01G028600;TraesCS5D01G019400;TraesCS6B01G353200;TraesCS3B01G555600;TraesCS1B01G062200;TraesCS2B01G084000;TraesCS4B01G343100;TraesCS1B01G006500;TraesCS3A01G230900;TraesCS3B01G321300;TraesCS3D01G500800;TraesCS1A01G340300;TraesCS1A01G342600;TraesCS4A01G331100;TraesCS6B01G238600;TraesCS2D01G364200;TraesCS5A01G261200;TraesCS2B01G284300;TraesCS1A01G332800;TraesCS1D01G344700;TraesCS1D01G431000;TraesCS2A01G350800;TraesCS3B01G084000;TraesCS7A01G226500;TraesCS2B01G043700;TraesCS4A01G474800;TraesCS7B01G292700;TraesCS5A01G072700;TraesCS5B01G063600;TraesCS4A01G445500;TraesCS6B01G226200;TraesCS2D01G002600;TraesCS3B01G032400;TraesCS4B01G240900;TraesCS6B01G235900;TraesCS1D01G439400;TraesCS3B01G353000;TraesCS5D01G004700;TraesCS3D01G048800;TraesCS6B01G374000;TraesCS7B01G000200;TraesCS2B01G067000;TraesCS2D01G137300;TraesCS7A01G374200;TraesCS2B01G084100;TraesCS1B01G062300;TraesCS6B01G232400;TraesCS2B01G369000;TraesCS2D01G039400;TraesCS4B01G106000;TraesCS1D01G013800;TraesCS1A01G235200;TraesCS2A01G299400;TraesCS2A01G350700;TraesCS2A01G589900;TraesCS1D01G271500;TraesCS1D01G076200;TraesCS6B01G212700;TraesCS2B01G100200;TraesCS6B01G231200;TraesCS4D01G109000;TraesCS5B01G454700;TraesCS1B01G410600;TraesCS7D01G436600;TraesCS5B01G184600;TraesCSU01G050000;TraesCS3B01G569900;TraesCS3D01G276200;TraesCS1D01G439300;TraesCS7D01G124900;TraesCSU01G044100;TraesCS1A01G006800;TraesCS7D01G374700;TraesCS1A01G149700;TraesCS7A01G215800;TraesCS7D01G461900;TraesCS1A01G006000;TraesCS2B01G240800;TraesCS2D01G349000;TraesCS5D01G452500;TraesCS7D01G217500;TraesCS3B01G086900;TraesCS1D01G082200;TraesCS2D01G216700;TraesCS4A01G384500;TraesCS5B01G284400;TraesCS3A01G056300;TraesCS1B01G007400;TraesCS2D01G013200;TraesCS3D01G501400;TraesCS1A01G312300;TraesCS4D01G003300;TraesCS2B01G241900;TraesCS1B01G091900;TraesCS6D01G112200;TraesCS6D01G242000;TraesCS4B01G009500;TraesCS4D01G089200;TraesCS2B01G040000;TraesCS1A01G073300;TraesCS4A01G207800;TraesCS1D01G430800;TraesCS2A01G041000;TraesCS3A01G493600;TraesCSU01G219500;TraesCS3A01G218000;TraesCS6A01G178500;TraesCS6A01G342000;TraesCS2A01G182400;TraesCS4A01G130300;TraesCS4B01G328400;TraesCS3D01G032300;TraesCS2D01G052800;TraesCS2A01G214000;TraesCS6A01G122000;TraesCS2A01G008900;TraesCS4A01G384600;TraesCS2B01G536500;TraesCS3B01G141500;TraesCS2D01G222000;TraesCS4A01G083900;TraesCS5D01G564000;TraesCS6B01G231000;TraesCS6D01G072300;TraesCS3B01G544700;TraesCS7B01G333700;TraesCS1D01G439500;TraesCS2B01G241800;TraesCS6D01G110000;TraesCS4B01G174300;TraesCS2B01G096000;TraesCS3D01G104000;TraesCS7B01G356800;TraesCS7D01G386600;TraesCS5A01G048600;TraesCS7B01G071100;TraesCS5D01G268600;TraesCS6A01G171800;TraesCS1B01G368200;TraesCS2B01G034700;TraesCS4A01G389600;TraesCS2D01G190200;TraesCS5B01G449500;TraesCS5B01G455500;TraesCS3B01G474400;TraesCS3A01G261800;TraesCS4D01G092000;TraesCS2B01G242500;TraesCS2D01G025500;TraesCSU01G194300;TraesCSU01G008200;TraesCS2D01G348800;TraesCS7D01G037700;TraesCS7B01G122800;TraesCS3B01G038900;TraesCS6B01G199700;TraesCS2D01G252600;TraesCS5A01G409700;TraesCS4B01G007400;TraesCS2D01G053300;TraesCS4A01G389700;TraesCS4B01G092500;TraesCS3B01G052600;TraesCS4A01G384800;TraesCS6B01G238900;TraesCS7B01G273000;TraesCS1B01G465000;TraesCS6B01G205900;TraesCS2A01G031400;TraesCS4D01G220500;TraesCS3D01G124200;TraesCS3B01G059000;TraesCS1D01G049000;TraesCS4D01G176300;TraesCSU01G008100;TraesCS2D01G348900;TraesCS3A01G016500;TraesCS4D01G325500;TraesCS5A01G406100;TraesCS1B01G460100;TraesCS6B01G229400</t>
  </si>
  <si>
    <t>TraesCS1B01G107400</t>
  </si>
  <si>
    <t>cinnamic acid metabolic process</t>
  </si>
  <si>
    <t>TraesCS1B01G111200</t>
  </si>
  <si>
    <t>cinnamic acid biosynthetic process</t>
  </si>
  <si>
    <t>TraesCS1B01G129200</t>
  </si>
  <si>
    <t>adenyl ribonucleotide binding</t>
  </si>
  <si>
    <t>TraesCS7B01G325900;TraesCS2B01G208900;TraesCS6B01G116600;TraesCS2D01G509400;TraesCS3B01G295000;TraesCS2A01G211900;TraesCS4B01G092400;TraesCS7A01G127100;TraesCS5D01G187700;TraesCS4A01G491600;TraesCS2D01G033200;TraesCS7A01G425900;TraesCS1D01G005400;TraesCS3D01G234300;TraesCS6A01G120000;TraesCS7D01G463700;TraesCS6B01G153100;TraesCS2D01G222300;TraesCS5B01G410900;TraesCS6B01G226000;TraesCS7A01G391100;TraesCS2B01G243000;TraesCS6B01G233800;TraesCS5D01G302000;TraesCS3A01G276200;TraesCS3D01G049000;TraesCS6B01G237600;TraesCS5D01G191400;TraesCS5D01G025500;TraesCS3B01G569800;TraesCS5A01G552200;TraesCS6B01G225700;TraesCS1A01G430200;TraesCS6D01G402500;TraesCS7B01G453400;TraesCS5A01G445700;TraesCS2A01G503800;TraesCS1D01G249000;TraesCS2B01G565300;TraesCS1A01G273600;TraesCS1D01G048900;TraesCS2B01G563800;TraesCSU01G076000;TraesCS2A01G371700;TraesCS2D01G511500;TraesCS3D01G072700;TraesCS6D01G359100;TraesCS2A01G371600;TraesCS3A01G049600;TraesCS2A01G510200;TraesCS2B01G477600;TraesCS1B01G439200;TraesCS7B01G326100;TraesCS2B01G519500;TraesCS7A01G042200;TraesCS3B01G588200;TraesCS6B01G231400;TraesCS7D01G365800;TraesCS7A01G460900;TraesCS1A01G343000;TraesCS1B01G355700;TraesCS1D01G381700;TraesCS2B01G042600;TraesCS6A01G276300;TraesCS3B01G310000;TraesCS6B01G225800;TraesCS5D01G019400;TraesCS3B01G555600;TraesCS1B01G062200;TraesCS2B01G084000;TraesCS4B01G343100;TraesCS1B01G006500;TraesCS3A01G230900;TraesCS3B01G321300;TraesCS3D01G500800;TraesCS1A01G340300;TraesCS1A01G342600;TraesCS4A01G331100;TraesCS2D01G364200;TraesCS5A01G261200;TraesCS1A01G332800;TraesCS1D01G344700;TraesCS1D01G431000;TraesCS3B01G084000;TraesCS7A01G226500;TraesCS2B01G043700;TraesCS4A01G474800;TraesCS7B01G292700;TraesCS5A01G072700;TraesCS5B01G063600;TraesCS4A01G445500;TraesCS6B01G226200;TraesCS2D01G002600;TraesCS3B01G032400;TraesCS4B01G240900;TraesCS6B01G235900;TraesCS1D01G439400;TraesCS5D01G004700;TraesCS3D01G048800;TraesCS6B01G374000;TraesCS7B01G000200;TraesCS2B01G067000;TraesCS2D01G137300;TraesCS7A01G374200;TraesCS2B01G084100;TraesCS1B01G062300;TraesCS6B01G232400;TraesCS2D01G039400;TraesCS4B01G106000;TraesCS1D01G013800;TraesCS1A01G235200;TraesCS2A01G299400;TraesCS2A01G589900;TraesCS1D01G271500;TraesCS1D01G076200;TraesCS6B01G212700;TraesCS2B01G100200;TraesCS6B01G231200;TraesCS4D01G109000;TraesCS5B01G454700;TraesCS1B01G410600;TraesCS7D01G436600;TraesCS5B01G184600;TraesCSU01G050000;TraesCS3B01G569900;TraesCS3D01G276200;TraesCS1D01G439300;TraesCS7D01G124900;TraesCSU01G044100;TraesCS1A01G006800;TraesCS7D01G374700;TraesCS1A01G149700;TraesCS7A01G215800;TraesCS7D01G461900;TraesCS1A01G006000;TraesCS2B01G240800;TraesCS5D01G452500;TraesCS7D01G217500;TraesCS3B01G086900;TraesCS1D01G082200;TraesCS2D01G216700;TraesCS4A01G384500;TraesCS5B01G284400;TraesCS3A01G056300;TraesCS1B01G007400;TraesCS2D01G013200;TraesCS3D01G501400;TraesCS1A01G312300;TraesCS4D01G003300;TraesCS2B01G241900;TraesCS1B01G091900;TraesCS6D01G112200;TraesCS6D01G242000;TraesCS4B01G009500;TraesCS4D01G089200;TraesCS1A01G073300;TraesCS4A01G207800;TraesCS1D01G430800;TraesCS2A01G041000;TraesCS3A01G493600;TraesCSU01G219500;TraesCS3A01G218000;TraesCS6A01G178500;TraesCS6A01G342000;TraesCS2A01G182400;TraesCS4A01G130300;TraesCS4B01G328400;TraesCS3D01G032300;TraesCS2D01G052800;TraesCS2A01G214000;TraesCS6A01G122000;TraesCS2A01G008900;TraesCS4A01G384600;TraesCS2B01G536500;TraesCS3B01G141500;TraesCS2D01G222000;TraesCS4A01G083900;TraesCS5D01G564000;TraesCS6B01G231000;TraesCS6D01G072300;TraesCS3B01G544700;TraesCS7B01G333700;TraesCS1D01G439500;TraesCS2B01G241800;TraesCS6D01G110000;TraesCS4B01G174300;TraesCS2B01G096000;TraesCS3D01G104000;TraesCS7B01G356800;TraesCS7D01G386600;TraesCS5A01G048600;TraesCS7B01G071100;TraesCS5D01G268600;TraesCS6A01G171800;TraesCS1B01G368200;TraesCS2B01G034700;TraesCS4A01G389600;TraesCS2D01G190200;TraesCS5B01G449500;TraesCS5B01G455500;TraesCS3B01G474400;TraesCS3A01G261800;TraesCS4D01G092000;TraesCS2B01G242500;TraesCS2D01G025500;TraesCSU01G194300;TraesCSU01G008200;TraesCS7D01G037700;TraesCS7B01G122800;TraesCS3B01G038900;TraesCS6B01G199700;TraesCS2D01G252600;TraesCS5A01G409700;TraesCS4B01G007400;TraesCS2D01G053300;TraesCS4A01G389700;TraesCS4B01G092500;TraesCS3B01G052600;TraesCS4A01G384800;TraesCS6B01G238900;TraesCS7B01G273000;TraesCS1B01G465000;TraesCS6B01G205900;TraesCS2A01G031400;TraesCS4D01G220500;TraesCS3D01G124200;TraesCS3B01G059000;TraesCS1D01G049000;TraesCS4D01G176300;TraesCSU01G008100;TraesCS3A01G016500;TraesCS4D01G325500;TraesCS5A01G406100;TraesCS1B01G460100;TraesCS6B01G229400</t>
  </si>
  <si>
    <t>TraesCS1B01G133300</t>
  </si>
  <si>
    <t>adenyl nucleotide binding</t>
  </si>
  <si>
    <t>TraesCS1B01G133400</t>
  </si>
  <si>
    <t>ribonucleotide binding</t>
  </si>
  <si>
    <t>TraesCS7B01G325900;TraesCS2B01G208900;TraesCS6B01G116600;TraesCS2D01G509400;TraesCS3B01G295000;TraesCS2A01G211900;TraesCS4B01G092400;TraesCS7A01G127100;TraesCS5D01G187700;TraesCS4A01G491600;TraesCS6B01G230400;TraesCS2D01G309500;TraesCS2D01G033200;TraesCS7A01G425900;TraesCS1D01G005400;TraesCS3D01G234300;TraesCS6A01G120000;TraesCS7D01G463700;TraesCS6B01G153100;TraesCS2D01G222300;TraesCS5B01G410900;TraesCS6B01G226000;TraesCS7A01G391100;TraesCS2B01G243000;TraesCS6B01G233800;TraesCS5D01G302000;TraesCS3A01G276200;TraesCS3D01G049000;TraesCS6B01G237600;TraesCS5D01G191400;TraesCS5D01G025500;TraesCS3B01G569800;TraesCS2A01G026600;TraesCS5A01G552200;TraesCS6B01G225700;TraesCS1A01G430200;TraesCS6D01G402500;TraesCS7B01G453400;TraesCS5A01G445700;TraesCS2A01G503800;TraesCS1D01G249000;TraesCS2B01G565300;TraesCS1A01G273600;TraesCS1D01G048900;TraesCS2B01G563800;TraesCSU01G076000;TraesCS2A01G371700;TraesCS2D01G511500;TraesCS3D01G072700;TraesCS6D01G359100;TraesCS2A01G371600;TraesCS3A01G049600;TraesCS2A01G510200;TraesCS2B01G477600;TraesCS1B01G439200;TraesCS7B01G326100;TraesCS2B01G519500;TraesCS7A01G042200;TraesCS3B01G588200;TraesCS6B01G231400;TraesCS7D01G365800;TraesCS7A01G460900;TraesCS1A01G343000;TraesCS1B01G355700;TraesCS1D01G381700;TraesCS2B01G042600;TraesCS6A01G276300;TraesCS3B01G310000;TraesCS6B01G225800;TraesCS2D01G028600;TraesCS5D01G019400;TraesCS6B01G353200;TraesCS3B01G555600;TraesCS1B01G062200;TraesCS2B01G084000;TraesCS4B01G343100;TraesCS1B01G006500;TraesCS3A01G230900;TraesCS3B01G321300;TraesCS3D01G500800;TraesCS1A01G340300;TraesCS1A01G342600;TraesCS4A01G331100;TraesCS6B01G238600;TraesCS2D01G364200;TraesCS5A01G261200;TraesCS2B01G284300;TraesCS1A01G332800;TraesCS1D01G344700;TraesCS1D01G431000;TraesCS3B01G084000;TraesCS7A01G226500;TraesCS2B01G043700;TraesCS4A01G474800;TraesCS7B01G292700;TraesCS5A01G072700;TraesCS5B01G063600;TraesCS4A01G445500;TraesCS6B01G226200;TraesCS2D01G002600;TraesCS3B01G032400;TraesCS4B01G240900;TraesCS6B01G235900;TraesCS1D01G439400;TraesCS3B01G353000;TraesCS5D01G004700;TraesCS3D01G048800;TraesCS6B01G374000;TraesCS7B01G000200;TraesCS2B01G067000;TraesCS2D01G137300;TraesCS7A01G374200;TraesCS2B01G084100;TraesCS1B01G062300;TraesCS6B01G232400;TraesCS2D01G039400;TraesCS4B01G106000;TraesCS1D01G013800;TraesCS1A01G235200;TraesCS2A01G299400;TraesCS2A01G589900;TraesCS1D01G271500;TraesCS1D01G076200;TraesCS6B01G212700;TraesCS2B01G100200;TraesCS6B01G231200;TraesCS4D01G109000;TraesCS5B01G454700;TraesCS1B01G410600;TraesCS7D01G436600;TraesCS5B01G184600;TraesCSU01G050000;TraesCS3B01G569900;TraesCS3D01G276200;TraesCS1D01G439300;TraesCS7D01G124900;TraesCSU01G044100;TraesCS1A01G006800;TraesCS7D01G374700;TraesCS1A01G149700;TraesCS7A01G215800;TraesCS7D01G461900;TraesCS1A01G006000;TraesCS2B01G240800;TraesCS5D01G452500;TraesCS7D01G217500;TraesCS3B01G086900;TraesCS1D01G082200;TraesCS2D01G216700;TraesCS4A01G384500;TraesCS5B01G284400;TraesCS3A01G056300;TraesCS1B01G007400;TraesCS2D01G013200;TraesCS3D01G501400;TraesCS1A01G312300;TraesCS4D01G003300;TraesCS2B01G241900;TraesCS1B01G091900;TraesCS6D01G112200;TraesCS6D01G242000;TraesCS4B01G009500;TraesCS4D01G089200;TraesCS2B01G040000;TraesCS1A01G073300;TraesCS4A01G207800;TraesCS1D01G430800;TraesCS2A01G041000;TraesCS3A01G493600;TraesCSU01G219500;TraesCS3A01G218000;TraesCS6A01G178500;TraesCS6A01G342000;TraesCS2A01G182400;TraesCS4A01G130300;TraesCS4B01G328400;TraesCS3D01G032300;TraesCS2D01G052800;TraesCS2A01G214000;TraesCS6A01G122000;TraesCS2A01G008900;TraesCS4A01G384600;TraesCS2B01G536500;TraesCS3B01G141500;TraesCS2D01G222000;TraesCS4A01G083900;TraesCS5D01G564000;TraesCS6B01G231000;TraesCS6D01G072300;TraesCS3B01G544700;TraesCS7B01G333700;TraesCS1D01G439500;TraesCS2B01G241800;TraesCS6D01G110000;TraesCS4B01G174300;TraesCS2B01G096000;TraesCS3D01G104000;TraesCS7B01G356800;TraesCS7D01G386600;TraesCS5A01G048600;TraesCS7B01G071100;TraesCS5D01G268600;TraesCS6A01G171800;TraesCS1B01G368200;TraesCS2B01G034700;TraesCS4A01G389600;TraesCS2D01G190200;TraesCS5B01G449500;TraesCS5B01G455500;TraesCS3B01G474400;TraesCS3A01G261800;TraesCS4D01G092000;TraesCS2B01G242500;TraesCS2D01G025500;TraesCSU01G194300;TraesCSU01G008200;TraesCS7D01G037700;TraesCS7B01G122800;TraesCS3B01G038900;TraesCS6B01G199700;TraesCS2D01G252600;TraesCS5A01G409700;TraesCS4B01G007400;TraesCS2D01G053300;TraesCS4A01G389700;TraesCS4B01G092500;TraesCS3B01G052600;TraesCS4A01G384800;TraesCS6B01G238900;TraesCS7B01G273000;TraesCS1B01G465000;TraesCS6B01G205900;TraesCS2A01G031400;TraesCS4D01G220500;TraesCS3D01G124200;TraesCS3B01G059000;TraesCS1D01G049000;TraesCS4D01G176300;TraesCSU01G008100;TraesCS3A01G016500;TraesCS4D01G325500;TraesCS5A01G406100;TraesCS1B01G460100;TraesCS6B01G229400</t>
  </si>
  <si>
    <t>TraesCS1B01G182000</t>
  </si>
  <si>
    <t>TraesCS2A01G350800;TraesCS2A01G350900;TraesCS2D01G348900;TraesCS2D01G348800;TraesCS5D01G038400;TraesCS7A01G492400;TraesCS4D01G325500;TraesCS2B01G369100;TraesCS4D01G326400;TraesCS7A01G427300;TraesCS3D01G467600;TraesCS2B01G369000;TraesCS2B01G489800;TraesCS1B01G410600;TraesCS1A01G203600;TraesCS2A01G467000;TraesCS4D01G142000;TraesCS7B01G370700;TraesCS2D01G349000;TraesCS2D01G349400;TraesCS4B01G328400;TraesCS2A01G350700</t>
  </si>
  <si>
    <t>TraesCS1B01G194700</t>
  </si>
  <si>
    <t>aromatic amino acid family metabolic process</t>
  </si>
  <si>
    <t>TraesCS7D01G337900;TraesCS2D01G218700;TraesCS7B01G241200;TraesCS1B01G122800;TraesCS5B01G468300;TraesCS2A01G196400;TraesCS1D01G039300;TraesCS2A01G196700;TraesCS2D01G377500;TraesCS2A01G212900;TraesCS2D01G377400;TraesCS2B01G398200;TraesCS2D01G204400;TraesCS5A01G160800;TraesCS2D01G204700;TraesCS2B01G224300;TraesCS1A01G037800;TraesCS1D01G103500;TraesCS7D01G251900;TraesCS2B01G224000;TraesCS1A01G270300</t>
  </si>
  <si>
    <t>TraesCS1B01G194900</t>
  </si>
  <si>
    <t>TraesCS5D01G195200;TraesCS2B01G040500;TraesCS5A01G321900;TraesCS7B01G325900;TraesCS2B01G208900;TraesCS3A01G124700;TraesCS2D01G509400;TraesCS6B01G347800;TraesCS3B01G295000;TraesCS2A01G211900;TraesCS4B01G092400;TraesCS7A01G127100;TraesCS5D01G187700;TraesCS4A01G491600;TraesCS4A01G436200;TraesCS7A01G425900;TraesCS6B01G238000;TraesCS2D01G270400;TraesCS7D01G463700;TraesCS6B01G153100;TraesCS2D01G222300;TraesCS5B01G410900;TraesCS6B01G226000;TraesCS2B01G243000;TraesCS5D01G302000;TraesCS3A01G276200;TraesCS3D01G049000;TraesCS6B01G237600;TraesCS5D01G191400;TraesCS1B01G097400;TraesCS5D01G025500;TraesCS5A01G552200;TraesCS6B01G225700;TraesCS5D01G342100;TraesCS5A01G445700;TraesCS7A01G427300;TraesCS2A01G503800;TraesCS7A01G450200;TraesCS1D01G249000;TraesCS2B01G565300;TraesCS1A01G273600;TraesCS1D01G048900;TraesCS2B01G563800;TraesCSU01G076000;TraesCS2A01G371700;TraesCS2D01G511500;TraesCS3D01G126300;TraesCS3D01G072700;TraesCS6D01G359100;TraesCS2A01G371600;TraesCS7D01G190100;TraesCS3A01G049600;TraesCS2A01G510200;TraesCS1B01G107400;TraesCS2B01G477600;TraesCS7B01G326100;TraesCS2A01G048600;TraesCS2B01G519500;TraesCS7D01G405800;TraesCS7A01G042200;TraesCS3B01G588200;TraesCS6B01G231400;TraesCS3B01G485000;TraesCS7D01G365800;TraesCS7A01G460900;TraesCS1B01G355700;TraesCS6A01G276300;TraesCS3B01G310000;TraesCS6B01G225800;TraesCS3B01G144800;TraesCS5D01G019400;TraesCS7D01G189700;TraesCS4B01G059100;TraesCS3B01G555600;TraesCS1B01G062200;TraesCS2B01G084000;TraesCS4B01G343100;TraesCS1B01G006500;TraesCS3D01G500800;TraesCS1A01G340300;TraesCS1A01G342600;TraesCS2D01G364200;TraesCS5A01G261200;TraesCS1D01G344700;TraesCS3B01G547300;TraesCS1D01G431000;TraesCS3B01G084000;TraesCS4A01G474800;TraesCS1B01G361400;TraesCS5A01G072700;TraesCS5B01G063600;TraesCS4A01G445500;TraesCS6B01G226200;TraesCS7B01G307700;TraesCS3B01G145200;TraesCS2D01G002600;TraesCS3B01G032400;TraesCS3D01G048800;TraesCS6B01G374000;TraesCS2B01G067000;TraesCS2D01G137300;TraesCS7A01G374200;TraesCS1A01G186100;TraesCS3A01G279600;TraesCS2B01G084100;TraesCS4B01G055400;TraesCS1B01G062300;TraesCS1B01G080400;TraesCS6B01G232400;TraesCS2D01G039400;TraesCS4B01G106000;TraesCS2D01G031000;TraesCS1D01G013800;TraesCS1D01G191100;TraesCS2A01G299400;TraesCS2A01G589900;TraesCS1D01G271500;TraesCS1D01G076200;TraesCS6B01G212700;TraesCS7D01G111600;TraesCS6B01G231200;TraesCS7A01G370400;TraesCS4D01G109000;TraesCS5B01G454700;TraesCS2D01G034500;TraesCS5B01G148300;TraesCS1B01G410600;TraesCS4D01G311500;TraesCS5B01G184600;TraesCS6B01G240700;TraesCSU01G050000;TraesCS3B01G569900;TraesCS3D01G276200;TraesCS1A01G270300;TraesCS7D01G124900;TraesCS4A01G070600;TraesCS5D01G038400;TraesCS2D01G093100;TraesCSU01G044100;TraesCS1A01G006800;TraesCS4B01G059300;TraesCS7D01G374700;TraesCS1A01G149700;TraesCS7A01G215800;TraesCS3D01G493700;TraesCS7B01G093800;TraesCS7D01G461900;TraesCS1A01G006000;TraesCS2B01G240800;TraesCS2B01G521100;TraesCS7D01G217500;TraesCS3B01G086900;TraesCS1D01G082200;TraesCS2D01G216700;TraesCS3A01G507200;TraesCS5B01G303800;TraesCS4A01G384500;TraesCS7A01G115400;TraesCS5B01G284400;TraesCS3A01G056300;TraesCS7B01G312200;TraesCS1B01G007400;TraesCS2D01G013200;TraesCS4D01G242100;TraesCS3D01G501400;TraesCS4D01G003300;TraesCS2B01G241900;TraesCS1B01G091900;TraesCS6D01G112200;TraesCS6D01G242000;TraesCSU01G009000;TraesCS4B01G009500;TraesCS7D01G439400;TraesCS4D01G089200;TraesCS6A01G175900;TraesCS1A01G073300;TraesCS4A01G207800;TraesCS3D01G514700;TraesCS3B01G395900;TraesCS1D01G430800;TraesCS2A01G041000;TraesCS3A01G493600;TraesCSU01G219500;TraesCS5D01G140900;TraesCS4D01G142400;TraesCS6A01G342000;TraesCS7A01G146600;TraesCS2A01G182400;TraesCS4B01G328400;TraesCS5A01G433200;TraesCS2D01G052800;TraesCS2D01G029800;TraesCS2A01G214000;TraesCS5B01G439400;TraesCS6A01G122000;TraesCS4A01G384600;TraesCS2B01G536500;TraesCS3B01G141500;TraesCS2D01G222000;TraesCS6D01G072300;TraesCS3B01G544700;TraesCS6B01G227300;TraesCS1A01G211500;TraesCS7B01G333700;TraesCS2B01G241800;TraesCS2B01G096000;TraesCS3D01G104000;TraesCS7B01G356800;TraesCS5A01G048600;TraesCS7B01G071100;TraesCS5D01G268600;TraesCS7A01G407600;TraesCS3B01G362800;TraesCS2B01G034700;TraesCS7B01G278900;TraesCS2D01G190200;TraesCS5B01G455500;TraesCS3B01G474400;TraesCS3A01G261800;TraesCS2B01G242500;TraesCS6D01G021100;TraesCS2D01G025500;TraesCSU01G194300;TraesCSU01G008200;TraesCS7D01G037700;TraesCS6B01G083500;TraesCS5D01G310500;TraesCS7B01G122800;TraesCS3B01G038900;TraesCS4A01G485400;TraesCS2D01G252600;TraesCS1D01G020700;TraesCS3B01G362900;TraesCS2B01G040600;TraesCS4B01G007400;TraesCS7A01G189000;TraesCS2D01G053300;TraesCS3D01G392500;TraesCS1A01G424000;TraesCS4D01G008200;TraesCS2A01G028700;TraesCS4B01G092500;TraesCS3B01G052600;TraesCS6B01G238900;TraesCS7B01G273000;TraesCS3D01G126500;TraesCS3D01G124200;TraesCS3B01G059000;TraesCS4A01G065100;TraesCS1D01G049000;TraesCSU01G008100;TraesCS5B01G187600;TraesCS3A01G016500;TraesCS4D01G325500;TraesCS5A01G406100;TraesCS7A01G240400</t>
  </si>
  <si>
    <t>TraesCS1B01G216300</t>
  </si>
  <si>
    <t>macromolecule modification</t>
  </si>
  <si>
    <t>TraesCS1B01G243200</t>
  </si>
  <si>
    <t>organonitrogen compound metabolic process</t>
  </si>
  <si>
    <t>TraesCS7B01G325900;TraesCS2B01G208900;TraesCS6B01G225600;TraesCS1B01G345000;TraesCS5D01G342000;TraesCS3A01G124700;TraesCS2D01G509400;TraesCS3A01G067700;TraesCS2B01G369100;TraesCS3B01G295000;TraesCS2A01G211900;TraesCS4D01G232700;TraesCS4B01G092400;TraesCS7A01G127100;TraesCS5D01G187700;TraesCS4A01G491600;TraesCS1A01G070400;TraesCS7B01G370700;TraesCS7A01G425900;TraesCS1D01G103500;TraesCS2B01G359300;TraesCS6B01G238000;TraesCS2D01G349400;TraesCS4D01G350300;TraesCS5A01G526000;TraesCS7D01G337900;TraesCS7D01G463700;TraesCS6B01G153100;TraesCS6B01G171900;TraesCS1B01G122800;TraesCS2D01G222300;TraesCS5B01G410900;TraesCS6B01G226000;TraesCS1D01G039300;TraesCS2B01G402800;TraesCS2B01G243000;TraesCS6B01G233800;TraesCS5D01G302000;TraesCS3A01G276200;TraesCS3D01G049000;TraesCS6B01G237600;TraesCS5D01G191400;TraesCS5D01G025500;TraesCS5A01G552200;TraesCS6B01G225700;TraesCS5A01G445700;TraesCS2A01G196400;TraesCS6A01G220200;TraesCS2A01G503800;TraesCS1D01G249000;TraesCS6B01G230300;TraesCS2B01G565300;TraesCS1A01G273600;TraesCS1D01G048900;TraesCS2B01G563800;TraesCSU01G076000;TraesCS1D01G141800;TraesCS2A01G371700;TraesCS2D01G511500;TraesCS3D01G072700;TraesCS2A01G350900;TraesCS6D01G359100;TraesCS2A01G371600;TraesCS2D01G218700;TraesCS5B01G187000;TraesCS3A01G049600;TraesCS2A01G510200;TraesCS2B01G477600;TraesCS3B01G128700;TraesCS6D01G053400;TraesCS7B01G326100;TraesCS2A01G212900;TraesCS2D01G132500;TraesCS2D01G377400;TraesCS5D01G251100;TraesCS3D01G467600;TraesCS2B01G519500;TraesCS6B01G229200;TraesCS5A01G160800;TraesCS7A01G042200;TraesCS6B01G261700;TraesCS2B01G404200;TraesCS3B01G588200;TraesCS6B01G231400;TraesCS1A01G203600;TraesCS1A01G037800;TraesCS7D01G365800;TraesCS7A01G460900;TraesCS2B01G224000;TraesCS1B01G355700;TraesCS6A01G276300;TraesCS3B01G310000;TraesCS6B01G225800;TraesCS5D01G019400;TraesCS7D01G189700;TraesCS7A01G489000;TraesCS3B01G555600;TraesCS1B01G062200;TraesCS2B01G084000;TraesCS4B01G343100;TraesCS1B01G006500;TraesCS2A01G385900;TraesCS3D01G500800;TraesCS1A01G340300;TraesCS1A01G342600;TraesCS6B01G238600;TraesCS6B01G230200;TraesCS2D01G364200;TraesCS5A01G261200;TraesCS3B01G266200;TraesCS5A01G196800;TraesCS1D01G344700;TraesCS3B01G547300;TraesCS1D01G431000;TraesCS2A01G350800;TraesCS3B01G084000;TraesCS4A01G474800;TraesCS1D01G412300;TraesCS4A01G241700;TraesCS7B01G301600;TraesCS1D01G441600;TraesCS5A01G072700;TraesCS5B01G063600;TraesCS4A01G445500;TraesCS6B01G226200;TraesCS2D01G377500;TraesCS2D01G002600;TraesCS3B01G032400;TraesCS2B01G398200;TraesCS2D01G493500;TraesCS3B01G181300;TraesCS4B01G240900;TraesCS2D01G204400;TraesCS6D01G215000;TraesCS3D01G039400;TraesCS4B01G231400;TraesCS3A01G446200;TraesCS3D01G048800;TraesCS6B01G374000;TraesCS2B01G067000;TraesCS2D01G137300;TraesCS7A01G374200;TraesCS2B01G084100;TraesCS1B01G062300;TraesCS6B01G232400;TraesCS2B01G369000;TraesCS2D01G039400;TraesCS4B01G106000;TraesCS1D01G013800;TraesCS7D01G251900;TraesCS2B01G521600;TraesCS1A01G235200;TraesCS2A01G299400;TraesCS2A01G350700;TraesCS3D01G534200;TraesCS2A01G589900;TraesCS1D01G271500;TraesCS5B01G468300;TraesCS1D01G076200;TraesCS6B01G212700;TraesCS6B01G231200;TraesCS4D01G109000;TraesCS5B01G454700;TraesCS1B01G410600;TraesCS3A01G411700;TraesCS3D01G039300;TraesCS5B01G184600;TraesCSU01G050000;TraesCS3B01G569900;TraesCS3D01G276200;TraesCS1A01G270300;TraesCS7D01G124900;TraesCS3B01G161100;TraesCS5D01G250300;TraesCSU01G044100;TraesCS1A01G006800;TraesCS2A01G196700;TraesCS7D01G374700;TraesCS1A01G168100;TraesCS1A01G149700;TraesCS7A01G215800;TraesCS3D01G493700;TraesCS7D01G461900;TraesCS1A01G006000;TraesCS2B01G240800;TraesCS2D01G349000;TraesCS7D01G217500;TraesCS3B01G086900;TraesCS1D01G082200;TraesCS6B01G224900;TraesCS2D01G216700;TraesCS5D01G194400;TraesCS4B01G098100;TraesCS4A01G384500;TraesCS5B01G284400;TraesCS3A01G056300;TraesCS1B01G007400;TraesCS2D01G013200;TraesCS4D01G242100;TraesCS3D01G501400;TraesCS4D01G003300;TraesCS2B01G224300;TraesCS2B01G241900;TraesCS1B01G091900;TraesCS6D01G112200;TraesCS6D01G242000;TraesCS2D01G382400;TraesCS4B01G009500;TraesCS4D01G089200;TraesCS3D01G346200;TraesCS1A01G073300;TraesCS4A01G207800;TraesCS3B01G395900;TraesCS1D01G430800;TraesCS2A01G041000;TraesCS3A01G493600;TraesCSU01G219500;TraesCS1B01G404000;TraesCS5D01G194600;TraesCS6A01G342000;TraesCS1A01G235000;TraesCS2B01G152600;TraesCS2A01G182400;TraesCS4B01G328400;TraesCS7D01G475300;TraesCS2D01G052800;TraesCS2A01G214000;TraesCS2D01G409500;TraesCS6A01G122000;TraesCS4A01G075600;TraesCS4A01G384600;TraesCS2B01G536500;TraesCS3B01G141500;TraesCS2D01G222000;TraesCS6B01G231000;TraesCS6D01G072300;TraesCS3B01G544700;TraesCS6B01G227300;TraesCS2D01G204700;TraesCS6B01G229600;TraesCS7B01G333700;TraesCS2B01G241800;TraesCS2B01G096000;TraesCS3D01G104000;TraesCS7B01G356800;TraesCS5A01G048600;TraesCS7B01G071100;TraesCS5D01G268600;TraesCS3A01G109500;TraesCS2B01G034700;TraesCS6B01G041200;TraesCS2D01G190200;TraesCS5B01G455500;TraesCS3B01G474400;TraesCS3A01G261800;TraesCS2B01G242500;TraesCS7D01G276900;TraesCS2D01G383400;TraesCS2D01G025500;TraesCSU01G194300;TraesCSU01G008200;TraesCS2D01G348800;TraesCS7D01G037700;TraesCS6B01G230600;TraesCS7B01G122800;TraesCS3B01G038900;TraesCS3D01G475800;TraesCS2D01G252600;TraesCS3A01G040800;TraesCS6D01G198700;TraesCS7B01G241200;TraesCS4B01G007400;TraesCS2D01G053300;TraesCS3B01G140500;TraesCS3B01G356700;TraesCS6B01G231700;TraesCS4B01G092500;TraesCS3B01G052600;TraesCS6B01G238900;TraesCS7B01G273000;TraesCS1A01G095800;TraesCS3D01G124200;TraesCS3B01G059000;TraesCS4A01G065100;TraesCS1D01G049000;TraesCSU01G008100;TraesCS2D01G348900;TraesCS3A01G016500;TraesCS4D01G325500;TraesCS4B01G356600;TraesCS5A01G406100;TraesCS6B01G227900;TraesCS5B01G255200</t>
  </si>
  <si>
    <t>TraesCS1B01G276500</t>
  </si>
  <si>
    <t>purine ribonucleotide binding</t>
  </si>
  <si>
    <t>TraesCS7B01G325900;TraesCS2B01G208900;TraesCS6B01G116600;TraesCS2D01G509400;TraesCS3B01G295000;TraesCS2A01G211900;TraesCS4B01G092400;TraesCS7A01G127100;TraesCS5D01G187700;TraesCS4A01G491600;TraesCS6B01G230400;TraesCS2D01G033200;TraesCS7A01G425900;TraesCS1D01G005400;TraesCS3D01G234300;TraesCS6A01G120000;TraesCS7D01G463700;TraesCS6B01G153100;TraesCS2D01G222300;TraesCS5B01G410900;TraesCS6B01G226000;TraesCS7A01G391100;TraesCS2B01G243000;TraesCS6B01G233800;TraesCS5D01G302000;TraesCS3A01G276200;TraesCS3D01G049000;TraesCS6B01G237600;TraesCS5D01G191400;TraesCS5D01G025500;TraesCS3B01G569800;TraesCS5A01G552200;TraesCS6B01G225700;TraesCS1A01G430200;TraesCS6D01G402500;TraesCS7B01G453400;TraesCS5A01G445700;TraesCS2A01G503800;TraesCS1D01G249000;TraesCS2B01G565300;TraesCS1A01G273600;TraesCS1D01G048900;TraesCS2B01G563800;TraesCSU01G076000;TraesCS2A01G371700;TraesCS2D01G511500;TraesCS3D01G072700;TraesCS6D01G359100;TraesCS2A01G371600;TraesCS3A01G049600;TraesCS2A01G510200;TraesCS2B01G477600;TraesCS1B01G439200;TraesCS7B01G326100;TraesCS2B01G519500;TraesCS7A01G042200;TraesCS3B01G588200;TraesCS6B01G231400;TraesCS7D01G365800;TraesCS7A01G460900;TraesCS1A01G343000;TraesCS1B01G355700;TraesCS1D01G381700;TraesCS2B01G042600;TraesCS6A01G276300;TraesCS3B01G310000;TraesCS6B01G225800;TraesCS5D01G019400;TraesCS3B01G555600;TraesCS1B01G062200;TraesCS2B01G084000;TraesCS4B01G343100;TraesCS1B01G006500;TraesCS3A01G230900;TraesCS3B01G321300;TraesCS3D01G500800;TraesCS1A01G340300;TraesCS1A01G342600;TraesCS4A01G331100;TraesCS6B01G238600;TraesCS2D01G364200;TraesCS5A01G261200;TraesCS1A01G332800;TraesCS1D01G344700;TraesCS1D01G431000;TraesCS3B01G084000;TraesCS7A01G226500;TraesCS2B01G043700;TraesCS4A01G474800;TraesCS7B01G292700;TraesCS5A01G072700;TraesCS5B01G063600;TraesCS4A01G445500;TraesCS6B01G226200;TraesCS2D01G002600;TraesCS3B01G032400;TraesCS4B01G240900;TraesCS6B01G235900;TraesCS1D01G439400;TraesCS5D01G004700;TraesCS3D01G048800;TraesCS6B01G374000;TraesCS7B01G000200;TraesCS2B01G067000;TraesCS2D01G137300;TraesCS7A01G374200;TraesCS2B01G084100;TraesCS1B01G062300;TraesCS6B01G232400;TraesCS2D01G039400;TraesCS4B01G106000;TraesCS1D01G013800;TraesCS1A01G235200;TraesCS2A01G299400;TraesCS2A01G589900;TraesCS1D01G271500;TraesCS1D01G076200;TraesCS6B01G212700;TraesCS2B01G100200;TraesCS6B01G231200;TraesCS4D01G109000;TraesCS5B01G454700;TraesCS1B01G410600;TraesCS7D01G436600;TraesCS5B01G184600;TraesCSU01G050000;TraesCS3B01G569900;TraesCS3D01G276200;TraesCS1D01G439300;TraesCS7D01G124900;TraesCSU01G044100;TraesCS1A01G006800;TraesCS7D01G374700;TraesCS1A01G149700;TraesCS7A01G215800;TraesCS7D01G461900;TraesCS1A01G006000;TraesCS2B01G240800;TraesCS5D01G452500;TraesCS7D01G217500;TraesCS3B01G086900;TraesCS1D01G082200;TraesCS2D01G216700;TraesCS4A01G384500;TraesCS5B01G284400;TraesCS3A01G056300;TraesCS1B01G007400;TraesCS2D01G013200;TraesCS3D01G501400;TraesCS1A01G312300;TraesCS4D01G003300;TraesCS2B01G241900;TraesCS1B01G091900;TraesCS6D01G112200;TraesCS6D01G242000;TraesCS4B01G009500;TraesCS4D01G089200;TraesCS1A01G073300;TraesCS4A01G207800;TraesCS1D01G430800;TraesCS2A01G041000;TraesCS3A01G493600;TraesCSU01G219500;TraesCS3A01G218000;TraesCS6A01G178500;TraesCS6A01G342000;TraesCS2A01G182400;TraesCS4A01G130300;TraesCS4B01G328400;TraesCS3D01G032300;TraesCS2D01G052800;TraesCS2A01G214000;TraesCS6A01G122000;TraesCS2A01G008900;TraesCS4A01G384600;TraesCS2B01G536500;TraesCS3B01G141500;TraesCS2D01G222000;TraesCS4A01G083900;TraesCS5D01G564000;TraesCS6B01G231000;TraesCS6D01G072300;TraesCS3B01G544700;TraesCS7B01G333700;TraesCS1D01G439500;TraesCS2B01G241800;TraesCS6D01G110000;TraesCS4B01G174300;TraesCS2B01G096000;TraesCS3D01G104000;TraesCS7B01G356800;TraesCS7D01G386600;TraesCS5A01G048600;TraesCS7B01G071100;TraesCS5D01G268600;TraesCS6A01G171800;TraesCS1B01G368200;TraesCS2B01G034700;TraesCS4A01G389600;TraesCS2D01G190200;TraesCS5B01G449500;TraesCS5B01G455500;TraesCS3B01G474400;TraesCS3A01G261800;TraesCS4D01G092000;TraesCS2B01G242500;TraesCS2D01G025500;TraesCSU01G194300;TraesCSU01G008200;TraesCS7D01G037700;TraesCS7B01G122800;TraesCS3B01G038900;TraesCS6B01G199700;TraesCS2D01G252600;TraesCS5A01G409700;TraesCS4B01G007400;TraesCS2D01G053300;TraesCS4A01G389700;TraesCS4B01G092500;TraesCS3B01G052600;TraesCS4A01G384800;TraesCS6B01G238900;TraesCS7B01G273000;TraesCS1B01G465000;TraesCS6B01G205900;TraesCS2A01G031400;TraesCS4D01G220500;TraesCS3D01G124200;TraesCS3B01G059000;TraesCS1D01G049000;TraesCS4D01G176300;TraesCSU01G008100;TraesCS3A01G016500;TraesCS4D01G325500;TraesCS5A01G406100;TraesCS1B01G460100;TraesCS6B01G229400</t>
  </si>
  <si>
    <t>TraesCS1B01G276800</t>
  </si>
  <si>
    <t>small molecule binding</t>
  </si>
  <si>
    <t>TraesCS7B01G325900;TraesCS2B01G208900;TraesCS6B01G116600;TraesCS2D01G509400;TraesCS3B01G295000;TraesCS2A01G211900;TraesCS4D01G232700;TraesCS4B01G092400;TraesCS7A01G127100;TraesCS5D01G187700;TraesCS4A01G491600;TraesCS6B01G230400;TraesCS2D01G309500;TraesCS2D01G033200;TraesCS7A01G425900;TraesCS1D01G005400;TraesCS3D01G234300;TraesCS6A01G120000;TraesCS7D01G463700;TraesCS5A01G261400;TraesCS6B01G153100;TraesCS2D01G222300;TraesCS5B01G410900;TraesCS6B01G226000;TraesCS7A01G391100;TraesCS2B01G243000;TraesCS6B01G233800;TraesCS5D01G302000;TraesCS3A01G276200;TraesCS3D01G049000;TraesCS6B01G237600;TraesCS5D01G191400;TraesCS5D01G025500;TraesCS3B01G569800;TraesCS2A01G026600;TraesCS5A01G552200;TraesCS6B01G225700;TraesCS1A01G430200;TraesCS6D01G402500;TraesCS7B01G453400;TraesCS5A01G445700;TraesCS4D01G198000;TraesCS2A01G503800;TraesCS6B01G228100;TraesCS1D01G249000;TraesCS2B01G565300;TraesCS1A01G273600;TraesCS1D01G048900;TraesCS2B01G563800;TraesCSU01G076000;TraesCS2A01G371700;TraesCS2D01G511500;TraesCS3D01G072700;TraesCS6D01G359100;TraesCS2A01G371600;TraesCS3A01G049600;TraesCS2A01G510200;TraesCS2B01G572400;TraesCS2B01G477600;TraesCS3B01G128700;TraesCS1B01G439200;TraesCS7B01G326100;TraesCS2B01G519500;TraesCS7A01G042200;TraesCS3B01G588200;TraesCS6B01G231400;TraesCS7D01G365800;TraesCS7A01G460900;TraesCS1A01G343000;TraesCS1B01G355700;TraesCS1D01G381700;TraesCS2B01G042600;TraesCS6A01G276300;TraesCS3B01G310000;TraesCS6B01G225800;TraesCS2D01G028600;TraesCS5D01G019400;TraesCS6B01G353200;TraesCS3B01G555600;TraesCS1B01G062200;TraesCS2B01G084000;TraesCS4B01G343100;TraesCS1B01G006500;TraesCS3A01G230900;TraesCS3B01G321300;TraesCS3D01G500800;TraesCS1A01G340300;TraesCS1A01G342600;TraesCS4A01G331100;TraesCS6B01G238600;TraesCS2D01G364200;TraesCS5A01G261200;TraesCS2B01G284300;TraesCS1A01G332800;TraesCS1D01G344700;TraesCS1D01G431000;TraesCS3B01G084000;TraesCS7A01G226500;TraesCS2B01G043700;TraesCS4A01G474800;TraesCS7B01G292700;TraesCS2B01G066800;TraesCS5A01G072700;TraesCS5B01G063600;TraesCS4A01G445500;TraesCS6B01G226200;TraesCS7B01G273600;TraesCS2D01G002600;TraesCS3B01G032400;TraesCS2D01G493500;TraesCS4B01G240900;TraesCS6B01G235900;TraesCS5B01G366800;TraesCS1D01G439400;TraesCS4B01G231400;TraesCS3B01G353000;TraesCS5D01G004700;TraesCS3D01G048800;TraesCS6B01G374000;TraesCS7B01G000200;TraesCS2B01G067000;TraesCS2D01G137300;TraesCS7A01G374200;TraesCS2B01G084100;TraesCS1B01G062300;TraesCS6B01G232400;TraesCS2D01G039400;TraesCS4B01G106000;TraesCS4D01G270000;TraesCS6B01G238500;TraesCS1D01G013800;TraesCS2B01G521600;TraesCS1A01G235200;TraesCS2A01G299400;TraesCS2A01G589900;TraesCS1D01G271500;TraesCS1D01G076200;TraesCS6B01G212700;TraesCS2B01G100200;TraesCS6B01G231200;TraesCS4D01G109000;TraesCS5B01G454700;TraesCS1B01G410600;TraesCS7D01G436600;TraesCS5B01G184600;TraesCSU01G050000;TraesCS3B01G569900;TraesCS3D01G276200;TraesCS1A01G270300;TraesCS1D01G439300;TraesCS7D01G124900;TraesCS3B01G161100;TraesCSU01G044100;TraesCS1A01G006800;TraesCS7D01G374700;TraesCS1A01G149700;TraesCS7A01G215800;TraesCS7D01G461900;TraesCS1A01G006000;TraesCS2B01G240800;TraesCS5D01G452500;TraesCS7D01G217500;TraesCS2A01G052600;TraesCS3B01G086900;TraesCS1D01G082200;TraesCS7D01G368700;TraesCS2D01G216700;TraesCS4A01G384500;TraesCS5B01G284400;TraesCS3A01G056300;TraesCS4B01G237300;TraesCS1B01G007400;TraesCS2D01G013200;TraesCS3D01G501400;TraesCS1A01G312300;TraesCS4D01G003300;TraesCS2B01G241900;TraesCS1B01G091900;TraesCS6D01G112200;TraesCS6D01G242000;TraesCS4B01G009500;TraesCS4D01G089200;TraesCS2B01G040000;TraesCS1A01G073300;TraesCS4A01G207800;TraesCS1D01G430800;TraesCS2A01G041000;TraesCS3A01G493600;TraesCSU01G219500;TraesCS3A01G218000;TraesCS6A01G178500;TraesCS6A01G342000;TraesCS2A01G182400;TraesCS4A01G130300;TraesCS4B01G328400;TraesCS3D01G032300;TraesCS2D01G052800;TraesCS2A01G214000;TraesCS5B01G439400;TraesCS6A01G122000;TraesCS2A01G008900;TraesCS4A01G075600;TraesCS4A01G384600;TraesCS2B01G536500;TraesCS3B01G141500;TraesCS6B01G302400;TraesCS2D01G222000;TraesCS4A01G083900;TraesCS5D01G564000;TraesCS6B01G231000;TraesCS6D01G072300;TraesCS3B01G544700;TraesCS7B01G333700;TraesCS1D01G439500;TraesCS2B01G241800;TraesCS6D01G110000;TraesCS4B01G174300;TraesCS2B01G096000;TraesCS3D01G104000;TraesCS7B01G356800;TraesCS7D01G386600;TraesCS5A01G048600;TraesCS7B01G071100;TraesCS5D01G268600;TraesCS3D01G367200;TraesCS6A01G171800;TraesCS1B01G368200;TraesCS3A01G109500;TraesCS2B01G034700;TraesCS4D01G238600;TraesCS4A01G389600;TraesCS2D01G190200;TraesCS5B01G449500;TraesCS5B01G455500;TraesCS3B01G474400;TraesCS3A01G261800;TraesCS4D01G092000;TraesCS2B01G242500;TraesCS2D01G025500;TraesCS7A01G354000;TraesCSU01G194300;TraesCSU01G008200;TraesCS2D01G052300;TraesCS7D01G037700;TraesCS6B01G083500;TraesCS7B01G122800;TraesCS3B01G038900;TraesCS3D01G475800;TraesCS6B01G199700;TraesCS2D01G252600;TraesCS5A01G409700;TraesCS4B01G197500;TraesCS4B01G007400;TraesCS2D01G053300;TraesCS4A01G389700;TraesCS4B01G092500;TraesCS3B01G052600;TraesCS5D01G460700;TraesCS4A01G384800;TraesCS6B01G238900;TraesCS7B01G273000;TraesCS1B01G465000;TraesCS6B01G205900;TraesCS2A01G031400;TraesCS4D01G220500;TraesCS3D01G124200;TraesCS3B01G059000;TraesCS1D01G049000;TraesCS4D01G176300;TraesCSU01G008100;TraesCS3A01G016500;TraesCS4D01G325500;TraesCS5A01G406100;TraesCS1B01G460100;TraesCS5B01G429800;TraesCS6B01G229400;TraesCS7A01G317500;TraesCS5D01G268800</t>
  </si>
  <si>
    <t>TraesCS1B01G276900</t>
  </si>
  <si>
    <t>nucleoside phosphate binding</t>
  </si>
  <si>
    <t>TraesCS7B01G325900;TraesCS2B01G208900;TraesCS6B01G116600;TraesCS2D01G509400;TraesCS3B01G295000;TraesCS2A01G211900;TraesCS4B01G092400;TraesCS7A01G127100;TraesCS5D01G187700;TraesCS4A01G491600;TraesCS6B01G230400;TraesCS2D01G309500;TraesCS2D01G033200;TraesCS7A01G425900;TraesCS1D01G005400;TraesCS3D01G234300;TraesCS6A01G120000;TraesCS7D01G463700;TraesCS5A01G261400;TraesCS6B01G153100;TraesCS2D01G222300;TraesCS5B01G410900;TraesCS6B01G226000;TraesCS7A01G391100;TraesCS2B01G243000;TraesCS6B01G233800;TraesCS5D01G302000;TraesCS3A01G276200;TraesCS3D01G049000;TraesCS6B01G237600;TraesCS5D01G191400;TraesCS5D01G025500;TraesCS3B01G569800;TraesCS2A01G026600;TraesCS5A01G552200;TraesCS6B01G225700;TraesCS1A01G430200;TraesCS6D01G402500;TraesCS7B01G453400;TraesCS5A01G445700;TraesCS4D01G198000;TraesCS2A01G503800;TraesCS6B01G228100;TraesCS1D01G249000;TraesCS2B01G565300;TraesCS1A01G273600;TraesCS1D01G048900;TraesCS2B01G563800;TraesCSU01G076000;TraesCS2A01G371700;TraesCS2D01G511500;TraesCS3D01G072700;TraesCS6D01G359100;TraesCS2A01G371600;TraesCS3A01G049600;TraesCS2A01G510200;TraesCS2B01G572400;TraesCS2B01G477600;TraesCS3B01G128700;TraesCS1B01G439200;TraesCS7B01G326100;TraesCS2B01G519500;TraesCS7A01G042200;TraesCS3B01G588200;TraesCS6B01G231400;TraesCS7D01G365800;TraesCS7A01G460900;TraesCS1A01G343000;TraesCS1B01G355700;TraesCS1D01G381700;TraesCS2B01G042600;TraesCS6A01G276300;TraesCS3B01G310000;TraesCS6B01G225800;TraesCS2D01G028600;TraesCS5D01G019400;TraesCS6B01G353200;TraesCS3B01G555600;TraesCS1B01G062200;TraesCS2B01G084000;TraesCS4B01G343100;TraesCS1B01G006500;TraesCS3A01G230900;TraesCS3B01G321300;TraesCS3D01G500800;TraesCS1A01G340300;TraesCS1A01G342600;TraesCS4A01G331100;TraesCS6B01G238600;TraesCS2D01G364200;TraesCS5A01G261200;TraesCS2B01G284300;TraesCS1A01G332800;TraesCS1D01G344700;TraesCS1D01G431000;TraesCS3B01G084000;TraesCS7A01G226500;TraesCS2B01G043700;TraesCS4A01G474800;TraesCS7B01G292700;TraesCS2B01G066800;TraesCS5A01G072700;TraesCS5B01G063600;TraesCS4A01G445500;TraesCS6B01G226200;TraesCS7B01G273600;TraesCS2D01G002600;TraesCS3B01G032400;TraesCS2D01G493500;TraesCS4B01G240900;TraesCS6B01G235900;TraesCS1D01G439400;TraesCS3B01G353000;TraesCS5D01G004700;TraesCS3D01G048800;TraesCS6B01G374000;TraesCS7B01G000200;TraesCS2B01G067000;TraesCS2D01G137300;TraesCS7A01G374200;TraesCS2B01G084100;TraesCS1B01G062300;TraesCS6B01G232400;TraesCS2D01G039400;TraesCS4B01G106000;TraesCS4D01G270000;TraesCS6B01G238500;TraesCS1D01G013800;TraesCS2B01G521600;TraesCS1A01G235200;TraesCS2A01G299400;TraesCS2A01G589900;TraesCS1D01G271500;TraesCS1D01G076200;TraesCS6B01G212700;TraesCS2B01G100200;TraesCS6B01G231200;TraesCS4D01G109000;TraesCS5B01G454700;TraesCS1B01G410600;TraesCS7D01G436600;TraesCS5B01G184600;TraesCSU01G050000;TraesCS3B01G569900;TraesCS3D01G276200;TraesCS1D01G439300;TraesCS7D01G124900;TraesCS3B01G161100;TraesCSU01G044100;TraesCS1A01G006800;TraesCS7D01G374700;TraesCS1A01G149700;TraesCS7A01G215800;TraesCS7D01G461900;TraesCS1A01G006000;TraesCS2B01G240800;TraesCS5D01G452500;TraesCS7D01G217500;TraesCS2A01G052600;TraesCS3B01G086900;TraesCS1D01G082200;TraesCS7D01G368700;TraesCS2D01G216700;TraesCS4A01G384500;TraesCS5B01G284400;TraesCS3A01G056300;TraesCS1B01G007400;TraesCS2D01G013200;TraesCS3D01G501400;TraesCS1A01G312300;TraesCS4D01G003300;TraesCS2B01G241900;TraesCS1B01G091900;TraesCS6D01G112200;TraesCS6D01G242000;TraesCS4B01G009500;TraesCS4D01G089200;TraesCS2B01G040000;TraesCS1A01G073300;TraesCS4A01G207800;TraesCS1D01G430800;TraesCS2A01G041000;TraesCS3A01G493600;TraesCSU01G219500;TraesCS3A01G218000;TraesCS6A01G178500;TraesCS6A01G342000;TraesCS2A01G182400;TraesCS4A01G130300;TraesCS4B01G328400;TraesCS3D01G032300;TraesCS2D01G052800;TraesCS2A01G214000;TraesCS6A01G122000;TraesCS2A01G008900;TraesCS4A01G384600;TraesCS2B01G536500;TraesCS3B01G141500;TraesCS6B01G302400;TraesCS2D01G222000;TraesCS4A01G083900;TraesCS5D01G564000;TraesCS6B01G231000;TraesCS6D01G072300;TraesCS3B01G544700;TraesCS7B01G333700;TraesCS1D01G439500;TraesCS2B01G241800;TraesCS6D01G110000;TraesCS4B01G174300;TraesCS2B01G096000;TraesCS3D01G104000;TraesCS7B01G356800;TraesCS7D01G386600;TraesCS5A01G048600;TraesCS7B01G071100;TraesCS5D01G268600;TraesCS3D01G367200;TraesCS6A01G171800;TraesCS1B01G368200;TraesCS3A01G109500;TraesCS2B01G034700;TraesCS4A01G389600;TraesCS2D01G190200;TraesCS5B01G449500;TraesCS5B01G455500;TraesCS3B01G474400;TraesCS3A01G261800;TraesCS4D01G092000;TraesCS2B01G242500;TraesCS2D01G025500;TraesCS7A01G354000;TraesCSU01G194300;TraesCSU01G008200;TraesCS2D01G052300;TraesCS7D01G037700;TraesCS6B01G083500;TraesCS7B01G122800;TraesCS3B01G038900;TraesCS3D01G475800;TraesCS6B01G199700;TraesCS2D01G252600;TraesCS5A01G409700;TraesCS4B01G197500;TraesCS4B01G007400;TraesCS2D01G053300;TraesCS4A01G389700;TraesCS4B01G092500;TraesCS3B01G052600;TraesCS4A01G384800;TraesCS6B01G238900;TraesCS7B01G273000;TraesCS1B01G465000;TraesCS6B01G205900;TraesCS2A01G031400;TraesCS4D01G220500;TraesCS3D01G124200;TraesCS3B01G059000;TraesCS1D01G049000;TraesCS4D01G176300;TraesCSU01G008100;TraesCS3A01G016500;TraesCS4D01G325500;TraesCS5A01G406100;TraesCS1B01G460100;TraesCS5B01G429800;TraesCS6B01G229400;TraesCS7A01G317500;TraesCS5D01G268800</t>
  </si>
  <si>
    <t>TraesCS1B01G278700</t>
  </si>
  <si>
    <t>nucleotide binding</t>
  </si>
  <si>
    <t>TraesCS1B01G286800</t>
  </si>
  <si>
    <t>purine nucleotide binding</t>
  </si>
  <si>
    <t>TraesCS1B01G301900</t>
  </si>
  <si>
    <t>TraesCS6D01G359300;TraesCS5D01G233700;TraesCS4A01G311000;TraesCS7D01G142000;TraesCS5A01G226400;TraesCS5D01G233800;TraesCS4D01G195700;TraesCS7B01G474000;TraesCS4A01G109200;TraesCS4D01G253800;TraesCS5D01G460700;TraesCS6D01G300600;TraesCS5B01G153100;TraesCS5D01G565100;TraesCS4B01G195000;TraesCS7D01G536900</t>
  </si>
  <si>
    <t>TraesCS1B01G350400</t>
  </si>
  <si>
    <t>TraesCS2D01G218700;TraesCS1B01G122800;TraesCS5B01G468300;TraesCS2A01G196400;TraesCS1D01G039300;TraesCS2A01G196700;TraesCS2D01G377500;TraesCS2A01G212900;TraesCS2D01G377400;TraesCS2B01G398200;TraesCS2D01G493500;TraesCS7A01G259100;TraesCS2D01G204400;TraesCS5A01G160800;TraesCS2D01G204700;TraesCS2B01G224300;TraesCS1A01G037800;TraesCS1D01G103500;TraesCS2B01G224000;TraesCS2B01G521600</t>
  </si>
  <si>
    <t>TraesCS1B01G355700</t>
  </si>
  <si>
    <t>TraesCS1B01G368200</t>
  </si>
  <si>
    <t>TraesCS1B01G286800;TraesCS1A01G431300;TraesCS1D01G266000;TraesCS4B01G328100;TraesCS1A01G021000;TraesCS1A01G021400;TraesCS1D01G265900;TraesCS1A01G265600;TraesCS1A01G265700;TraesCS7A01G046600;TraesCS1D01G020600;TraesCS1B01G276800;TraesCS1B01G276500;TraesCS1A01G277900;TraesCS3A01G093900</t>
  </si>
  <si>
    <t>TraesCS1B01G381500</t>
  </si>
  <si>
    <t>TraesCS1B01G404000</t>
  </si>
  <si>
    <t>TraesCS2B01G445300;TraesCS2D01G261100;TraesCSU01G009100;TraesCS2A01G546600;TraesCS4B01G202000;TraesCS2D01G505600;TraesCS4A01G384700;TraesCS7A01G077500;TraesCS7D01G349400;TraesCS7A01G085700;TraesCS5D01G012000;TraesCS5D01G012100;TraesCS2D01G029700;TraesCS2B01G177600;TraesCS5D01G012300;TraesCS1B01G067500;TraesCS3B01G596800;TraesCS3A01G519000;TraesCS4D01G309900;TraesCS5A01G004600;TraesCS2A01G013400;TraesCS2A01G504900;TraesCS3D01G061900;TraesCS3A01G136100;TraesCSU01G031600;TraesCS3A01G061600;TraesCS5A01G004700;TraesCS1B01G001700;TraesCSU01G008800;TraesCS7D01G080400;TraesCSU01G008900;TraesCS7B01G354400;TraesCS2A01G019400</t>
  </si>
  <si>
    <t>TraesCS1B01G418800</t>
  </si>
  <si>
    <t>TraesCS7B01G325900;TraesCS7D01G009700;TraesCS6B01G225600;TraesCS4A01G341500;TraesCS2B01G369100;TraesCS3B01G295000;TraesCS4D01G232700;TraesCS7A01G127100;TraesCS2B01G489800;TraesCS4A01G491600;TraesCS1A01G070400;TraesCS4B01G026100;TraesCS7B01G370700;TraesCS4B01G031800;TraesCS1A01G069300;TraesCS2B01G359300;TraesCS3D01G475200;TraesCS5A01G526000;TraesCS6B01G153100;TraesCS6B01G171900;TraesCS4D01G069300;TraesCS1D01G039300;TraesCS2B01G243000;TraesCS5D01G302000;TraesCS3A01G276200;TraesCS3D01G049000;TraesCS6B01G237600;TraesCS5D01G191400;TraesCS2A01G405100;TraesCS5A01G552200;TraesCS6B01G225700;TraesCS7A01G427300;TraesCS2A01G503800;TraesCS2B01G565300;TraesCSU01G076000;TraesCS7B01G286100;TraesCS2D01G218700;TraesCS7D01G190100;TraesCS3A01G049600;TraesCS2A01G510200;TraesCS2B01G477600;TraesCS2D01G377400;TraesCS6D01G311400;TraesCS3D01G467600;TraesCS2B01G519500;TraesCS6B01G261700;TraesCS2B01G163200;TraesCS2B01G404200;TraesCS1A01G037800;TraesCS7D01G365800;TraesCS1B01G355700;TraesCS3A01G044100;TraesCS6B01G225800;TraesCS6D01G230500;TraesCS5D01G019400;TraesCS4B01G074100;TraesCS2B01G084000;TraesCS3D01G500800;TraesCS6B01G238600;TraesCS2D01G364200;TraesCS3B01G547300;TraesCS5A01G526200;TraesCS4A01G241700;TraesCS7B01G301600;TraesCS1D01G162000;TraesCS1D01G441600;TraesCS5A01G072700;TraesCS4A01G445500;TraesCS2D01G377500;TraesCS2D01G002600;TraesCS3B01G032400;TraesCS2D01G493500;TraesCS3B01G181300;TraesCS4B01G240900;TraesCS2D01G204400;TraesCS6D01G215000;TraesCS3D01G039400;TraesCS3A01G446200;TraesCS4A01G485000;TraesCS3D01G476500;TraesCS4D01G072800;TraesCS2D01G137300;TraesCS2B01G084100;TraesCS2B01G369000;TraesCS4B01G106000;TraesCS6B01G238500;TraesCS7D01G251900;TraesCS2B01G521600;TraesCS1B01G182000;TraesCS3D01G534200;TraesCS1A01G072300;TraesCS1D01G271500;TraesCS1B01G422700;TraesCS5B01G468300;TraesCS6B01G212700;TraesCS3D01G341900;TraesCS4D01G109000;TraesCS1B01G133300;TraesCS1B01G410600;TraesCS3D01G039300;TraesCS5B01G184600;TraesCSU01G050000;TraesCS7D01G124900;TraesCS5D01G038400;TraesCS5D01G250300;TraesCS1A01G006800;TraesCS2A01G139100;TraesCS3D01G493700;TraesCS7D01G461900;TraesCS6B01G058000;TraesCS2D01G349000;TraesCS1B01G090700;TraesCS2B01G521100;TraesCS7B01G156900;TraesCS7D01G217500;TraesCS2A01G331400;TraesCS5B01G476000;TraesCS2D01G216700;TraesCS3B01G380200;TraesCS2B01G580200;TraesCS4B01G098100;TraesCS6B01G231100;TraesCS1B01G007400;TraesCS2D01G013200;TraesCS4D01G003300;TraesCS6B01G233400;TraesCS1B01G091900;TraesCS6D01G112200;TraesCS2D01G550700;TraesCS2D01G382400;TraesCS4A01G207800;TraesCS3B01G395900;TraesCS3A01G493600;TraesCS2B01G594700;TraesCS1B01G404000;TraesCS6A01G342000;TraesCS2B01G152600;TraesCS4B01G328400;TraesCS2D01G052800;TraesCS2D01G409500;TraesCS2B01G580300;TraesCS6A01G122000;TraesCS4A01G075600;TraesCS2B01G536500;TraesCS2D01G321800;TraesCS3B01G141500;TraesCS5D01G477100;TraesCS2D01G222000;TraesCS6B01G231000;TraesCS6B01G237900;TraesCS6D01G072300;TraesCS2D01G204700;TraesCS7B01G333700;TraesCS2B01G096000;TraesCS3D01G104000;TraesCS7B01G356800;TraesCS7B01G071100;TraesCS2B01G034700;TraesCS5B01G394300;TraesCS5B01G455500;TraesCS3B01G474400;TraesCS3A01G261800;TraesCS2B01G242500;TraesCS2D01G383400;TraesCS2D01G025500;TraesCS3D01G477300;TraesCS6B01G083500;TraesCS7B01G122800;TraesCS3B01G038900;TraesCS2D01G564900;TraesCS3B01G267700;TraesCS2B01G304800;TraesCS4B01G197500;TraesCS3A01G040800;TraesCS1A01G266100;TraesCS3B01G526700;TraesCS3D01G403800;TraesCS4A01G240900;TraesCS3B01G140500;TraesCS4B01G092500;TraesCS2A01G343800;TraesCS2B01G594900;TraesCS6B01G238900;TraesCS1A01G095800;TraesCS1D01G410500;TraesCS6B01G226700;TraesCS3A01G016500;TraesCS4A01G187200;TraesCS6B01G227900;TraesCS4D01G227700;TraesCS5B01G255200;TraesCS2D01G550600;TraesCS1A01G107100;TraesCS2A01G590900;TraesCS5A01G321900;TraesCS2B01G208900;TraesCS1B01G345000;TraesCS3A01G124700;TraesCS2D01G509400;TraesCS3A01G067700;TraesCS2A01G211900;TraesCS4B01G092400;TraesCS7A01G259100;TraesCS5D01G187700;TraesCS6D01G281100;TraesCS7A01G425900;TraesCS1D01G103500;TraesCS6B01G238000;TraesCS2D01G349400;TraesCS4D01G350300;TraesCS7D01G337900;TraesCS7D01G463700;TraesCS1B01G122800;TraesCS2D01G222300;TraesCS5B01G410900;TraesCS3B01G258600;TraesCS6B01G226000;TraesCS2B01G402800;TraesCS6B01G233800;TraesCS5D01G025500;TraesCS3B01G039500;TraesCS7B01G411800;TraesCS5A01G445700;TraesCS2A01G196400;TraesCS4D01G198000;TraesCS6A01G220200;TraesCS1D01G249000;TraesCS6B01G230300;TraesCS4D01G142000;TraesCS1A01G273600;TraesCS1D01G048900;TraesCS2B01G563800;TraesCS1D01G141800;TraesCS2A01G371700;TraesCS2D01G511500;TraesCS3D01G072700;TraesCS2A01G350900;TraesCS6D01G359100;TraesCS2A01G371600;TraesCS5B01G187000;TraesCS6D01G053400;TraesCS7B01G326100;TraesCS2A01G212900;TraesCS2D01G132500;TraesCS5D01G251100;TraesCS6B01G229200;TraesCS5A01G160800;TraesCS7A01G042200;TraesCS3B01G588200;TraesCS6B01G231400;TraesCS1A01G203600;TraesCS1B01G277100;TraesCS7A01G460900;TraesCS2B01G224000;TraesCS3A01G226400;TraesCS6B01G239000;TraesCS6A01G276300;TraesCS3B01G310000;TraesCS7D01G189700;TraesCS7A01G489000;TraesCS1D01G056500;TraesCS2A01G588900;TraesCS3B01G555600;TraesCS1B01G062200;TraesCS1D01G054200;TraesCS4B01G343100;TraesCS1B01G006500;TraesCS2D01G142000;TraesCS2A01G385900;TraesCS1A01G340300;TraesCS1A01G342600;TraesCS2A01G467000;TraesCS6B01G230200;TraesCS4D01G350500;TraesCS5A01G261200;TraesCS3B01G266200;TraesCS5A01G196800;TraesCS1D01G344700;TraesCS1D01G431000;TraesCS2A01G350800;TraesCS3B01G084000;TraesCS4A01G474800;TraesCS1D01G412300;TraesCS7A01G492400;TraesCS5B01G063600;TraesCS6B01G226200;TraesCS2B01G398200;TraesCS6B01G235900;TraesCS1D01G402500;TraesCS4B01G231400;TraesCS3D01G048800;TraesCS6B01G374000;TraesCS2B01G067000;TraesCS7A01G374200;TraesCS1B01G062300;TraesCS6B01G232400;TraesCS3D01G036700;TraesCS4A01G186500;TraesCS2D01G039400;TraesCS1D01G013800;TraesCS3D01G478000;TraesCS6B01G276300;TraesCS1A01G235200;TraesCS2A01G299400;TraesCS2A01G350700;TraesCS7A01G031000;TraesCS2A01G589900;TraesCS1D01G076200;TraesCS6B01G231200;TraesCS5B01G454700;TraesCS3A01G406000;TraesCS3A01G411700;TraesCS3B01G569900;TraesCS3D01G276200;TraesCS1A01G270300;TraesCS2A01G588300;TraesCSU01G044100;TraesCS2A01G196700;TraesCS7D01G374700;TraesCS1A01G168100;TraesCS1A01G149700;TraesCS7A01G215800;TraesCS7B01G093800;TraesCS1A01G006000;TraesCS2B01G240800;TraesCS6D01G048900;TraesCS3B01G086900;TraesCS3B01G526000;TraesCS1D01G082200;TraesCS6B01G224900;TraesCS5D01G194400;TraesCS6B01G362900;TraesCS1B01G069200;TraesCS4A01G384500;TraesCS5B01G284400;TraesCS3A01G056300;TraesCS4D01G242100;TraesCS3D01G501400;TraesCS1B01G133400;TraesCS2B01G224300;TraesCS2B01G241900;TraesCS6D01G242000;TraesCS4B01G009500;TraesCS2D01G322100;TraesCS4D01G089200;TraesCS3D01G346200;TraesCS1A01G073300;TraesCS1D01G430800;TraesCS2D01G483100;TraesCS2A01G041000;TraesCSU01G219500;TraesCS5A01G464500;TraesCS5D01G019100;TraesCS5D01G194600;TraesCS1A01G235000;TraesCS2A01G182400;TraesCS7D01G475300;TraesCS1A01G072100;TraesCS4D01G285300;TraesCS2A01G214000;TraesCS4A01G384600;TraesCS4B01G356800;TraesCS4A01G083900;TraesCS3B01G544700;TraesCS6B01G227300;TraesCS5B01G475700;TraesCS6B01G229600;TraesCS2B01G241800;TraesCS2A01G592700;TraesCS5A01G048600;TraesCS4A01G288700;TraesCS5D01G268600;TraesCS4D01G286400;TraesCS2D01G402000;TraesCS7B01G278900;TraesCS6B01G041200;TraesCS1A01G113300;TraesCS2B01G051600;TraesCS2D01G190200;TraesCS2B01G341400;TraesCS1D01G114600;TraesCS4B01G142000;TraesCSU01G194300;TraesCSU01G008200;TraesCS2D01G348800;TraesCS4D01G023500;TraesCS7D01G037700;TraesCS4A01G485400;TraesCS2D01G252600;TraesCS5B01G402000;TraesCS6D01G198700;TraesCS7B01G241200;TraesCS7D01G491900;TraesCS4B01G007400;TraesCS2D01G053300;TraesCS3B01G356700;TraesCS4D01G008200;TraesCS6B01G231700;TraesCS3B01G052600;TraesCS6B01G416400;TraesCS6B01G230500;TraesCS7B01G273000;TraesCS4D01G220500;TraesCS3D01G124200;TraesCS3B01G059000;TraesCS4A01G065100;TraesCS1D01G049000;TraesCSU01G008100;TraesCS2D01G348900;TraesCS4D01G325500;TraesCS4B01G356600;TraesCS3B01G258100;TraesCS5A01G406100;TraesCS6B01G229400</t>
  </si>
  <si>
    <t>TraesCS1B01G420000</t>
  </si>
  <si>
    <t>regulation of hydrolase activity</t>
  </si>
  <si>
    <t>TraesCS1B01G422700</t>
  </si>
  <si>
    <t>TraesCS7D01G164500;TraesCS2B01G208900;TraesCS6B01G116600;TraesCS2A01G477000;TraesCS4B01G187800;TraesCS4A01G389700;TraesCS4D01G238600;TraesCS4D01G326400;TraesCS6B01G365900;TraesCS4A01G389600;TraesCS5A01G090600;TraesCS7A01G259100;TraesCS3B01G350500;TraesCS2D01G033200;TraesCS1A01G070400;TraesCS4B01G324000;TraesCS4D01G142000;TraesCS1A01G277900;TraesCS2A01G031400;TraesCS7B01G156900;TraesCS2B01G500100;TraesCS2B01G500200;TraesCS2B01G500300;TraesCS7A01G226500;TraesCS2D01G476400;TraesCS6A01G120000;TraesCS7D01G551400;TraesCS1D01G261400;TraesCS2A01G476800;TraesCS4D01G321000;TraesCS6B01G171900;TraesCS2A01G476700;TraesCS1B01G216300;TraesCS3D01G435300;TraesCS2A01G476500;TraesCS1B01G439200;TraesCS7B01G068300;TraesCS3A01G442700;TraesCS4B01G237300;TraesCS2D01G317800;TraesCS7A01G162600;TraesCS7D01G436600;TraesCS4A01G116400;TraesCS4D01G189200</t>
  </si>
  <si>
    <t>TraesCS1B01G437500</t>
  </si>
  <si>
    <t>alpha-amino acid metabolic process</t>
  </si>
  <si>
    <t>TraesCS7B01G241200;TraesCS3B01G395900;TraesCS2A01G196400;TraesCS2A01G196700;TraesCS4D01G232700;TraesCS1D01G103500;TraesCS1D01G141800;TraesCS2B01G521600;TraesCS7D01G337900;TraesCS4A01G065100;TraesCS2D01G218700;TraesCS4A01G075600;TraesCS1B01G122800;TraesCS5B01G468300;TraesCS1D01G039300;TraesCS2D01G377500;TraesCS2A01G212900;TraesCS2D01G377400;TraesCS2B01G398200;TraesCS2D01G493500;TraesCS4B01G240900;TraesCS2D01G204400;TraesCS5A01G160800;TraesCS4D01G242100;TraesCS2D01G204700;TraesCS2B01G224300;TraesCS4B01G231400;TraesCS1A01G037800;TraesCS2B01G224000;TraesCS1A01G270300</t>
  </si>
  <si>
    <t>TraesCS1B01G439200</t>
  </si>
  <si>
    <t>phenylpropanoid biosynthetic process</t>
  </si>
  <si>
    <t>TraesCS1B01G444700</t>
  </si>
  <si>
    <t>TraesCS6D01G020700;TraesCS3A01G124700;TraesCS2B01G369100;TraesCS2A01G196400;TraesCS2A01G196700;TraesCS2B01G369000;TraesCS2B01G489800;TraesCS2A01G467000;TraesCS1A01G070400;TraesCS7B01G370700;TraesCS2D01G349000;TraesCS6B01G238500;TraesCS1D01G103500;TraesCS3B01G354000;TraesCS2D01G349400;TraesCS4B01G328400;TraesCS2A01G350700;TraesCS1D01G080900;TraesCS2A01G350800;TraesCS2A01G350900;TraesCS2B01G125300;TraesCS2D01G218700;TraesCS2D01G348900;TraesCS2A01G107800;TraesCS2D01G348800;TraesCS2A01G107600;TraesCS4D01G325500;TraesCS5A01G072700;TraesCS1B01G122800;TraesCS5B01G468300;TraesCS6B01G230600;TraesCS7A01G262000;TraesCS1D01G039300;TraesCS2D01G377500;TraesCS3B01G258100;TraesCS2A01G212900;TraesCS2D01G377400;TraesCS2B01G398200;TraesCS2D01G204400;TraesCS1B01G410600;TraesCS2D01G204700;TraesCS1A01G203600;TraesCS2B01G224300;TraesCS1A01G037800;TraesCS2B01G224000;TraesCS3A01G226400;TraesCS1A01G270300</t>
  </si>
  <si>
    <t>TraesCS1B01G460800</t>
  </si>
  <si>
    <t>TraesCS7B01G325900;TraesCS7D01G009700;TraesCS6B01G225600;TraesCS4A01G341500;TraesCS2B01G369100;TraesCS3B01G295000;TraesCS4D01G232700;TraesCS7A01G127100;TraesCS2B01G489800;TraesCS4A01G491600;TraesCS1A01G070400;TraesCS4B01G026100;TraesCS7B01G370700;TraesCS4B01G031800;TraesCS1A01G069300;TraesCS2B01G359300;TraesCS3D01G475200;TraesCS5A01G526000;TraesCS6B01G153100;TraesCS6B01G171900;TraesCS4D01G069300;TraesCS1D01G039300;TraesCS2B01G243000;TraesCS5D01G302000;TraesCS3A01G276200;TraesCS3D01G049000;TraesCS6B01G237600;TraesCS5D01G191400;TraesCS2A01G405100;TraesCS5A01G552200;TraesCS6B01G225700;TraesCS7A01G427300;TraesCS2A01G503800;TraesCS2B01G565300;TraesCSU01G076000;TraesCS7B01G286100;TraesCS2D01G218700;TraesCS7D01G190100;TraesCS3A01G049600;TraesCS2A01G510200;TraesCS2B01G477600;TraesCS3B01G128700;TraesCS2D01G377400;TraesCS6D01G311400;TraesCS3D01G467600;TraesCS2B01G519500;TraesCS6B01G261700;TraesCS2B01G163200;TraesCS2B01G404200;TraesCS1A01G037800;TraesCS7D01G365800;TraesCS1B01G355700;TraesCS3A01G044100;TraesCS6B01G225800;TraesCS6D01G230500;TraesCS5D01G019400;TraesCS4B01G074100;TraesCS2B01G084000;TraesCS3D01G500800;TraesCS6B01G238600;TraesCS2D01G364200;TraesCS3B01G547300;TraesCS5A01G526200;TraesCS4A01G241700;TraesCS7B01G301600;TraesCS1D01G162000;TraesCS1D01G441600;TraesCS5A01G072700;TraesCS4A01G445500;TraesCS2D01G377500;TraesCS2D01G002600;TraesCS3B01G032400;TraesCS2D01G493500;TraesCS3B01G181300;TraesCS4B01G240900;TraesCS2D01G204400;TraesCS6D01G215000;TraesCS3D01G039400;TraesCS3A01G446200;TraesCS4A01G485000;TraesCS3D01G476500;TraesCS4D01G072800;TraesCS2D01G137300;TraesCS2B01G084100;TraesCS2B01G369000;TraesCS4B01G106000;TraesCS6B01G238500;TraesCS7D01G251900;TraesCS2B01G521600;TraesCS1B01G182000;TraesCS3D01G534200;TraesCS1A01G072300;TraesCS1D01G271500;TraesCS1B01G422700;TraesCS5B01G468300;TraesCS6B01G212700;TraesCS3D01G341900;TraesCS4D01G109000;TraesCS1B01G133300;TraesCS1B01G410600;TraesCS3D01G039300;TraesCS5B01G184600;TraesCSU01G050000;TraesCS7D01G124900;TraesCS5D01G038400;TraesCS3B01G161100;TraesCS5D01G250300;TraesCS1A01G006800;TraesCS2A01G139100;TraesCS3D01G493700;TraesCS7D01G461900;TraesCS6B01G058000;TraesCS2D01G349000;TraesCS1B01G090700;TraesCS2B01G521100;TraesCS7B01G156900;TraesCS7D01G217500;TraesCS2A01G331400;TraesCS5B01G476000;TraesCS2D01G216700;TraesCS3B01G380200;TraesCS2B01G580200;TraesCS4B01G098100;TraesCS6B01G231100;TraesCS1B01G007400;TraesCS2D01G013200;TraesCS4D01G003300;TraesCS6B01G233400;TraesCS1B01G091900;TraesCS6D01G112200;TraesCS2D01G550700;TraesCS2D01G382400;TraesCS4A01G207800;TraesCS3B01G395900;TraesCS3A01G493600;TraesCS2B01G594700;TraesCS1B01G404000;TraesCS6A01G342000;TraesCS2B01G152600;TraesCS4B01G328400;TraesCS2D01G052800;TraesCS2D01G409500;TraesCS2B01G580300;TraesCS6A01G122000;TraesCS4A01G075600;TraesCS2B01G536500;TraesCS2D01G321800;TraesCS3B01G141500;TraesCS5D01G477100;TraesCS2D01G222000;TraesCS6B01G231000;TraesCS6B01G237900;TraesCS6D01G072300;TraesCS2D01G204700;TraesCS7B01G333700;TraesCS2B01G096000;TraesCS3D01G104000;TraesCS7B01G356800;TraesCS7B01G071100;TraesCS3A01G109500;TraesCS2B01G034700;TraesCS5B01G394300;TraesCS5B01G455500;TraesCS3B01G474400;TraesCS3A01G261800;TraesCS2B01G242500;TraesCS7D01G276900;TraesCS2D01G383400;TraesCS2D01G025500;TraesCS3D01G477300;TraesCS6B01G083500;TraesCS7B01G122800;TraesCS3B01G038900;TraesCS2D01G564900;TraesCS3B01G267700;TraesCS2B01G304800;TraesCS4B01G197500;TraesCS3A01G040800;TraesCS1A01G266100;TraesCS3B01G526700;TraesCS3D01G403800;TraesCS4A01G240900;TraesCS6D01G020700;TraesCS3B01G140500;TraesCS4B01G092500;TraesCS2A01G343800;TraesCS2B01G594900;TraesCS6B01G238900;TraesCS1A01G095800;TraesCS1D01G410500;TraesCS6B01G226700;TraesCS3A01G016500;TraesCS4A01G187200;TraesCS6B01G227900;TraesCS4D01G227700;TraesCS5B01G255200;TraesCS2D01G550600;TraesCS1A01G107100;TraesCS2A01G590900;TraesCS5A01G321900;TraesCS2B01G208900;TraesCS1B01G345000;TraesCS5D01G342000;TraesCS3A01G124700;TraesCS2D01G509400;TraesCS3A01G067700;TraesCS2A01G211900;TraesCS4B01G092400;TraesCS7A01G259100;TraesCS5D01G187700;TraesCS6D01G281100;TraesCS7A01G425900;TraesCS1D01G103500;TraesCS6B01G238000;TraesCS2D01G349400;TraesCS4D01G350300;TraesCS7D01G337900;TraesCS7D01G463700;TraesCS1B01G122800;TraesCS2D01G222300;TraesCS5B01G410900;TraesCS3B01G258600;TraesCS6B01G226000;TraesCS2B01G402800;TraesCS6B01G233800;TraesCS5D01G025500;TraesCS6B01G239100;TraesCS3B01G039500;TraesCS7B01G411800;TraesCS4D01G326400;TraesCS5A01G445700;TraesCS2A01G196400;TraesCS4D01G198000;TraesCS6A01G220200;TraesCS1D01G249000;TraesCS6B01G230300;TraesCS4D01G142000;TraesCS1A01G273600;TraesCS1D01G048900;TraesCS2B01G563800;TraesCS1D01G141800;TraesCS2A01G371700;TraesCS2D01G511500;TraesCS3D01G072700;TraesCS2A01G350900;TraesCS6D01G359100;TraesCS2A01G371600;TraesCS5B01G187000;TraesCS6D01G053400;TraesCS7B01G326100;TraesCS2A01G212900;TraesCS2D01G132500;TraesCS5D01G251100;TraesCS6B01G229200;TraesCS5A01G160800;TraesCS7A01G042200;TraesCS3B01G588200;TraesCS6B01G231400;TraesCS1A01G203600;TraesCS1B01G277100;TraesCS7A01G460900;TraesCS2B01G224000;TraesCS3A01G226400;TraesCS6B01G239000;TraesCS6A01G276300;TraesCS3B01G310000;TraesCS7D01G189700;TraesCS7A01G489000;TraesCS1D01G056500;TraesCS2A01G588900;TraesCS3B01G555600;TraesCS1B01G062200;TraesCS1D01G054200;TraesCS4B01G343100;TraesCS1B01G006500;TraesCS2D01G142000;TraesCS2A01G385900;TraesCS1A01G340300;TraesCS1A01G342600;TraesCS2A01G467000;TraesCS6B01G230200;TraesCS4D01G350500;TraesCS5A01G261200;TraesCS3B01G266200;TraesCS5A01G196800;TraesCS1D01G344700;TraesCS7B01G038200;TraesCS1D01G431000;TraesCS2A01G350800;TraesCS3B01G084000;TraesCS4A01G474800;TraesCS1D01G412300;TraesCS7A01G492400;TraesCS5B01G063600;TraesCS6B01G226200;TraesCS2B01G398200;TraesCS6B01G235900;TraesCS1D01G402500;TraesCS4B01G231400;TraesCS3D01G048800;TraesCS6B01G374000;TraesCS2B01G067000;TraesCS7A01G374200;TraesCS1B01G062300;TraesCS6B01G232400;TraesCS3D01G036700;TraesCS4A01G186500;TraesCS2D01G039400;TraesCS1D01G013800;TraesCS3D01G478000;TraesCS6B01G276300;TraesCS1A01G235200;TraesCS2A01G299400;TraesCS2A01G350700;TraesCS7A01G031000;TraesCS2A01G589900;TraesCS1D01G076200;TraesCS6B01G231200;TraesCS5B01G454700;TraesCS3A01G406000;TraesCS3A01G411700;TraesCS3B01G569900;TraesCS3D01G276200;TraesCS1A01G270300;TraesCS2A01G588300;TraesCSU01G044100;TraesCS2A01G196700;TraesCS7D01G374700;TraesCS1A01G168100;TraesCS1A01G149700;TraesCS7A01G215800;TraesCS7B01G093800;TraesCS1A01G006000;TraesCS2B01G240800;TraesCS6D01G048900;TraesCS3B01G086900;TraesCS3B01G526000;TraesCS1D01G082200;TraesCS6B01G224900;TraesCS5D01G194400;TraesCS6B01G362900;TraesCS1B01G069200;TraesCS4A01G384500;TraesCS5B01G284400;TraesCS3A01G056300;TraesCS4D01G242100;TraesCS3D01G501400;TraesCS1B01G133400;TraesCS2B01G224300;TraesCS2B01G241900;TraesCS6D01G242000;TraesCS4B01G009500;TraesCS2D01G322100;TraesCS4D01G089200;TraesCS3D01G346200;TraesCS1A01G073300;TraesCS1D01G430800;TraesCS2D01G483100;TraesCS2A01G041000;TraesCSU01G219500;TraesCS5A01G464500;TraesCS5D01G019100;TraesCS5D01G194600;TraesCS1A01G235000;TraesCS2A01G182400;TraesCS7D01G475300;TraesCS1A01G072100;TraesCS4D01G285300;TraesCS2A01G214000;TraesCS4A01G384600;TraesCS4B01G356800;TraesCS4A01G083900;TraesCS3B01G544700;TraesCS6B01G227300;TraesCS5B01G475700;TraesCS6B01G229600;TraesCS2B01G241800;TraesCS2A01G592700;TraesCS5A01G048600;TraesCS4A01G288700;TraesCS5D01G268600;TraesCS4D01G286400;TraesCS2D01G402000;TraesCS7B01G278900;TraesCS6B01G041200;TraesCS1A01G113300;TraesCS2B01G051600;TraesCS2D01G190200;TraesCS2B01G341400;TraesCS1D01G114600;TraesCS4B01G142000;TraesCSU01G194300;TraesCSU01G008200;TraesCS2D01G348800;TraesCS4D01G023500;TraesCS7D01G037700;TraesCS6B01G230600;TraesCS3D01G475800;TraesCS4A01G485400;TraesCS2D01G252600;TraesCS5B01G402000;TraesCS6D01G198700;TraesCS7B01G241200;TraesCS7D01G491900;TraesCS4B01G007400;TraesCS2D01G053300;TraesCS3B01G356700;TraesCS4D01G008200;TraesCS6B01G231700;TraesCS3B01G052600;TraesCS6B01G416400;TraesCS6B01G230500;TraesCS7B01G273000;TraesCS4D01G220500;TraesCS3D01G124200;TraesCS3B01G059000;TraesCS4A01G065100;TraesCS1D01G049000;TraesCSU01G008100;TraesCS2D01G348900;TraesCS4D01G325500;TraesCS4B01G356600;TraesCS3B01G258100;TraesCS5A01G406100;TraesCS6B01G229400</t>
  </si>
  <si>
    <t>TraesCS1D01G005400</t>
  </si>
  <si>
    <t>serine-type endopeptidase inhibitor activity</t>
  </si>
  <si>
    <t>TraesCS1A01G431300;TraesCS1D01G266100;TraesCS1D01G266000;TraesCS4B01G328100;TraesCS1A01G021000;TraesCS3D01G094200;TraesCS1A01G021400;TraesCS1D01G265900;TraesCS1D01G265800;TraesCS1A01G265900;TraesCS1A01G265600;TraesCS1A01G265700;TraesCS1B01G276900;TraesCS1D01G020600;TraesCS1B01G276800;TraesCS1B01G276500;TraesCS3A01G093900</t>
  </si>
  <si>
    <t>TraesCS1D01G013800</t>
  </si>
  <si>
    <t>benzene-containing compound metabolic process</t>
  </si>
  <si>
    <t>TraesCS2B01G398200;TraesCS5A01G160800;TraesCS1A01G070400;TraesCS1A01G037800;TraesCS1B01G122800;TraesCS1D01G103500;TraesCS5B01G468300;TraesCS2A01G196400;TraesCS1D01G039300;TraesCS2D01G377400</t>
  </si>
  <si>
    <t>TraesCS1D01G020600</t>
  </si>
  <si>
    <t>TraesCS2B01G489800;TraesCS6D01G215000;TraesCS2A01G467000;TraesCS7A01G492400;TraesCS1D01G162000;TraesCS2D01G467000;TraesCS1B01G182000;TraesCS6A01G220200</t>
  </si>
  <si>
    <t>TraesCS1D01G038500</t>
  </si>
  <si>
    <t>TraesCS2A01G350800;TraesCS2B01G369000;TraesCS2D01G348900;TraesCS2D01G348800;TraesCS2D01G349000;TraesCS2B01G369100;TraesCS4D01G326400;TraesCS2A01G350700</t>
  </si>
  <si>
    <t>TraesCS1D01G047300</t>
  </si>
  <si>
    <t>protein metabolic process</t>
  </si>
  <si>
    <t>TraesCS7B01G325900;TraesCS2B01G208900;TraesCS6B01G225600;TraesCS1B01G345000;TraesCS2D01G509400;TraesCS3A01G067700;TraesCS3B01G295000;TraesCS2A01G211900;TraesCS4B01G092400;TraesCS7A01G127100;TraesCS5D01G187700;TraesCS4A01G491600;TraesCS1A01G070400;TraesCS7A01G425900;TraesCS2B01G359300;TraesCS6B01G238000;TraesCS4D01G350300;TraesCS5A01G526000;TraesCS7D01G463700;TraesCS6B01G153100;TraesCS6B01G171900;TraesCS2D01G222300;TraesCS5B01G410900;TraesCS6B01G226000;TraesCS2B01G402800;TraesCS2B01G243000;TraesCS6B01G233800;TraesCS5D01G302000;TraesCS3A01G276200;TraesCS3D01G049000;TraesCS6B01G237600;TraesCS5D01G191400;TraesCS5D01G025500;TraesCS5A01G552200;TraesCS6B01G225700;TraesCS5A01G445700;TraesCS6A01G220200;TraesCS2A01G503800;TraesCS1D01G249000;TraesCS6B01G230300;TraesCS2B01G565300;TraesCS1A01G273600;TraesCS1D01G048900;TraesCS2B01G563800;TraesCSU01G076000;TraesCS2A01G371700;TraesCS2D01G511500;TraesCS3D01G072700;TraesCS6D01G359100;TraesCS2A01G371600;TraesCS5B01G187000;TraesCS3A01G049600;TraesCS2A01G510200;TraesCS2B01G477600;TraesCS6D01G053400;TraesCS7B01G326100;TraesCS2D01G132500;TraesCS5D01G251100;TraesCS3D01G467600;TraesCS2B01G519500;TraesCS6B01G229200;TraesCS7A01G042200;TraesCS6B01G261700;TraesCS2B01G404200;TraesCS3B01G588200;TraesCS6B01G231400;TraesCS7D01G365800;TraesCS7A01G460900;TraesCS1B01G355700;TraesCS6A01G276300;TraesCS3B01G310000;TraesCS6B01G225800;TraesCS5D01G019400;TraesCS7D01G189700;TraesCS7A01G489000;TraesCS3B01G555600;TraesCS1B01G062200;TraesCS2B01G084000;TraesCS4B01G343100;TraesCS1B01G006500;TraesCS2A01G385900;TraesCS3D01G500800;TraesCS1A01G340300;TraesCS1A01G342600;TraesCS6B01G238600;TraesCS2D01G364200;TraesCS5A01G261200;TraesCS3B01G266200;TraesCS5A01G196800;TraesCS1D01G344700;TraesCS1D01G431000;TraesCS3B01G084000;TraesCS4A01G474800;TraesCS1D01G412300;TraesCS4A01G241700;TraesCS7B01G301600;TraesCS1D01G441600;TraesCS5B01G063600;TraesCS4A01G445500;TraesCS6B01G226200;TraesCS2D01G002600;TraesCS3B01G032400;TraesCS6D01G215000;TraesCS3D01G039400;TraesCS3A01G446200;TraesCS3D01G048800;TraesCS6B01G374000;TraesCS2B01G067000;TraesCS2D01G137300;TraesCS7A01G374200;TraesCS2B01G084100;TraesCS1B01G062300;TraesCS6B01G232400;TraesCS2D01G039400;TraesCS4B01G106000;TraesCS1D01G013800;TraesCS1A01G235200;TraesCS2A01G299400;TraesCS3D01G534200;TraesCS2A01G589900;TraesCS1D01G271500;TraesCS1D01G076200;TraesCS6B01G212700;TraesCS6B01G231200;TraesCS4D01G109000;TraesCS5B01G454700;TraesCS1B01G410600;TraesCS3A01G411700;TraesCS3D01G039300;TraesCS5B01G184600;TraesCSU01G050000;TraesCS3B01G569900;TraesCS3D01G276200;TraesCS7D01G124900;TraesCS5D01G250300;TraesCSU01G044100;TraesCS1A01G006800;TraesCS7D01G374700;TraesCS1A01G168100;TraesCS1A01G149700;TraesCS7A01G215800;TraesCS7D01G461900;TraesCS1A01G006000;TraesCS2B01G240800;TraesCS7D01G217500;TraesCS3B01G086900;TraesCS1D01G082200;TraesCS6B01G224900;TraesCS2D01G216700;TraesCS5D01G194400;TraesCS4B01G098100;TraesCS4A01G384500;TraesCS5B01G284400;TraesCS3A01G056300;TraesCS1B01G007400;TraesCS2D01G013200;TraesCS3D01G501400;TraesCS4D01G003300;TraesCS2B01G241900;TraesCS1B01G091900;TraesCS6D01G112200;TraesCS6D01G242000;TraesCS2D01G382400;TraesCS4B01G009500;TraesCS4D01G089200;TraesCS3D01G346200;TraesCS1A01G073300;TraesCS4A01G207800;TraesCS1D01G430800;TraesCS2A01G041000;TraesCS3A01G493600;TraesCSU01G219500;TraesCS5D01G194600;TraesCS6A01G342000;TraesCS1A01G235000;TraesCS2B01G152600;TraesCS2A01G182400;TraesCS4B01G328400;TraesCS7D01G475300;TraesCS2D01G052800;TraesCS2A01G214000;TraesCS2D01G409500;TraesCS6A01G122000;TraesCS4A01G384600;TraesCS2B01G536500;TraesCS3B01G141500;TraesCS2D01G222000;TraesCS6B01G231000;TraesCS6D01G072300;TraesCS3B01G544700;TraesCS6B01G227300;TraesCS6B01G229600;TraesCS7B01G333700;TraesCS2B01G241800;TraesCS2B01G096000;TraesCS3D01G104000;TraesCS7B01G356800;TraesCS5A01G048600;TraesCS7B01G071100;TraesCS5D01G268600;TraesCS2B01G034700;TraesCS6B01G041200;TraesCS2D01G190200;TraesCS5B01G455500;TraesCS3B01G474400;TraesCS3A01G261800;TraesCS2B01G242500;TraesCS2D01G383400;TraesCS2D01G025500;TraesCSU01G194300;TraesCSU01G008200;TraesCS7D01G037700;TraesCS7B01G122800;TraesCS3B01G038900;TraesCS2D01G252600;TraesCS3A01G040800;TraesCS4B01G007400;TraesCS2D01G053300;TraesCS3B01G140500;TraesCS3B01G356700;TraesCS6B01G231700;TraesCS4B01G092500;TraesCS3B01G052600;TraesCS6B01G238900;TraesCS7B01G273000;TraesCS1A01G095800;TraesCS3D01G124200;TraesCS3B01G059000;TraesCS1D01G049000;TraesCSU01G008100;TraesCS3A01G016500;TraesCS4D01G325500;TraesCS4B01G356600;TraesCS5A01G406100;TraesCS5B01G255200</t>
  </si>
  <si>
    <t>TraesCS1D01G056500</t>
  </si>
  <si>
    <t>TraesCS7B01G455700;TraesCS2B01G445500;TraesCS2A01G196400;TraesCS7A01G500100;TraesCS2A01G196700;TraesCS4D01G232700;TraesCS3D01G493700;TraesCS2B01G565800;TraesCS1D01G103500;TraesCS4D01G220500;TraesCS3B01G547300;TraesCS7D01G276900;TraesCS2D01G218700;TraesCS2B01G196500;TraesCS4A01G075600;TraesCS1B01G122800;TraesCS5B01G468300;TraesCS6B01G230600;TraesCS1D01G039300;TraesCS2D01G377500;TraesCS2A01G212900;TraesCS2D01G377400;TraesCS2B01G398200;TraesCS4A01G083900;TraesCS2D01G204400;TraesCS2D01G204700;TraesCS2B01G224300;TraesCS4B01G231400;TraesCSU01G008700;TraesCS1A01G037800;TraesCS2B01G224000;TraesCS7A01G537500</t>
  </si>
  <si>
    <t>TraesCS1D01G072900</t>
  </si>
  <si>
    <t>pattern binding</t>
  </si>
  <si>
    <t>TraesCS3D01G048800;TraesCS3B01G059000;TraesCS6B01G374000;TraesCS3A01G049600;TraesCS2A01G510200;TraesCS5B01G063600;TraesCS2D01G509400;TraesCS2B01G536500;TraesCS3B01G141500;TraesCS5A01G445700;TraesCS2D01G002600;TraesCS5B01G454700;TraesCS1A01G340300;TraesCS5B01G455500;TraesCS5D01G373800;TraesCS3B01G474400;TraesCS2B01G563800;TraesCS5A01G261200;TraesCS7A01G425900;TraesCSU01G076000;TraesCS3A01G261800;TraesCS6A01G342000;TraesCS3D01G124200;TraesCS5D01G268600</t>
  </si>
  <si>
    <t>TraesCS1D01G076100</t>
  </si>
  <si>
    <t>polysaccharide binding</t>
  </si>
  <si>
    <t>TraesCS1D01G076200</t>
  </si>
  <si>
    <t>phosphatidylethanolamine binding</t>
  </si>
  <si>
    <t>TraesCS7B01G013100;TraesCS7A01G115400;TraesCS7D01G111600</t>
  </si>
  <si>
    <t>TraesCS1D01G082200</t>
  </si>
  <si>
    <t>efflux transmembrane transporter activity</t>
  </si>
  <si>
    <t>TraesCS7D01G478800;TraesCS7B01G398100;TraesCS7A01G492400</t>
  </si>
  <si>
    <t>TraesCS1D01G084500</t>
  </si>
  <si>
    <t>auxin efflux transmembrane transporter activity</t>
  </si>
  <si>
    <t>TraesCS1D01G098000</t>
  </si>
  <si>
    <t>TraesCS1D01G098100</t>
  </si>
  <si>
    <t>glutathione transferase activity</t>
  </si>
  <si>
    <t>TraesCS1A01G186100;TraesCS1D01G191100;TraesCS4B01G059100;TraesCS4B01G059300</t>
  </si>
  <si>
    <t>TraesCS1D01G106700</t>
  </si>
  <si>
    <t>TraesCS6D01G359300;TraesCS5D01G233700;TraesCS4A01G311000;TraesCS7D01G142000;TraesCS5A01G226400;TraesCS5D01G233800;TraesCS5B01G023100;TraesCS4D01G195700;TraesCS7B01G474000;TraesCS4A01G109200;TraesCS4D01G253800;TraesCS5D01G460700;TraesCS6D01G300600;TraesCS5B01G153100;TraesCS5D01G565100;TraesCS4B01G195000;TraesCS7D01G536900</t>
  </si>
  <si>
    <t>TraesCS1D01G114600</t>
  </si>
  <si>
    <t>auxin efflux</t>
  </si>
  <si>
    <t>TraesCS1D01G162000</t>
  </si>
  <si>
    <t>TraesCS1D01G174100</t>
  </si>
  <si>
    <t>TraesCS3D01G367200;TraesCS2A01G026600;TraesCS2D01G028600;TraesCS2B01G040000;TraesCS6D01G020700;TraesCS7B01G297700;TraesCS2D01G481600;TraesCS6B01G353200;TraesCS2D01G483100;TraesCS3B01G161100;TraesCS3A01G109500;TraesCS4D01G232700;TraesCS5D01G460700;TraesCS2D01G309500;TraesCS4D01G270000;TraesCS2A01G482000;TraesCS3B01G380500;TraesCS3B01G380600;TraesCS6B01G238500;TraesCS2B01G284300;TraesCS3D01G514300;TraesCS2A01G052600;TraesCS2B01G521600;TraesCS7D01G368700;TraesCS7A01G354000;TraesCS2B01G066800;TraesCS5B01G439400;TraesCS2D01G052300;TraesCS5A01G261400;TraesCS2B01G572400;TraesCS4A01G075600;TraesCS5D01G276800;TraesCS3B01G128700;TraesCS7B01G273600;TraesCS7D01G391400;TraesCS3D01G475800;TraesCS6B01G302400;TraesCS2D01G493500;TraesCS5B01G429800;TraesCS5B01G366800;TraesCS7A01G317500;TraesCS6A01G381700;TraesCS4B01G231400;TraesCS3B01G353000;TraesCS5D01G268800;TraesCS1A01G402500;TraesCS1A01G270300</t>
  </si>
  <si>
    <t>TraesCS1D01G188900</t>
  </si>
  <si>
    <t>TraesCS5A01G229000;TraesCS6B01G374000;TraesCS2D01G509400;TraesCS5A01G445700;TraesCS4A01G364000;TraesCS5A01G464500;TraesCS1A01G340300;TraesCS5B01G455500;TraesCS3B01G474400;TraesCS2B01G563800;TraesCS5A01G261200;TraesCS7A01G425900;TraesCS2A01G425800;TraesCS6A01G342000;TraesCS2D01G423700;TraesCS5B01G476000;TraesCS2B01G446100;TraesCS7B01G286100;TraesCS2A01G510200;TraesCS5B01G063600;TraesCS5B01G099700;TraesCS2B01G536500;TraesCS5D01G238700;TraesCS5D01G477100;TraesCS2D01G002600;TraesCS7D01G181600;TraesCS5B01G454700;TraesCS5A01G545500;TraesCSU01G129500;TraesCS5B01G475700;TraesCS5D01G373800;TraesCS6D01G242000;TraesCS6B01G227900;TraesCS5A01G382800;TraesCS5D01G268600</t>
  </si>
  <si>
    <t>TraesCS1D01G191100</t>
  </si>
  <si>
    <t>organonitrogen compound catabolic process</t>
  </si>
  <si>
    <t>TraesCS2B01G369100;TraesCS6B01G231700;TraesCS2A01G196400;TraesCS2A01G196700;TraesCS2B01G369000;TraesCS7B01G370700;TraesCS2D01G349000;TraesCS1D01G103500;TraesCS2D01G349400;TraesCS2B01G521600;TraesCS4B01G328400;TraesCS2A01G350700;TraesCS2A01G350800;TraesCS2A01G350900;TraesCS2D01G218700;TraesCS2D01G348900;TraesCS2D01G348800;TraesCS1D01G441600;TraesCS4D01G325500;TraesCS1B01G122800;TraesCS5B01G468300;TraesCS1D01G039300;TraesCS2D01G377500;TraesCS2A01G212900;TraesCS2D01G377400;TraesCS2B01G398200;TraesCS2D01G493500;TraesCS6B01G231000;TraesCS2D01G204400;TraesCS5A01G160800;TraesCS1B01G410600;TraesCS2D01G204700;TraesCS1A01G203600;TraesCS2B01G224300;TraesCS1A01G037800;TraesCS2B01G224000</t>
  </si>
  <si>
    <t>TraesCS1D01G200900</t>
  </si>
  <si>
    <t>cysteine-type endopeptidase activity</t>
  </si>
  <si>
    <t>TraesCS3D01G534200;TraesCS2A01G385900;TraesCS2B01G404200;TraesCS2D01G382400;TraesCS2D01G383400;TraesCS2B01G402800</t>
  </si>
  <si>
    <t>TraesCS1D01G232800</t>
  </si>
  <si>
    <t>alpha-amylase activity</t>
  </si>
  <si>
    <t>TraesCS7B01G286100;TraesCS5B01G475700;TraesCS5D01G477100;TraesCS5A01G464500;TraesCS5B01G476000</t>
  </si>
  <si>
    <t>TraesCS1D01G239600</t>
  </si>
  <si>
    <t>TraesCS1D01G261400</t>
  </si>
  <si>
    <t>betaine-homocysteine S-methyltransferase activity</t>
  </si>
  <si>
    <t>TraesCS4A01G065100;TraesCS4D01G242100</t>
  </si>
  <si>
    <t>TraesCS1D01G265800</t>
  </si>
  <si>
    <t>glucose transmembrane transporter activity</t>
  </si>
  <si>
    <t>TraesCS4A01G066200;TraesCS4D01G243100</t>
  </si>
  <si>
    <t>TraesCS1D01G265900</t>
  </si>
  <si>
    <t>hexose:proton symporter activity</t>
  </si>
  <si>
    <t>TraesCS1D01G266000</t>
  </si>
  <si>
    <t>glucose:proton symporter activity</t>
  </si>
  <si>
    <t>TraesCS1D01G266100</t>
  </si>
  <si>
    <t>high-affinity glucose:proton symporter activity</t>
  </si>
  <si>
    <t>TraesCS1D01G271100</t>
  </si>
  <si>
    <t>basolateral plasma membrane</t>
  </si>
  <si>
    <t>TraesCS7D01G478800;TraesCS7A01G492400</t>
  </si>
  <si>
    <t>TraesCS1D01G271500</t>
  </si>
  <si>
    <t>basal part of cell</t>
  </si>
  <si>
    <t>TraesCS1D01G344700</t>
  </si>
  <si>
    <t>basal plasma membrane</t>
  </si>
  <si>
    <t>TraesCS1D01G344900</t>
  </si>
  <si>
    <t>TraesCS1D01G114600;TraesCS6B01G226700;TraesCS1B01G133300;TraesCS1B01G133400;TraesCS1A01G113300</t>
  </si>
  <si>
    <t>TraesCS1D01G402500</t>
  </si>
  <si>
    <t>response to stress</t>
  </si>
  <si>
    <t>TraesCS2B01G451700;TraesCS2B01G208900;TraesCS6B01G116600;TraesCS2A01G477000;TraesCS3D01G094200;TraesCS3A01G124700;TraesCS2D01G467000;TraesCS4D01G238600;TraesCS6B01G365900;TraesCS4A01G389600;TraesCS2A01G139100;TraesCS2D01G112300;TraesCS7A01G259100;TraesCS2D01G142000;TraesCS3B01G350500;TraesCS2B01G489800;TraesCS2A01G467000;TraesCS2D01G033200;TraesCS5B01G095800;TraesCS6B01G230200;TraesCS1A01G070400;TraesCS1A01G277900;TraesCS3A01G093900;TraesCS7B01G156900;TraesCS2B01G359300;TraesCS2A01G406000;TraesCS2B01G500200;TraesCS1D01G080900;TraesCS2B01G173500;TraesCS7A01G226500;TraesCS1A01G431300;TraesCS2A01G111700;TraesCS2D01G407700;TraesCS2B01G125300;TraesCS2A01G107800;TraesCS6A01G120000;TraesCS2A01G107600;TraesCS1D01G261400;TraesCS2A01G476800;TraesCS4D01G321000;TraesCS6B01G171900;TraesCS1B01G216300;TraesCS3D01G435300;TraesCS7A01G262000;TraesCS4D01G116700;TraesCS4B01G237300;TraesCS2D01G252600;TraesCS3A01G297200;TraesCS7B01G251200;TraesCS3D01G305300;TraesCS6B01G235900;TraesCS6D01G054900;TraesCS2D01G317800;TraesCS5D01G302000;TraesCS4B01G197500;TraesCS7D01G210500;TraesCS4A01G116400;TraesCS7D01G164500;TraesCS4B01G187800;TraesCS4A01G389700;TraesCS4D01G326400;TraesCS4D01G198000;TraesCS5A01G090600;TraesCS4B01G324000;TraesCS4D01G142000;TraesCS2A01G031400;TraesCS6B01G383200;TraesCS3B01G354000;TraesCS2B01G500100;TraesCS7D01G347300;TraesCS2B01G500300;TraesCS2B01G423700;TraesCS2D01G476400;TraesCS6B01G383800;TraesCS6B01G354400;TraesCS2D01G153100;TraesCS7D01G551400;TraesCS6B01G230900;TraesCS2A01G476700;TraesCS2A01G476500;TraesCS1B01G439200;TraesCS7B01G068300;TraesCS3A01G442700;TraesCS7B01G251100;TraesCS3A01G297100;TraesCS4D01G116600;TraesCS6B01G229400;TraesCS2B01G163200;TraesCS7A01G162600;TraesCS7D01G436600;TraesCS1A01G364000;TraesCS4D01G189200</t>
  </si>
  <si>
    <t>TraesCS1D01G412300</t>
  </si>
  <si>
    <t>auxin transmembrane transporter activity</t>
  </si>
  <si>
    <t>TraesCS1D01G415900</t>
  </si>
  <si>
    <t>TraesCS3A01G044100;TraesCS3B01G039500;TraesCS3A01G124700;TraesCS2A01G196400;TraesCS2A01G196700;TraesCS3D01G036700;TraesCS1D01G103500;TraesCS2B01G521600;TraesCS2D01G218700;TraesCS5A01G072700;TraesCS1B01G122800;TraesCS5B01G468300;TraesCS1D01G039300;TraesCS2D01G377500;TraesCS2A01G212900;TraesCS2D01G377400;TraesCS2B01G398200;TraesCS2D01G493500;TraesCS6B01G231000;TraesCS2D01G204400;TraesCS5A01G160800;TraesCS2D01G204700;TraesCS2B01G224300;TraesCS1A01G037800;TraesCS2B01G224000</t>
  </si>
  <si>
    <t>TraesCS1D01G422000</t>
  </si>
  <si>
    <t>negative regulation of nitrogen compound metabolic process</t>
  </si>
  <si>
    <t>TraesCS1B01G286800;TraesCS1A01G431300;TraesCS1D01G266000;TraesCS4B01G328100;TraesCS1A01G021000;TraesCS1A01G021400;TraesCS1D01G265900;TraesCS1A01G265600;TraesCS1A01G265700;TraesCS7A01G046600;TraesCS1D01G020600;TraesCS1B01G276800;TraesCS1B01G276500;TraesCS1A01G277900;TraesCS3A01G093900;TraesCS2B01G284300;TraesCS3B01G353000;TraesCS2B01G096000</t>
  </si>
  <si>
    <t>TraesCS2A01G011800</t>
  </si>
  <si>
    <t>TraesCS2A01G013400</t>
  </si>
  <si>
    <t>TraesCS1A01G168100;TraesCS3D01G346200;TraesCS2D01G409500;TraesCS6B01G261700;TraesCS6D01G215000;TraesCS7B01G301600;TraesCS1B01G345000;TraesCS5D01G250300;TraesCS3A01G446200;TraesCS5D01G251100;TraesCS6A01G220200</t>
  </si>
  <si>
    <t>TraesCS2A01G016000</t>
  </si>
  <si>
    <t>peptidase regulator activity</t>
  </si>
  <si>
    <t>TraesCS2A01G019400</t>
  </si>
  <si>
    <t>peptidase inhibitor activity</t>
  </si>
  <si>
    <t>TraesCS2A01G028700</t>
  </si>
  <si>
    <t>endopeptidase regulator activity</t>
  </si>
  <si>
    <t>TraesCS2A01G045400</t>
  </si>
  <si>
    <t>endopeptidase inhibitor activity</t>
  </si>
  <si>
    <t>TraesCS2A01G052600</t>
  </si>
  <si>
    <t>TraesCS3D01G367200;TraesCS7A01G354000;TraesCS2B01G066800;TraesCS2D01G052300;TraesCS5A01G261400;TraesCS2B01G572400;TraesCS2D01G483100;TraesCS3B01G161100;TraesCS3A01G109500;TraesCS3B01G128700;TraesCS7B01G273600;TraesCS3D01G475800;TraesCS6B01G302400;TraesCS5B01G429800;TraesCS7A01G317500;TraesCS6B01G230200;TraesCS4B01G031800;TraesCS6B01G238500;TraesCS2A01G052600;TraesCS5D01G268800;TraesCS7D01G368700</t>
  </si>
  <si>
    <t>TraesCS2A01G058300</t>
  </si>
  <si>
    <t>negative regulation of cellular metabolic process</t>
  </si>
  <si>
    <t>TraesCS2A01G107600</t>
  </si>
  <si>
    <t>TraesCS5A01G526000;TraesCS5B01G187000;TraesCS3D01G346200;TraesCS5D01G194400;TraesCS1D01G412300;TraesCS2D01G409500;TraesCS7B01G301600;TraesCS1B01G345000;TraesCS6B01G171900;TraesCS3B01G356700;TraesCS5D01G250300;TraesCS4B01G356600;TraesCS6D01G053400;TraesCS6B01G041200;TraesCS5D01G251100;TraesCS6A01G220200;TraesCS1A01G168100;TraesCS6B01G261700;TraesCS6D01G215000;TraesCS5D01G194600;TraesCS5A01G196800;TraesCS5B01G255200;TraesCS3A01G446200;TraesCS4D01G350300</t>
  </si>
  <si>
    <t>TraesCS2A01G107800</t>
  </si>
  <si>
    <t>TraesCS2A01G111700</t>
  </si>
  <si>
    <t>TraesCS2A01G139100</t>
  </si>
  <si>
    <t>phosphoribosylanthranilate isomerase activity</t>
  </si>
  <si>
    <t>TraesCS7D01G337900;TraesCS7B01G241200</t>
  </si>
  <si>
    <t>TraesCS2A01G145800</t>
  </si>
  <si>
    <t>TraesCSU01G009000;TraesCS2B01G040500;TraesCS3B01G362800;TraesCS4A01G070600;TraesCS7D01G439400;TraesCS2B01G040600;TraesCS6A01G175900;TraesCS3B01G144800;TraesCS7A01G189000;TraesCS7D01G189700;TraesCS5D01G038400;TraesCS3D01G514700;TraesCS1A01G424000;TraesCS3A01G124700;TraesCS3A01G279600;TraesCS6B01G347800;TraesCS2A01G028700;TraesCS1B01G080400;TraesCS5D01G140900;TraesCS7A01G427300;TraesCS7A01G450200;TraesCS4D01G142400;TraesCS7B01G093800;TraesCS2D01G031000;TraesCS2B01G521100;TraesCS3D01G126500;TraesCS6B01G238000;TraesCS3D01G126300;TraesCS2D01G270400;TraesCS5A01G433200;TraesCS6D01G021100;TraesCS2D01G029800;TraesCS7D01G190100;TraesCS3A01G507200;TraesCS1B01G361400;TraesCS3B01G145200;TraesCS7A01G370400;TraesCS4A01G485400;TraesCS7B01G312200;TraesCS7D01G405800;TraesCS5B01G148300;TraesCS6B01G227300;TraesCS4D01G311500;TraesCS3B01G362900</t>
  </si>
  <si>
    <t>TraesCS2A01G182400</t>
  </si>
  <si>
    <t>TraesCS2A01G211800</t>
  </si>
  <si>
    <t>TraesCS5D01G019100;TraesCS1D01G162000;TraesCS1B01G182000</t>
  </si>
  <si>
    <t>TraesCS2A01G211900</t>
  </si>
  <si>
    <t>TraesCS2A01G212900</t>
  </si>
  <si>
    <t>cellular protein metabolic process</t>
  </si>
  <si>
    <t>TraesCS7B01G325900;TraesCS2B01G208900;TraesCS6B01G225600;TraesCS2D01G509400;TraesCS3B01G295000;TraesCSU01G044100;TraesCS1A01G006800;TraesCS2A01G211900;TraesCS7D01G374700;TraesCS4B01G092400;TraesCS7A01G127100;TraesCS1A01G149700;TraesCS7A01G215800;TraesCS5D01G187700;TraesCS4A01G491600;TraesCS7D01G461900;TraesCS1A01G006000;TraesCS1A01G070400;TraesCS2B01G240800;TraesCS7A01G425900;TraesCS2B01G359300;TraesCS6B01G238000;TraesCS7D01G217500;TraesCS3B01G086900;TraesCS1D01G082200;TraesCS6B01G224900;TraesCS2D01G216700;TraesCS7D01G463700;TraesCS6B01G153100;TraesCS2D01G222300;TraesCS5B01G410900;TraesCS4A01G384500;TraesCS6B01G226000;TraesCS5B01G284400;TraesCS3A01G056300;TraesCS1B01G007400;TraesCS2B01G243000;TraesCS2D01G013200;TraesCS5D01G302000;TraesCS3A01G276200;TraesCS3D01G501400;TraesCS3D01G049000;TraesCS4D01G003300;TraesCS6B01G237600;TraesCS2B01G241900;TraesCS5D01G191400;TraesCS1B01G091900;TraesCS6D01G112200;TraesCS6D01G242000;TraesCS5D01G025500;TraesCS5A01G552200;TraesCS4B01G009500;TraesCS4D01G089200;TraesCS6B01G225700;TraesCS1A01G073300;TraesCS4A01G207800;TraesCS1D01G430800;TraesCS2A01G041000;TraesCS3A01G493600;TraesCS5A01G445700;TraesCSU01G219500;TraesCS2A01G503800;TraesCS1D01G249000;TraesCS6B01G230300;TraesCS2B01G565300;TraesCS1A01G273600;TraesCS1D01G048900;TraesCS2B01G563800;TraesCSU01G076000;TraesCS2A01G371700;TraesCS6A01G342000;TraesCS1A01G235000;TraesCS2D01G511500;TraesCS2A01G182400;TraesCS4B01G328400;TraesCS3D01G072700;TraesCS2D01G052800;TraesCS6D01G359100;TraesCS2A01G371600;TraesCS3A01G049600;TraesCS2A01G214000;TraesCS2A01G510200;TraesCS6A01G122000;TraesCS2B01G477600;TraesCS4A01G384600;TraesCS2B01G536500;TraesCS3B01G141500;TraesCS7B01G326100;TraesCS2D01G222000;TraesCS6D01G072300;TraesCS2B01G519500;TraesCS3B01G544700;TraesCS7A01G042200;TraesCS6B01G227300;TraesCS3B01G588200;TraesCS6B01G231400;TraesCS6B01G229600;TraesCS7B01G333700;TraesCS2B01G241800;TraesCS7D01G365800;TraesCS7A01G460900;TraesCS2B01G096000;TraesCS3D01G104000;TraesCS7B01G356800;TraesCS5A01G048600;TraesCS7B01G071100;TraesCS1B01G355700;TraesCS5D01G268600;TraesCS6A01G276300;TraesCS3B01G310000;TraesCS6B01G225800;TraesCS5D01G019400;TraesCS7D01G189700;TraesCS2B01G034700;TraesCS3B01G555600;TraesCS1B01G062200;TraesCS2B01G084000;TraesCS4B01G343100;TraesCS1B01G006500;TraesCS3D01G500800;TraesCS1A01G340300;TraesCS1A01G342600;TraesCS2D01G190200;TraesCS6B01G238600;TraesCS5B01G455500;TraesCS2D01G364200;TraesCS3B01G474400;TraesCS5A01G261200;TraesCS3A01G261800;TraesCS3B01G266200;TraesCS1D01G344700;TraesCS2B01G242500;TraesCS1D01G431000;TraesCS2D01G025500;TraesCS3B01G084000;TraesCS4A01G474800;TraesCSU01G194300;TraesCSU01G008200;TraesCS7D01G037700;TraesCS1D01G441600;TraesCS5B01G063600;TraesCS4A01G445500;TraesCS6B01G226200;TraesCS7B01G122800;TraesCS3B01G038900;TraesCS2D01G002600;TraesCS3B01G032400;TraesCS2D01G252600;TraesCS3D01G048800;TraesCS6B01G374000;TraesCS4B01G007400;TraesCS2D01G053300;TraesCS2B01G067000;TraesCS2D01G137300;TraesCS7A01G374200;TraesCS6B01G231700;TraesCS2B01G084100;TraesCS1B01G062300;TraesCS4B01G092500;TraesCS3B01G052600;TraesCS6B01G232400;TraesCS2D01G039400;TraesCS4B01G106000;TraesCS6B01G238900;TraesCS7B01G273000;TraesCS1D01G013800;TraesCS3D01G124200;TraesCS1A01G235200;TraesCS2A01G299400;TraesCS2A01G589900;TraesCS3B01G059000;TraesCS1D01G049000;TraesCSU01G008100;TraesCS1D01G271500;TraesCS3A01G016500;TraesCS4D01G325500;TraesCS1D01G076200;TraesCS6B01G212700;TraesCS5A01G406100;TraesCS6B01G231200;TraesCS4D01G109000;TraesCS5B01G454700;TraesCS1B01G410600;TraesCS5B01G184600;TraesCSU01G050000;TraesCS3B01G569900;TraesCS3D01G276200;TraesCS7D01G124900</t>
  </si>
  <si>
    <t>TraesCS2A01G214000</t>
  </si>
  <si>
    <t>TraesCS3A01G044100;TraesCS3A01G124700;TraesCS2B01G369100;TraesCS2A01G196700;TraesCS7A01G259100;TraesCS2B01G489800;TraesCS2A01G467000;TraesCS7B01G370700;TraesCS2D01G349000;TraesCS1B01G090700;TraesCS1D01G103500;TraesCS2D01G349400;TraesCS1D01G080900;TraesCS2A01G350800;TraesCS2B01G125300;TraesCS2A01G107800;TraesCS2D01G348800;TraesCS2A01G107600;TraesCS1D01G441600;TraesCS5A01G072700;TraesCS1B01G122800;TraesCS7A01G262000;TraesCS1D01G039300;TraesCS2D01G377500;TraesCS2B01G398200;TraesCS2D01G493500;TraesCS2D01G204400;TraesCS2B01G224300;TraesCS3B01G039500;TraesCS6B01G231700;TraesCS4D01G326400;TraesCS2A01G196400;TraesCS3D01G036700;TraesCS2B01G369000;TraesCS3B01G354000;TraesCS2B01G521600;TraesCS4B01G328400;TraesCS2A01G350700;TraesCS2A01G350900;TraesCS2D01G218700;TraesCS2D01G348900;TraesCS4D01G325500;TraesCS5B01G468300;TraesCS3B01G258100;TraesCS2A01G212900;TraesCS2D01G377400;TraesCS6B01G231000;TraesCS5A01G160800;TraesCS1B01G410600;TraesCS2D01G204700;TraesCS1A01G203600;TraesCS1A01G037800;TraesCS2B01G224000;TraesCS3A01G226400</t>
  </si>
  <si>
    <t>TraesCS2A01G259500</t>
  </si>
  <si>
    <t>TraesCS3B01G140500;TraesCS3B01G356700;TraesCS7A01G489000;TraesCS6B01G041200;TraesCS2A01G385900;TraesCS5D01G194600;TraesCS5A01G196800;TraesCS2B01G152600;TraesCS2D01G383400;TraesCS7D01G475300;TraesCS4D01G350300;TraesCS3D01G534200;TraesCS5A01G526000;TraesCS5B01G187000;TraesCS5D01G194400;TraesCS1D01G412300;TraesCS4A01G241700;TraesCS6B01G171900;TraesCS4B01G098100;TraesCS4B01G356600;TraesCS6D01G053400;TraesCS2B01G402800;TraesCS2D01G132500;TraesCS3D01G467600;TraesCS6B01G229200;TraesCS2B01G404200;TraesCS3D01G039400;TraesCS3A01G040800;TraesCS3A01G411700;TraesCS3D01G039300;TraesCS5B01G255200;TraesCS2D01G382400</t>
  </si>
  <si>
    <t>TraesCS2A01G261900</t>
  </si>
  <si>
    <t>secondary metabolite biosynthetic process</t>
  </si>
  <si>
    <t>TraesCS2B01G398200;TraesCS1A01G070400;TraesCS1A01G037800;TraesCS1B01G122800;TraesCS1D01G103500;TraesCS5B01G468300;TraesCS2A01G196400;TraesCS1D01G039300;TraesCS2D01G377400</t>
  </si>
  <si>
    <t>TraesCS2A01G307800</t>
  </si>
  <si>
    <t>hexose transmembrane transporter activity</t>
  </si>
  <si>
    <t>TraesCS2A01G313400</t>
  </si>
  <si>
    <t>TraesCS3A01G044100;TraesCS4A01G341500;TraesCS3A01G124700;TraesCS2B01G369100;TraesCS2A01G196700;TraesCS7A01G259100;TraesCS2B01G489800;TraesCS2A01G467000;TraesCS7B01G370700;TraesCS2D01G349000;TraesCS1B01G090700;TraesCS1D01G103500;TraesCS2D01G349400;TraesCS1D01G080900;TraesCS2A01G350800;TraesCS2B01G125300;TraesCS2A01G107800;TraesCS2D01G348800;TraesCS2A01G107600;TraesCS1D01G441600;TraesCS5A01G072700;TraesCS1B01G122800;TraesCS7A01G262000;TraesCS1D01G039300;TraesCS2D01G377500;TraesCS2B01G398200;TraesCS2D01G493500;TraesCS2D01G204400;TraesCS2B01G224300;TraesCS3B01G039500;TraesCS7D01G491900;TraesCS6B01G231700;TraesCS4D01G326400;TraesCS2A01G196400;TraesCS3D01G036700;TraesCS2B01G369000;TraesCS4D01G142000;TraesCS3B01G354000;TraesCS2B01G521600;TraesCS4B01G328400;TraesCS2A01G350700;TraesCS2A01G350900;TraesCS2D01G218700;TraesCS2D01G348900;TraesCS4D01G285300;TraesCS4D01G325500;TraesCS5B01G468300;TraesCS3B01G258100;TraesCS2A01G212900;TraesCS2D01G377400;TraesCS3D01G467600;TraesCS6B01G231000;TraesCS5A01G160800;TraesCS1B01G410600;TraesCS2D01G204700;TraesCS1A01G203600;TraesCS1A01G037800;TraesCS2B01G224000;TraesCS3A01G226400</t>
  </si>
  <si>
    <t>TraesCS2A01G342000</t>
  </si>
  <si>
    <t>TraesCS3D01G346200;TraesCS2D01G409500;TraesCS7B01G301600;TraesCS1B01G345000;TraesCS5D01G250300;TraesCS3A01G067700;TraesCS5D01G251100;TraesCS6A01G220200;TraesCS1A01G168100;TraesCS6B01G261700;TraesCS6D01G215000;TraesCS1A01G095800;TraesCS3A01G446200</t>
  </si>
  <si>
    <t>TraesCS2A01G350700</t>
  </si>
  <si>
    <t>organic anion transport</t>
  </si>
  <si>
    <t>TraesCS3D01G096500;TraesCS4A01G066200;TraesCS4D01G243100;TraesCS2B01G423700;TraesCS4D01G176300;TraesCS3B01G532300;TraesCS6B01G231800;TraesCS4B01G174300;TraesCS2A01G305900;TraesCS4D01G092000;TraesCS2A01G406000;TraesCS4A01G130300</t>
  </si>
  <si>
    <t>TraesCS2A01G350800</t>
  </si>
  <si>
    <t>TraesCS3D01G096500;TraesCS4A01G066200;TraesCS2B01G423700;TraesCS4D01G176300;TraesCS5D01G237800;TraesCS3B01G532300;TraesCS5A01G501500;TraesCS5B01G228500;TraesCS6B01G231800;TraesCS5D01G472000;TraesCS2A01G305900;TraesCS4D01G243100;TraesCS6B01G236600;TraesCS4B01G174300;TraesCS4D01G092000;TraesCS2A01G406000;TraesCS4A01G130300</t>
  </si>
  <si>
    <t>TraesCS2A01G350900</t>
  </si>
  <si>
    <t>alternative oxidase activity</t>
  </si>
  <si>
    <t>TraesCS2A01G438300;TraesCS2B01G459100;TraesCS2B01G459000</t>
  </si>
  <si>
    <t>TraesCS2A01G374700</t>
  </si>
  <si>
    <t>TraesCS3D01G096500;TraesCS5B01G520200;TraesCS2B01G451700;TraesCS3B01G366800;TraesCS2B01G208900;TraesCS5D01G361600;TraesCS2B01G182700;TraesCS2A01G305900;TraesCS7D01G374700;TraesCS3B01G350500;TraesCS5D01G349600;TraesCS2D01G198800;TraesCS6B01G228600;TraesCS6B01G236100;TraesCS3B01G413200;TraesCS2B01G521100;TraesCS6B01G238000;TraesCS3B01G086900;TraesCS4D01G350300;TraesCS5A01G526000;TraesCS2B01G446100;TraesCS2D01G348600;TraesCS1D01G261400;TraesCS6B01G153100;TraesCS5B01G410900;TraesCS4D01G063200;TraesCS5B01G284400;TraesCS5A01G004600;TraesCS6B01G227000;TraesCS6B01G229300;TraesCS2B01G243000;TraesCS6D01G106200;TraesCS1A01G312300;TraesCS2B01G241900;TraesCS5D01G191400;TraesCS1B01G091900;TraesCS4A01G198900;TraesCS5B01G219600;TraesCS7D01G080400;TraesCS5A01G342900;TraesCS6B01G380800;TraesCS4A01G207800;TraesCS5A01G529900;TraesCS4D01G326400;TraesCS4A01G033600;TraesCS4D01G142400;TraesCS1A01G197200;TraesCS1D01G048900;TraesCS2B01G563800;TraesCS2A01G259500;TraesCSU01G076000;TraesCS2B01G152600;TraesCS2D01G106400;TraesCS4A01G130300;TraesCS1B01G281200;TraesCS6D01G359100;TraesCS2B01G177600;TraesCS5A01G102500;TraesCS1A01G380900;TraesCS3A01G102800;TraesCS5A01G501500;TraesCS4A01G384600;TraesCS2B01G536500;TraesCS7D01G339700;TraesCS3D01G328900;TraesCS5D01G564000;TraesCS5A01G220400;TraesCS7D01G478800;TraesCS3B01G270800;TraesCS3B01G479400;TraesCS4B01G174300;TraesCS1A01G343000;TraesCS3A01G226400;TraesCS6B01G240900;TraesCS6A01G276300;TraesCS1A01G073200;TraesCS6A01G171800;TraesCS6B01G225800;TraesCS5D01G237800;TraesCS7D01G189700;TraesCS4A01G312700;TraesCS5B01G228500;TraesCS6B01G231800;TraesCS6B01G225000;TraesCS3B01G555600;TraesCS4A01G033500;TraesCS1A01G340300;TraesCS2A01G593300;TraesCS1A01G332800;TraesCS4D01G092000;TraesCS6A01G271800;TraesCS2A01G406000;TraesCS2B01G242500;TraesCS1A01G239300;TraesCS1D01G076100;TraesCS1B01G092000;TraesCS7A01G492400;TraesCS1D01G441600;TraesCS1B01G216300;TraesCS4B01G243500;TraesCS5B01G099700;TraesCS2D01G002600;TraesCS4B01G396600;TraesCS6B01G199700;TraesCS4A01G485400;TraesCS4B01G271900;TraesCS3B01G526300;TraesCS4A01G066200;TraesCS7B01G398100;TraesCS5A01G552800;TraesCS7A01G374200;TraesCS5D01G472000;TraesCS3B01G052600;TraesCS4D01G243100;TraesCS2B01G305900;TraesCS4A01G384800;TraesCS4B01G106000;TraesCS7B01G273000;TraesCS5D01G437200;TraesCS7D01G389500;TraesCS3D01G105000;TraesCS3A01G406800;TraesCS6D01G172700;TraesCS2B01G282400;TraesCS2B01G385200;TraesCS2B01G423700;TraesCS2D01G264200;TraesCS4D01G176300;TraesCS5B01G431200;TraesCS4D01G325500;TraesCS1A01G150100;TraesCS4B01G356600;TraesCS1D01G076200;TraesCS6B01G229000;TraesCS3B01G328800;TraesCS4D01G109000;TraesCS5D01G373800;TraesCS4A01G020100;TraesCS5B01G236300</t>
  </si>
  <si>
    <t>TraesCS2A01G405100</t>
  </si>
  <si>
    <t>TraesCS3B01G161100;TraesCS3A01G109500;TraesCS3B01G128700;TraesCS3D01G475800</t>
  </si>
  <si>
    <t>TraesCS2A01G406000</t>
  </si>
  <si>
    <t>orotate phosphoribosyltransferase activity</t>
  </si>
  <si>
    <t>TraesCS3D01G493700;TraesCS3B01G547300</t>
  </si>
  <si>
    <t>TraesCS2A01G425000</t>
  </si>
  <si>
    <t>orotidine-5'-phosphate decarboxylase activity</t>
  </si>
  <si>
    <t>TraesCS2A01G425800</t>
  </si>
  <si>
    <t>TraesCS5D01G038400;TraesCS2B01G369100;TraesCS4D01G326400;TraesCS7A01G427300;TraesCS2B01G369000;TraesCS2B01G489800;TraesCS4D01G142400;TraesCS2A01G467000;TraesCS4D01G142000;TraesCS7B01G370700;TraesCS2D01G349000;TraesCS2D01G349400;TraesCS4B01G328400;TraesCS2A01G350700;TraesCS2A01G350800;TraesCS2A01G350900;TraesCS2D01G348900;TraesCS2D01G348800;TraesCS7A01G492400;TraesCS4D01G325500;TraesCS3B01G258100;TraesCS3D01G467600;TraesCS1B01G410600;TraesCS1A01G203600;TraesCS3D01G224400;TraesCS3A01G226400;TraesCS2A01G405100</t>
  </si>
  <si>
    <t>TraesCS2A01G438300</t>
  </si>
  <si>
    <t>TraesCS2A01G449600</t>
  </si>
  <si>
    <t>TraesCS3D01G096500;TraesCS5B01G520200;TraesCS2B01G451700;TraesCS3B01G366800;TraesCS2B01G208900;TraesCS5D01G361600;TraesCS2B01G182700;TraesCS2A01G305900;TraesCS7D01G374700;TraesCS3B01G350500;TraesCS5D01G349600;TraesCS2D01G198800;TraesCS6B01G228600;TraesCS6B01G236100;TraesCS3B01G413200;TraesCS2B01G521100;TraesCS6B01G238000;TraesCS3B01G086900;TraesCS4D01G350300;TraesCS5A01G526000;TraesCS2B01G446100;TraesCS2D01G348600;TraesCS1D01G261400;TraesCS6B01G153100;TraesCS5B01G410900;TraesCS4D01G063200;TraesCS5B01G284400;TraesCS5A01G004600;TraesCS6B01G227000;TraesCS6B01G229300;TraesCS2B01G243000;TraesCS6D01G106200;TraesCS1A01G312300;TraesCS2B01G241900;TraesCS5D01G191400;TraesCS1B01G091900;TraesCS4A01G198900;TraesCS5B01G219600;TraesCS7D01G080400;TraesCS5A01G342900;TraesCS6B01G380800;TraesCS4A01G207800;TraesCS5A01G529900;TraesCS4A01G033600;TraesCS4D01G142400;TraesCS1A01G197200;TraesCS1D01G048900;TraesCS2B01G563800;TraesCS2A01G259500;TraesCSU01G076000;TraesCS2B01G152600;TraesCS2D01G106400;TraesCS4A01G130300;TraesCS1B01G281200;TraesCS6D01G359100;TraesCS2B01G177600;TraesCS5A01G102500;TraesCS1A01G380900;TraesCS3A01G102800;TraesCS5A01G501500;TraesCS4A01G384600;TraesCS2B01G536500;TraesCS3D01G328900;TraesCS5D01G564000;TraesCS5A01G220400;TraesCS7D01G478800;TraesCS3B01G270800;TraesCS3B01G479400;TraesCS4B01G174300;TraesCS1A01G343000;TraesCS3A01G226400;TraesCS6B01G240900;TraesCS6A01G276300;TraesCS1A01G073200;TraesCS6A01G171800;TraesCS6B01G225800;TraesCS5D01G237800;TraesCS7D01G189700;TraesCS4A01G312700;TraesCS5B01G228500;TraesCS6B01G231800;TraesCS6B01G225000;TraesCS3B01G555600;TraesCS4A01G033500;TraesCS1A01G340300;TraesCS2A01G593300;TraesCS1A01G332800;TraesCS4D01G092000;TraesCS6A01G271800;TraesCS2A01G406000;TraesCS2B01G242500;TraesCS1A01G239300;TraesCS1D01G076100;TraesCS1B01G092000;TraesCS7A01G492400;TraesCS1D01G441600;TraesCS1B01G216300;TraesCS4B01G243500;TraesCS5B01G099700;TraesCS2D01G002600;TraesCS4B01G396600;TraesCS6B01G199700;TraesCS4A01G485400;TraesCS4B01G271900;TraesCS3B01G526300;TraesCS4A01G066200;TraesCS7B01G398100;TraesCS5A01G552800;TraesCS7A01G374200;TraesCS5D01G472000;TraesCS3B01G052600;TraesCS4D01G243100;TraesCS2B01G305900;TraesCS4A01G384800;TraesCS4B01G106000;TraesCS7B01G273000;TraesCS5D01G437200;TraesCS7D01G389500;TraesCS3D01G105000;TraesCS3A01G406800;TraesCS6D01G172700;TraesCS2B01G282400;TraesCS2B01G385200;TraesCS2B01G423700;TraesCS2D01G264200;TraesCS4D01G176300;TraesCS5B01G431200;TraesCS4D01G325500;TraesCS1A01G150100;TraesCS4B01G356600;TraesCS1D01G076200;TraesCS6B01G229000;TraesCS3B01G328800;TraesCS4D01G109000;TraesCS5D01G373800;TraesCS4A01G020100;TraesCS5B01G236300</t>
  </si>
  <si>
    <t>TraesCS2A01G467000</t>
  </si>
  <si>
    <t>TraesCS4A01G075600;TraesCS4B01G231400;TraesCS4D01G232700</t>
  </si>
  <si>
    <t>TraesCS2A01G469900</t>
  </si>
  <si>
    <t>TraesCS2A01G476500</t>
  </si>
  <si>
    <t>TraesCS5D01G038400;TraesCS7A01G492400;TraesCS1D01G162000;TraesCS2D01G467000;TraesCS4D01G238600;TraesCS3B01G258100;TraesCS6A01G220200;TraesCS7A01G427300;TraesCS4B01G237300;TraesCS2B01G489800;TraesCS6D01G215000;TraesCS2A01G467000;TraesCS3D01G224400;TraesCS3A01G226400;TraesCS1B01G182000</t>
  </si>
  <si>
    <t>TraesCS2A01G476700</t>
  </si>
  <si>
    <t>regulation of auxin mediated signaling pathway</t>
  </si>
  <si>
    <t>TraesCS2A01G476800</t>
  </si>
  <si>
    <t>TraesCS2A01G477000</t>
  </si>
  <si>
    <t>negative regulation of cellular process</t>
  </si>
  <si>
    <t>TraesCS1B01G286800;TraesCS1A01G431300;TraesCS1D01G266000;TraesCS4B01G328100;TraesCS1A01G021000;TraesCS2B01G208900;TraesCS1A01G021400;TraesCS1D01G265900;TraesCS1A01G265600;TraesCS1A01G265700;TraesCS7A01G046600;TraesCS1D01G020600;TraesCS1B01G276800;TraesCS1B01G276500;TraesCS1A01G070400;TraesCS1A01G277900;TraesCS3A01G093900;TraesCS2B01G284300;TraesCS3B01G353000;TraesCS2B01G096000</t>
  </si>
  <si>
    <t>TraesCS2A01G482000</t>
  </si>
  <si>
    <t>TraesCS3D01G096500;TraesCS5B01G520200;TraesCS2B01G451700;TraesCS6A01G171800;TraesCS3B01G366800;TraesCS5D01G237800;TraesCS3D01G315000;TraesCS5B01G228500;TraesCS6B01G231800;TraesCS2A01G305900;TraesCS3B01G350500;TraesCS2D01G198800;TraesCS7A01G230200;TraesCS1A01G332800;TraesCS3B01G562500;TraesCS4D01G092000;TraesCS1A01G239300;TraesCS7A01G492400;TraesCS4B01G243500;TraesCS6B01G199700;TraesCS2D01G252600;TraesCS1A01G312300;TraesCS3B01G485100;TraesCS5B01G219600;TraesCS3A01G499300;TraesCS6B01G380800;TraesCS4A01G066200;TraesCS3D01G373700;TraesCS2B01G451600;TraesCS7B01G398100;TraesCS3B01G532300;TraesCS5D01G472000;TraesCS3D01G294000;TraesCS4D01G243100;TraesCS2B01G305900;TraesCS1A01G197200;TraesCS6B01G236600;TraesCS2A01G259500;TraesCS3D01G105000;TraesCS4A01G130300;TraesCS2B01G282400;TraesCS2D01G264200;TraesCS4D01G176300;TraesCS5A01G102500;TraesCS1A01G380900;TraesCS3A01G102800;TraesCS5A01G501500;TraesCS3A01G380600;TraesCS3D01G328900;TraesCS3B01G328800;TraesCS5A01G220400;TraesCS7D01G478800;TraesCS3A01G316300;TraesCS3B01G563400</t>
  </si>
  <si>
    <t>TraesCS2A01G503800</t>
  </si>
  <si>
    <t>hydrolase activity, acting on ether bonds</t>
  </si>
  <si>
    <t>TraesCS2D01G493500;TraesCS2B01G521600</t>
  </si>
  <si>
    <t>TraesCS2A01G513900</t>
  </si>
  <si>
    <t>trialkylsulfonium hydrolase activity</t>
  </si>
  <si>
    <t>TraesCS2A01G532400</t>
  </si>
  <si>
    <t>adenosylhomocysteinase activity</t>
  </si>
  <si>
    <t>TraesCS2A01G539600</t>
  </si>
  <si>
    <t>S-adenosylhomocysteine catabolic process</t>
  </si>
  <si>
    <t>TraesCS2A01G546600</t>
  </si>
  <si>
    <t>S-adenosylmethionine-homocysteine S-methyltransferase activity</t>
  </si>
  <si>
    <t>TraesCS2A01G555000</t>
  </si>
  <si>
    <t>monosaccharide transmembrane transporter activity</t>
  </si>
  <si>
    <t>TraesCS2A01G588300</t>
  </si>
  <si>
    <t>monosaccharide transmembrane transport</t>
  </si>
  <si>
    <t>TraesCS2A01G588900</t>
  </si>
  <si>
    <t>phosphoenolpyruvate carboxykinase (ATP) activity</t>
  </si>
  <si>
    <t>TraesCS4A01G083900;TraesCS4D01G220500</t>
  </si>
  <si>
    <t>TraesCS2A01G590900</t>
  </si>
  <si>
    <t>TraesCS2A01G592700</t>
  </si>
  <si>
    <t>TraesCSU01G009000;TraesCS2B01G040500;TraesCS3B01G362800;TraesCS4A01G070600;TraesCS7D01G439400;TraesCS2B01G040600;TraesCS6A01G175900;TraesCS3B01G144800;TraesCS7A01G189000;TraesCS7D01G189700;TraesCS5D01G038400;TraesCS3D01G514700;TraesCS1A01G424000;TraesCS3A01G124700;TraesCS3A01G279600;TraesCS6B01G347800;TraesCS2A01G028700;TraesCS2D01G093100;TraesCS1B01G080400;TraesCS5D01G140900;TraesCS7A01G427300;TraesCS3D01G493700;TraesCS7A01G450200;TraesCS4D01G142400;TraesCS7B01G093800;TraesCS2D01G031000;TraesCS2B01G521100;TraesCS3D01G126500;TraesCS6B01G238000;TraesCS3B01G547300;TraesCS3D01G126300;TraesCS2D01G270400;TraesCS5A01G433200;TraesCS6D01G021100;TraesCS2D01G029800;TraesCS7D01G190100;TraesCS3A01G507200;TraesCS1B01G361400;TraesCS3B01G145200;TraesCS7A01G370400;TraesCS4A01G485400;TraesCS7B01G312200;TraesCS7D01G405800;TraesCS5B01G148300;TraesCS6B01G227300;TraesCS1A01G211500;TraesCS4D01G311500;TraesCS3B01G362900</t>
  </si>
  <si>
    <t>TraesCS2A01G593300</t>
  </si>
  <si>
    <t>regulation of hydrogen peroxide metabolic process</t>
  </si>
  <si>
    <t>TraesCS4B01G237300;TraesCS2B01G208900;TraesCS1A01G070400;TraesCS4D01G238600</t>
  </si>
  <si>
    <t>TraesCS2B01G040000</t>
  </si>
  <si>
    <t>TraesCS1D01G080900;TraesCS2B01G173500;TraesCS2D01G407700;TraesCS2B01G125300;TraesCS2A01G107800;TraesCS2D01G153100;TraesCS2A01G107600;TraesCS5B01G099700;TraesCS2D01G467000;TraesCS7A01G262000;TraesCS4D01G116700;TraesCS7B01G251100;TraesCS3A01G297200;TraesCS7B01G251200;TraesCS3A01G297100;TraesCS3D01G305300;TraesCS4D01G116600;TraesCS6D01G054900;TraesCS2B01G489800;TraesCS2A01G467000;TraesCS3B01G354000;TraesCS7D01G347300</t>
  </si>
  <si>
    <t>TraesCS2B01G040500</t>
  </si>
  <si>
    <t>TraesCS2B01G040600</t>
  </si>
  <si>
    <t>S-adenosylhomocysteine metabolic process</t>
  </si>
  <si>
    <t>TraesCS2B01G066800</t>
  </si>
  <si>
    <t>gas transport</t>
  </si>
  <si>
    <t>TraesCS4B01G237300;TraesCS4D01G238600</t>
  </si>
  <si>
    <t>TraesCS2B01G096000</t>
  </si>
  <si>
    <t>oxygen transport</t>
  </si>
  <si>
    <t>TraesCS2B01G100200</t>
  </si>
  <si>
    <t>TraesCS6B01G226700;TraesCS1B01G133300;TraesCS1B01G133400;TraesCS1A01G113300</t>
  </si>
  <si>
    <t>TraesCS2B01G125300</t>
  </si>
  <si>
    <t>TraesCS2B01G137600</t>
  </si>
  <si>
    <t>TraesCS3A01G044100;TraesCS4A01G341500;TraesCS3A01G124700;TraesCS2B01G369100;TraesCS2A01G196700;TraesCS7A01G259100;TraesCS7B01G370700;TraesCS2D01G349000;TraesCS1B01G090700;TraesCS1D01G103500;TraesCS2D01G349400;TraesCS2A01G350800;TraesCS2D01G348800;TraesCS1D01G441600;TraesCS5A01G072700;TraesCS1B01G122800;TraesCS1D01G039300;TraesCS2D01G377500;TraesCS2B01G398200;TraesCS2D01G493500;TraesCS2D01G204400;TraesCS2B01G224300;TraesCS3B01G039500;TraesCS7D01G491900;TraesCS6B01G231700;TraesCS2A01G196400;TraesCS3D01G036700;TraesCS2B01G369000;TraesCS4D01G142000;TraesCS2B01G521600;TraesCS4B01G328400;TraesCS2A01G350700;TraesCS2A01G350900;TraesCS2D01G218700;TraesCS2D01G348900;TraesCS4D01G285300;TraesCS4D01G325500;TraesCS5B01G468300;TraesCS3B01G258100;TraesCS2A01G212900;TraesCS2D01G377400;TraesCS3D01G467600;TraesCS6B01G231000;TraesCS5A01G160800;TraesCS1B01G410600;TraesCS2D01G204700;TraesCS1A01G203600;TraesCS1A01G037800;TraesCS2B01G224000;TraesCS3A01G226400</t>
  </si>
  <si>
    <t>TraesCS2B01G145600</t>
  </si>
  <si>
    <t>TraesCS2D01G493500;TraesCS7B01G455700;TraesCS2B01G521600;TraesCS7A01G537500</t>
  </si>
  <si>
    <t>TraesCS2B01G171200</t>
  </si>
  <si>
    <t>TraesCS7B01G241200;TraesCS3B01G395900;TraesCS2A01G196400;TraesCS2A01G196700;TraesCS4D01G232700;TraesCS1D01G103500;TraesCS1D01G141800;TraesCS7D01G251900;TraesCS2B01G521600;TraesCS1A01G235200;TraesCS7D01G337900;TraesCS4A01G065100;TraesCS2D01G218700;TraesCS4A01G075600;TraesCS1B01G122800;TraesCS5B01G468300;TraesCS1D01G039300;TraesCS2D01G377500;TraesCS2A01G212900;TraesCS2D01G377400;TraesCS2B01G398200;TraesCS2D01G493500;TraesCS4B01G240900;TraesCS2D01G204400;TraesCS5A01G160800;TraesCS4D01G242100;TraesCS2D01G204700;TraesCS2B01G224300;TraesCS4B01G231400;TraesCS1A01G037800;TraesCS2B01G224000;TraesCS1A01G270300</t>
  </si>
  <si>
    <t>TraesCS2B01G173500</t>
  </si>
  <si>
    <t>TraesCS3D01G096500;TraesCS4A01G066200;TraesCS4D01G243100;TraesCS2B01G423700;TraesCS3B01G532300;TraesCS2A01G305900;TraesCS2A01G406000</t>
  </si>
  <si>
    <t>TraesCS2B01G177600</t>
  </si>
  <si>
    <t>TraesCS2B01G182700</t>
  </si>
  <si>
    <t>TraesCS2B01G196500</t>
  </si>
  <si>
    <t>'de novo' UMP biosynthetic process</t>
  </si>
  <si>
    <t>TraesCS2B01G208900</t>
  </si>
  <si>
    <t>TraesCS3D01G367200;TraesCS7A01G354000;TraesCS2B01G066800;TraesCS2D01G052300;TraesCS5A01G261400;TraesCS2B01G572400;TraesCS3B01G161100;TraesCS3A01G109500;TraesCS3B01G128700;TraesCS7B01G273600;TraesCS3D01G475800;TraesCS5B01G429800;TraesCS7A01G317500;TraesCS4D01G270000;TraesCS2A01G052600;TraesCS5D01G268800;TraesCS7D01G368700</t>
  </si>
  <si>
    <t>TraesCS2B01G224000</t>
  </si>
  <si>
    <t>glycogen (starch) synthase activity</t>
  </si>
  <si>
    <t>TraesCS7D01G190100;TraesCS7B01G093800;TraesCS7A01G189000</t>
  </si>
  <si>
    <t>TraesCS2B01G231500</t>
  </si>
  <si>
    <t>phospholipid transporter activity</t>
  </si>
  <si>
    <t>TraesCS4D01G176300;TraesCS4B01G174300;TraesCS4A01G130300</t>
  </si>
  <si>
    <t>TraesCS2B01G240800</t>
  </si>
  <si>
    <t>phospholipid-translocating ATPase activity</t>
  </si>
  <si>
    <t>TraesCS2B01G241800</t>
  </si>
  <si>
    <t>phospholipid transport</t>
  </si>
  <si>
    <t>TraesCS2B01G241900</t>
  </si>
  <si>
    <t>regulation of cellular protein metabolic process</t>
  </si>
  <si>
    <t>TraesCS1B01G286800;TraesCS1A01G431300;TraesCS1D01G266000;TraesCS4B01G328100;TraesCS1A01G021000;TraesCS1A01G021400;TraesCS1D01G265900;TraesCS1A01G265600;TraesCS1A01G265700;TraesCS7A01G046600;TraesCS1D01G020600;TraesCS1B01G276800;TraesCS6B01G238900;TraesCS1B01G276500;TraesCS1A01G277900;TraesCS3A01G093900</t>
  </si>
  <si>
    <t>TraesCS2B01G242500</t>
  </si>
  <si>
    <t>xylan catabolic process</t>
  </si>
  <si>
    <t>TraesCS3D01G467600;TraesCS4D01G142000</t>
  </si>
  <si>
    <t>TraesCS2B01G243000</t>
  </si>
  <si>
    <t>carbohydrate transmembrane transport</t>
  </si>
  <si>
    <t>TraesCS2B01G282400</t>
  </si>
  <si>
    <t>oxygen binding</t>
  </si>
  <si>
    <t>TraesCS2B01G284300</t>
  </si>
  <si>
    <t>lytic vacuole</t>
  </si>
  <si>
    <t>TraesCS2B01G304800</t>
  </si>
  <si>
    <t>regulation of cofactor metabolic process</t>
  </si>
  <si>
    <t>TraesCS2B01G341400</t>
  </si>
  <si>
    <t>FMN binding</t>
  </si>
  <si>
    <t>TraesCS2A01G026600;TraesCS2D01G028600;TraesCS2B01G040000;TraesCS2D01G309500;TraesCS6B01G353200;TraesCS2B01G284300;TraesCS3B01G353000</t>
  </si>
  <si>
    <t>TraesCS2B01G369000</t>
  </si>
  <si>
    <t>TraesCS5B01G108900;TraesCS5A01G104600;TraesCS1A01G312300;TraesCS5B01G095800;TraesCS1D01G261400;TraesCS6B01G230900;TraesCS1B01G216300</t>
  </si>
  <si>
    <t>TraesCS2B01G369100</t>
  </si>
  <si>
    <t>TraesCS3D01G346200;TraesCS1B01G345000;TraesCS3B01G140500;TraesCS3B01G356700;TraesCS5D01G250300;TraesCS3A01G067700;TraesCS6B01G231700;TraesCS7A01G489000;TraesCS6B01G041200;TraesCS6A01G220200;TraesCS1A01G168100;TraesCS2A01G385900;TraesCS1A01G095800;TraesCS5D01G194600;TraesCS5A01G196800;TraesCS2B01G152600;TraesCS2D01G383400;TraesCS7D01G475300;TraesCS4D01G350300;TraesCS3D01G534200;TraesCS5A01G526000;TraesCS5B01G187000;TraesCS5D01G194400;TraesCS1D01G412300;TraesCS2D01G409500;TraesCS4A01G241700;TraesCS7B01G301600;TraesCS6B01G171900;TraesCS1D01G441600;TraesCS4B01G098100;TraesCS4B01G356600;TraesCS6D01G053400;TraesCS2B01G402800;TraesCS2D01G132500;TraesCS5D01G251100;TraesCS3D01G467600;TraesCS6B01G229200;TraesCS6B01G261700;TraesCS6D01G215000;TraesCS2B01G404200;TraesCS3D01G039400;TraesCS3A01G040800;TraesCS3A01G411700;TraesCS3D01G039300;TraesCS5B01G255200;TraesCS2D01G382400;TraesCS3A01G446200</t>
  </si>
  <si>
    <t>TraesCS2B01G394300</t>
  </si>
  <si>
    <t>regulation of protein metabolic process</t>
  </si>
  <si>
    <t>TraesCS2B01G398200</t>
  </si>
  <si>
    <t>TraesCS1D01G410500;TraesCS7A01G259100;TraesCS1A01G266100;TraesCS3B01G380200;TraesCS1A01G069300;TraesCS7B01G156900;TraesCS1B01G277100;TraesCS3D01G341900</t>
  </si>
  <si>
    <t>TraesCS2B01G404200</t>
  </si>
  <si>
    <t>TraesCS1D01G080900;TraesCS2D01G493500;TraesCS6B01G231000;TraesCS2B01G125300;TraesCS2B01G489800;TraesCS2A01G107800;TraesCS2A01G107600;TraesCS2A01G467000;TraesCS3B01G354000;TraesCS7A01G262000;TraesCS2B01G521600</t>
  </si>
  <si>
    <t>TraesCS2B01G423700</t>
  </si>
  <si>
    <t>TraesCS2B01G445300</t>
  </si>
  <si>
    <t>TraesCS2B01G446100</t>
  </si>
  <si>
    <t>TraesCS2B01G451600</t>
  </si>
  <si>
    <t>TraesCS2B01G451700</t>
  </si>
  <si>
    <t>S-methyltransferase activity</t>
  </si>
  <si>
    <t>TraesCS2B01G459000</t>
  </si>
  <si>
    <t>TraesCS3D01G346200;TraesCS1B01G345000;TraesCS3B01G140500;TraesCS3B01G356700;TraesCS5D01G250300;TraesCS3A01G067700;TraesCS6B01G231700;TraesCS7A01G489000;TraesCS6B01G041200;TraesCS6A01G220200;TraesCS1A01G168100;TraesCS2A01G385900;TraesCS1A01G095800;TraesCS5D01G194600;TraesCS5A01G196800;TraesCS2B01G152600;TraesCS2D01G383400;TraesCS7D01G475300;TraesCS4D01G350300;TraesCS3D01G534200;TraesCS5A01G526000;TraesCS5B01G187000;TraesCS5D01G194400;TraesCS1D01G412300;TraesCS2D01G409500;TraesCS4A01G241700;TraesCS7B01G301600;TraesCS6B01G171900;TraesCS1D01G441600;TraesCS4B01G098100;TraesCS4B01G356600;TraesCS6D01G053400;TraesCS2B01G402800;TraesCS2D01G132500;TraesCS5D01G251100;TraesCS3D01G467600;TraesCS6B01G231000;TraesCS6B01G229200;TraesCS6B01G261700;TraesCS6D01G215000;TraesCS2B01G404200;TraesCS3D01G039400;TraesCS3A01G040800;TraesCS3A01G411700;TraesCS3D01G039300;TraesCS5B01G255200;TraesCS2D01G382400;TraesCS3A01G446200</t>
  </si>
  <si>
    <t>TraesCS2B01G459100</t>
  </si>
  <si>
    <t>TraesCS1D01G410500;TraesCS1A01G266100;TraesCS1B01G277100</t>
  </si>
  <si>
    <t>TraesCS2B01G471800</t>
  </si>
  <si>
    <t>systemic acquired resistance, salicylic acid mediated signaling pathway</t>
  </si>
  <si>
    <t>TraesCS2B01G477600</t>
  </si>
  <si>
    <t>regulation of reactive oxygen species metabolic process</t>
  </si>
  <si>
    <t>TraesCS2B01G500100</t>
  </si>
  <si>
    <t>TraesCS7D01G181600;TraesCS7B01G013100;TraesCS6D01G354100;TraesCS7A01G115400;TraesCS6B01G407500;TraesCS7D01G111600</t>
  </si>
  <si>
    <t>TraesCS2B01G500200</t>
  </si>
  <si>
    <t>TraesCS2B01G500300</t>
  </si>
  <si>
    <t>fructan beta-(2,6)-fructosidase activity</t>
  </si>
  <si>
    <t>TraesCS2B01G594900</t>
  </si>
  <si>
    <t>TraesCS2B01G513900</t>
  </si>
  <si>
    <t>asparaginase activity</t>
  </si>
  <si>
    <t>TraesCS3A01G067700</t>
  </si>
  <si>
    <t>TraesCS2B01G536500</t>
  </si>
  <si>
    <t>fructosyltransferase activity</t>
  </si>
  <si>
    <t>TraesCS4A01G485400</t>
  </si>
  <si>
    <t>TraesCS2B01G542000</t>
  </si>
  <si>
    <t>sucrose 1F-fructosyltransferase activity</t>
  </si>
  <si>
    <t>TraesCS2B01G560800</t>
  </si>
  <si>
    <t>adenosine 3',5'-bisphosphate transmembrane transporter activity</t>
  </si>
  <si>
    <t>TraesCS6B01G231800</t>
  </si>
  <si>
    <t>TraesCS2B01G565300</t>
  </si>
  <si>
    <t>coenzyme A transmembrane transporter activity</t>
  </si>
  <si>
    <t>TraesCS2B01G565800</t>
  </si>
  <si>
    <t>coenzyme A transport</t>
  </si>
  <si>
    <t>TraesCS2B01G580200</t>
  </si>
  <si>
    <t>adenosine 3',5'-bisphosphate transmembrane transport</t>
  </si>
  <si>
    <t>TraesCS2B01G580300</t>
  </si>
  <si>
    <t>coenzyme A transmembrane transport</t>
  </si>
  <si>
    <t>TraesCS2B01G594700</t>
  </si>
  <si>
    <t>TraesCS4A01G241700;TraesCS3B01G140500;TraesCS4B01G098100;TraesCS7A01G489000;TraesCS2D01G132500;TraesCS3D01G467600;TraesCS6B01G229200;TraesCS3D01G039400;TraesCS3A01G040800;TraesCS3A01G411700;TraesCS3D01G039300;TraesCS2B01G152600;TraesCS7D01G475300</t>
  </si>
  <si>
    <t>TraesCS2D01G002600</t>
  </si>
  <si>
    <t>regulation of response to stimulus</t>
  </si>
  <si>
    <t>TraesCS2D01G052800;TraesCS2B01G423700;TraesCS4D01G176300;TraesCS4D01G089200;TraesCS2B01G208900;TraesCS7B01G398100;TraesCS7A01G492400;TraesCS5A01G445700;TraesCS4B01G092400;TraesCS3A01G056300;TraesCS7D01G478800;TraesCS1A01G070400;TraesCS7D01G217500;TraesCS2A01G406000;TraesCS2B01G096000;TraesCS7B01G071100</t>
  </si>
  <si>
    <t>TraesCS2D01G013200</t>
  </si>
  <si>
    <t>TraesCS2D01G021500</t>
  </si>
  <si>
    <t>TraesCS5A01G526000;TraesCS5B01G187000;TraesCS5D01G194400;TraesCS1D01G412300;TraesCS6B01G171900;TraesCS3B01G356700;TraesCS4B01G356600;TraesCS6D01G053400;TraesCS6B01G041200;TraesCS5D01G194600;TraesCS5A01G196800;TraesCS5B01G255200;TraesCS4D01G350300</t>
  </si>
  <si>
    <t>TraesCS2D01G025500</t>
  </si>
  <si>
    <t>TraesCS2B01G445300;TraesCS5D01G233800;TraesCS2D01G509400;TraesCS2D01G505600;TraesCS7D01G447200;TraesCS2B01G489800;TraesCS4A01G491600;TraesCS5B01G153100;TraesCS7A01G425900;TraesCS2A01G469900;TraesCS5A01G360700;TraesCS2A01G107800;TraesCS5A01G226400;TraesCS7A01G175400;TraesCS4A01G109200;TraesCS7B01G253300;TraesCS5A01G004600;TraesCS3D01G061900;TraesCS3A01G061600;TraesCSU01G129500;TraesCS4A01G202300;TraesCS1B01G001700;TraesCS2A01G539300;TraesCS7A01G537500;TraesCS5D01G233700;TraesCS5D01G199900;TraesCS7B01G455700;TraesCS6A01G297500;TraesCS2A01G546600;TraesCS2B01G569100;TraesCS5A01G445700;TraesCS5A01G462600;TraesCS7A01G500100;TraesCS4A01G033600;TraesCS2A01G211800;TraesCS2B01G563800;TraesCS5A01G360600;TraesCS7B01G286100;TraesCS7A01G381200;TraesCS2A01G510200;TraesCS2B01G177600;TraesCS7D01G142000;TraesCS7D01G438700;TraesCS5D01G238700;TraesCS5D01G012300;TraesCS2A01G013400;TraesCS6B01G229200;TraesCS1A01G394900;TraesCS3A01G136100;TraesCS5A01G004700;TraesCS6B01G231400;TraesCS3B01G485000;TraesCS5A01G453200;TraesCS3B01G597000;TraesCS5D01G369800;TraesCS2B01G445500;TraesCS6B01G225000;TraesCS1A01G340300;TraesCS2A01G467000;TraesCS5A01G261200;TraesCS1A01G332800;TraesCS5B01G363400;TraesCS5D01G464000;TraesCS3B01G266200;TraesCS1D01G080900;TraesCS7A01G085700;TraesCS5D01G012200;TraesCS2D01G029700;TraesCS2A01G107600;TraesCS5B01G063600;TraesCS2D01G002600;TraesCS2A01G504900;TraesCS5B01G366800;TraesCS2A01G539100;TraesCS6B01G374000;TraesCS4A01G364000;TraesCS6B01G238500;TraesCS3B01G354000;TraesCS5B01G363300;TraesCS7A01G201800;TraesCS5B01G462200;TraesCS5D01G012100;TraesCS2B01G033000;TraesCS2D01G153100;TraesCS4B01G312300;TraesCS5B01G454700;TraesCS7A01G277500;TraesCS5A01G382800;TraesCSU01G009100;TraesCS4A01G278900;TraesCS5D01G293700;TraesCS4D01G253800;TraesCS4B01G106500;TraesCS5D01G324300;TraesCS2A01G425800;TraesCS2D01G423700;TraesCS5A01G303400;TraesCS5B01G476000;TraesCS5D01G012000;TraesCS6B01G224900;TraesCS2B01G446100;TraesCS4D01G103000;TraesCS5B01G303800;TraesCS4D01G195700;TraesCS7A01G262000;TraesCS2D01G021500;TraesCS3B01G596800;TraesCS4B01G237300;TraesCS6B01G231100;TraesCS5B01G473300;TraesCS3D01G305300;TraesCS5A01G545500;TraesCS4D01G242100;TraesCSU01G031600;TraesCS1A01G312300;TraesCS6D01G242000;TraesCSU01G008800;TraesCS7D01G080400;TraesCS1A01G127800;TraesCS7B01G354400;TraesCS5A01G464500;TraesCS6B01G236800;TraesCS6B01G236000;TraesCS1D01G239600;TraesCS6A01G342000;TraesCS7D01G347300;TraesCS4A01G130300;TraesCS7A01G459400;TraesCS6B01G230700;TraesCS2B01G536500;TraesCS5D01G477100;TraesCS4D01G032500;TraesCS4D01G309900;TraesCS5B01G475700;TraesCSU01G008700;TraesCS6B01G239400;TraesCS4B01G174300;TraesCS5D01G268600;TraesCS7D01G204900;TraesCS2D01G540000;TraesCS4D01G238600;TraesCS4A01G033500;TraesCS5B01G285300;TraesCS4A01G384700;TraesCS5B01G455500;TraesCS5D01G565100;TraesCS3B01G474400;TraesCS7A01G077500;TraesCS2B01G565800;TraesCS5A01G286100;TraesCS2B01G173500;TraesCS4B01G037600;TraesCS2B01G125300;TraesCS7B01G349100;TraesCS5A01G381100;TraesCS5B01G099700;TraesCS5D01G310500;TraesCS6B01G151000;TraesCS1B01G067500;TraesCS4D01G116700;TraesCS3D01G061700;TraesCS7B01G037400;TraesCS5A01G318000;TraesCS4A01G202100;TraesCS6B01G239300;TraesCS4B01G271900;TraesCS2A01G019400;TraesCS2D01G261100;TraesCS5A01G229000;TraesCS6D01G020700;TraesCS4B01G202000;TraesCS6B01G231700;TraesCS6D01G033100;TraesCS5B01G285400;TraesCS5D01G460700;TraesCS6D01G300600;TraesCS1A01G095800;TraesCS7D01G349400;TraesCS1A01G239400;TraesCS7B01G359700;TraesCS2A01G539600;TraesCS6D01G359300;TraesCS4A01G065100;TraesCS4D01G103300;TraesCS4D01G176300;TraesCS4A01G311000;TraesCS2D01G157300;TraesCS7A01G136500;TraesCS3A01G519000;TraesCS7D01G181600;TraesCS4D01G116600;TraesCS5B01G429800;TraesCS6B01G227100;TraesCS6B01G231600;TraesCS5D01G373800;TraesCS1A01G276800;TraesCS6B01G227900;TraesCSU01G008900;TraesCS5D01G042800;TraesCS3D01G129200</t>
  </si>
  <si>
    <t>TraesCS2D01G028600</t>
  </si>
  <si>
    <t>TraesCS7B01G325900;TraesCS2B01G208900;TraesCS6B01G225600;TraesCS1B01G345000;TraesCS5D01G342000;TraesCS3A01G124700;TraesCS2D01G509400;TraesCS3A01G067700;TraesCS2B01G369100;TraesCS3B01G295000;TraesCS2A01G211900;TraesCS4D01G232700;TraesCS4B01G092400;TraesCS7A01G127100;TraesCS5D01G187700;TraesCS4A01G491600;TraesCS1A01G070400;TraesCS7B01G370700;TraesCS7A01G425900;TraesCS1D01G103500;TraesCS2B01G359300;TraesCS6B01G238000;TraesCS2D01G349400;TraesCS4D01G350300;TraesCS5A01G526000;TraesCS7D01G337900;TraesCS7D01G463700;TraesCS6B01G153100;TraesCS6B01G171900;TraesCS1B01G122800;TraesCS2D01G222300;TraesCS5B01G410900;TraesCS6B01G226000;TraesCS1D01G039300;TraesCS2B01G402800;TraesCS2B01G243000;TraesCS6B01G233800;TraesCS5D01G302000;TraesCS3A01G276200;TraesCS3D01G049000;TraesCS6B01G237600;TraesCS5D01G191400;TraesCS5D01G025500;TraesCS5A01G552200;TraesCS3B01G039500;TraesCS6B01G225700;TraesCS5A01G445700;TraesCS2A01G196400;TraesCS4D01G198000;TraesCS6A01G220200;TraesCS2A01G503800;TraesCS1D01G249000;TraesCS6B01G230300;TraesCS2B01G565300;TraesCS1A01G273600;TraesCS1D01G048900;TraesCS2B01G563800;TraesCSU01G076000;TraesCS1D01G141800;TraesCS2A01G371700;TraesCS2D01G511500;TraesCS3D01G072700;TraesCS2A01G350900;TraesCS6D01G359100;TraesCS2A01G371600;TraesCS2D01G218700;TraesCS5B01G187000;TraesCS3A01G049600;TraesCS2A01G510200;TraesCS2B01G477600;TraesCS3B01G128700;TraesCS6D01G053400;TraesCS7B01G326100;TraesCS2A01G212900;TraesCS2D01G132500;TraesCS2D01G377400;TraesCS5D01G251100;TraesCS3D01G467600;TraesCS2B01G519500;TraesCS6B01G229200;TraesCS5A01G160800;TraesCS7A01G042200;TraesCS6B01G261700;TraesCS2B01G163200;TraesCS2B01G404200;TraesCS3B01G588200;TraesCS6B01G231400;TraesCS1A01G203600;TraesCS1A01G037800;TraesCS7D01G365800;TraesCS7A01G460900;TraesCS2B01G224000;TraesCS6B01G239000;TraesCS1B01G355700;TraesCS6A01G276300;TraesCS3A01G044100;TraesCS3B01G310000;TraesCS6B01G225800;TraesCS5D01G019400;TraesCS7D01G189700;TraesCS7A01G489000;TraesCS3B01G555600;TraesCS1B01G062200;TraesCS2B01G084000;TraesCS4B01G343100;TraesCS1B01G006500;TraesCS2D01G142000;TraesCS2A01G385900;TraesCS3D01G500800;TraesCS1A01G340300;TraesCS1A01G342600;TraesCS6B01G238600;TraesCS6B01G230200;TraesCS2D01G364200;TraesCS5A01G261200;TraesCS3B01G266200;TraesCS5A01G196800;TraesCS1D01G344700;TraesCS3B01G547300;TraesCS1D01G431000;TraesCS2A01G350800;TraesCS3B01G084000;TraesCS4A01G474800;TraesCS1D01G412300;TraesCS4A01G241700;TraesCS7B01G301600;TraesCS7A01G492400;TraesCS1D01G441600;TraesCS5A01G072700;TraesCS5B01G063600;TraesCS4A01G445500;TraesCS6B01G226200;TraesCS2D01G377500;TraesCS2D01G002600;TraesCS3B01G032400;TraesCS2B01G398200;TraesCS2D01G493500;TraesCS3B01G181300;TraesCS4B01G240900;TraesCS2D01G204400;TraesCS6B01G235900;TraesCS6D01G215000;TraesCS3D01G039400;TraesCS4B01G231400;TraesCS6A01G232500;TraesCS3A01G446200;TraesCS3D01G048800;TraesCS6B01G374000;TraesCS2B01G067000;TraesCS2D01G137300;TraesCS7A01G374200;TraesCS2B01G084100;TraesCS1B01G062300;TraesCS6B01G232400;TraesCS3D01G036700;TraesCS2B01G369000;TraesCS2D01G039400;TraesCS4B01G106000;TraesCS1D01G013800;TraesCS7D01G251900;TraesCS2B01G521600;TraesCS1A01G235200;TraesCS2A01G299400;TraesCS2A01G350700;TraesCS3D01G534200;TraesCS7A01G031000;TraesCS2A01G589900;TraesCS1D01G271500;TraesCS5B01G468300;TraesCS1D01G076200;TraesCS6B01G212700;TraesCS6B01G231200;TraesCS4D01G109000;TraesCS5B01G454700;TraesCS1B01G410600;TraesCS3A01G406000;TraesCS3A01G411700;TraesCS3D01G039300;TraesCS5B01G184600;TraesCSU01G050000;TraesCS3B01G569900;TraesCS3D01G276200;TraesCS1A01G270300;TraesCS7D01G124900;TraesCS3B01G161100;TraesCS5D01G250300;TraesCSU01G044100;TraesCS1A01G006800;TraesCS2A01G139100;TraesCS2A01G196700;TraesCS7D01G374700;TraesCS1A01G168100;TraesCS1A01G149700;TraesCS7A01G215800;TraesCS3D01G493700;TraesCS7D01G461900;TraesCS1A01G006000;TraesCS2B01G240800;TraesCS2D01G349000;TraesCS7D01G217500;TraesCS2A01G331400;TraesCS3B01G086900;TraesCS1D01G082200;TraesCS6B01G224900;TraesCS2D01G216700;TraesCS5D01G194400;TraesCS4B01G098100;TraesCS4A01G384500;TraesCS5B01G284400;TraesCS3A01G056300;TraesCS6B01G231100;TraesCS1B01G007400;TraesCS2D01G013200;TraesCS4D01G242100;TraesCS3D01G501400;TraesCS4D01G003300;TraesCS6B01G233400;TraesCS2B01G224300;TraesCS2B01G241900;TraesCS1B01G091900;TraesCS6D01G112200;TraesCS6D01G242000;TraesCS2D01G382400;TraesCS4B01G009500;TraesCS4D01G089200;TraesCS3D01G346200;TraesCS1A01G073300;TraesCS4A01G207800;TraesCS3B01G395900;TraesCS1D01G430800;TraesCS2A01G041000;TraesCS3A01G493600;TraesCSU01G219500;TraesCS1B01G404000;TraesCS5D01G194600;TraesCS6A01G342000;TraesCS1A01G235000;TraesCS2B01G152600;TraesCS2A01G182400;TraesCS4B01G328400;TraesCS7D01G475300;TraesCS2D01G052800;TraesCS2A01G214000;TraesCS2D01G409500;TraesCS6A01G122000;TraesCS4A01G075600;TraesCS4A01G384600;TraesCS2B01G536500;TraesCS3B01G141500;TraesCS2D01G222000;TraesCS6B01G231000;TraesCS6B01G237900;TraesCS6D01G072300;TraesCS3B01G544700;TraesCS6B01G227300;TraesCS2D01G204700;TraesCS6B01G229600;TraesCS7B01G333700;TraesCS2B01G241800;TraesCS2A01G592700;TraesCS2B01G096000;TraesCS3D01G104000;TraesCS7B01G356800;TraesCS5A01G048600;TraesCS7B01G071100;TraesCS5D01G268600;TraesCS4D01G286400;TraesCS3A01G109500;TraesCS2B01G034700;TraesCS7B01G278900;TraesCS6B01G041200;TraesCS2D01G190200;TraesCS5B01G455500;TraesCS3B01G474400;TraesCS3A01G261800;TraesCS2B01G242500;TraesCS7D01G276900;TraesCS2D01G383400;TraesCS2D01G025500;TraesCSU01G194300;TraesCSU01G008200;TraesCS2D01G348800;TraesCS7D01G037700;TraesCS6B01G083500;TraesCS6B01G230600;TraesCS7B01G122800;TraesCS3B01G038900;TraesCS3D01G475800;TraesCS2B01G304800;TraesCS2D01G252600;TraesCS5B01G402000;TraesCS4B01G197500;TraesCS3A01G040800;TraesCS6D01G198700;TraesCS7B01G241200;TraesCS4B01G007400;TraesCS6D01G020700;TraesCS2D01G053300;TraesCS3B01G140500;TraesCS3B01G356700;TraesCS6B01G231700;TraesCS4B01G092500;TraesCS3B01G052600;TraesCS6B01G416400;TraesCS6B01G230500;TraesCS6B01G238900;TraesCS7B01G273000;TraesCS1A01G095800;TraesCS3D01G124200;TraesCS3B01G059000;TraesCS4A01G065100;TraesCS1D01G049000;TraesCSU01G008100;TraesCS2D01G348900;TraesCS3A01G016500;TraesCS4D01G325500;TraesCS4B01G356600;TraesCS5A01G406100;TraesCS6B01G229400;TraesCS6B01G227900;TraesCS5B01G255200</t>
  </si>
  <si>
    <t>TraesCS2D01G029800</t>
  </si>
  <si>
    <t>sugar transmembrane transporter activity</t>
  </si>
  <si>
    <t>TraesCS2D01G031000</t>
  </si>
  <si>
    <t>TraesCS2B01G445300;TraesCS5D01G233800;TraesCS2D01G509400;TraesCS2D01G505600;TraesCS7D01G447200;TraesCS2B01G489800;TraesCS4A01G491600;TraesCS5B01G153100;TraesCS7A01G425900;TraesCS2A01G469900;TraesCS5A01G360700;TraesCS2A01G107800;TraesCS5A01G226400;TraesCS7A01G175400;TraesCS4A01G109200;TraesCS7B01G253300;TraesCS5A01G004600;TraesCS3D01G061900;TraesCS3A01G061600;TraesCSU01G129500;TraesCS4A01G202300;TraesCS1B01G001700;TraesCS2A01G539300;TraesCS7A01G537500;TraesCS5D01G233700;TraesCS5D01G199900;TraesCS7B01G455700;TraesCS6A01G297500;TraesCS2A01G546600;TraesCS2B01G569100;TraesCS5A01G445700;TraesCS5A01G462600;TraesCS7A01G500100;TraesCS4A01G033600;TraesCS2A01G211800;TraesCS2B01G563800;TraesCS5A01G360600;TraesCS7B01G286100;TraesCS7A01G381200;TraesCS2A01G510200;TraesCS2B01G177600;TraesCS7D01G142000;TraesCS7D01G438700;TraesCS5D01G238700;TraesCS5D01G012300;TraesCS2A01G013400;TraesCS6B01G229200;TraesCS1A01G394900;TraesCS3A01G136100;TraesCS5A01G004700;TraesCS3B01G485000;TraesCS5A01G453200;TraesCS3B01G597000;TraesCS5D01G369800;TraesCS2B01G445500;TraesCS6B01G225000;TraesCS1A01G340300;TraesCS2A01G467000;TraesCS5A01G261200;TraesCS1A01G332800;TraesCS5B01G363400;TraesCS5D01G464000;TraesCS1D01G080900;TraesCS7A01G085700;TraesCS5D01G012200;TraesCS2D01G029700;TraesCS2A01G107600;TraesCS5B01G063600;TraesCS2D01G002600;TraesCS2A01G504900;TraesCS5B01G366800;TraesCS2A01G539100;TraesCS6B01G374000;TraesCS4A01G364000;TraesCS6B01G238500;TraesCS3B01G354000;TraesCS5B01G363300;TraesCS7A01G201800;TraesCS5B01G462200;TraesCS5D01G012100;TraesCS2B01G033000;TraesCS2D01G153100;TraesCS4B01G312300;TraesCS5B01G454700;TraesCS7A01G277500;TraesCS5A01G382800;TraesCSU01G009100;TraesCS4A01G278900;TraesCS5D01G293700;TraesCS4D01G253800;TraesCS4B01G106500;TraesCS5D01G324300;TraesCS2A01G425800;TraesCS2D01G423700;TraesCS5A01G303400;TraesCS5B01G476000;TraesCS5D01G012000;TraesCS6B01G224900;TraesCS2B01G446100;TraesCS4D01G103000;TraesCS5B01G303800;TraesCS4D01G195700;TraesCS7A01G262000;TraesCS2D01G021500;TraesCS3B01G596800;TraesCS4B01G237300;TraesCS6B01G231100;TraesCS5B01G473300;TraesCS3D01G305300;TraesCS5A01G545500;TraesCS4D01G242100;TraesCSU01G031600;TraesCS1A01G312300;TraesCS6D01G242000;TraesCSU01G008800;TraesCS7D01G080400;TraesCS1A01G127800;TraesCS7B01G354400;TraesCS5A01G464500;TraesCS6B01G236800;TraesCS6B01G236000;TraesCS1D01G239600;TraesCS6A01G342000;TraesCS7D01G347300;TraesCS4A01G130300;TraesCS7A01G459400;TraesCS6B01G230700;TraesCS2B01G536500;TraesCS5D01G477100;TraesCS4D01G032500;TraesCS4D01G309900;TraesCS5B01G475700;TraesCSU01G008700;TraesCS6B01G239400;TraesCS4B01G174300;TraesCS5D01G268600;TraesCS7D01G204900;TraesCS2D01G540000;TraesCS4D01G238600;TraesCS4A01G033500;TraesCS5B01G285300;TraesCS4A01G384700;TraesCS5B01G455500;TraesCS5D01G565100;TraesCS3B01G474400;TraesCS7A01G077500;TraesCS2B01G565800;TraesCS5A01G286100;TraesCS2B01G173500;TraesCS4B01G037600;TraesCS2B01G125300;TraesCS7B01G349100;TraesCS5A01G381100;TraesCS5B01G099700;TraesCS5D01G310500;TraesCS6B01G151000;TraesCS1B01G067500;TraesCS4D01G116700;TraesCS3D01G061700;TraesCS7B01G037400;TraesCS5A01G318000;TraesCS4A01G202100;TraesCS6B01G239300;TraesCS4B01G271900;TraesCS2A01G019400;TraesCS2D01G261100;TraesCS5A01G229000;TraesCS6D01G020700;TraesCS4B01G202000;TraesCS6B01G231700;TraesCS6D01G033100;TraesCS5B01G285400;TraesCS5D01G460700;TraesCS6D01G300600;TraesCS1A01G095800;TraesCS7D01G349400;TraesCS1A01G239400;TraesCS7B01G359700;TraesCS2A01G539600;TraesCS6D01G359300;TraesCS4A01G065100;TraesCS4D01G103300;TraesCS4D01G176300;TraesCS4A01G311000;TraesCS2D01G157300;TraesCS7A01G136500;TraesCS3A01G519000;TraesCS7D01G181600;TraesCS4D01G116600;TraesCS5B01G429800;TraesCS6B01G227100;TraesCS6B01G231600;TraesCS5D01G373800;TraesCS1A01G276800;TraesCS6B01G227900;TraesCSU01G008900;TraesCS5D01G042800;TraesCS3D01G129200</t>
  </si>
  <si>
    <t>TraesCS2D01G039400</t>
  </si>
  <si>
    <t>response to salicylic acid</t>
  </si>
  <si>
    <t>TraesCS4B01G237300;TraesCS2B01G208900;TraesCS1A01G070400;TraesCS7D01G210500;TraesCS4D01G238600</t>
  </si>
  <si>
    <t>TraesCS2D01G077700</t>
  </si>
  <si>
    <t>TraesCS1D01G114600;TraesCS6B01G226700;TraesCS1B01G133300;TraesCS1B01G133400;TraesCS1A01G069300;TraesCS1A01G113300</t>
  </si>
  <si>
    <t>TraesCS2D01G090600</t>
  </si>
  <si>
    <t>TraesCS1D01G080900;TraesCS2B01G125300;TraesCS2B01G489800;TraesCS2A01G107800;TraesCS2A01G107600;TraesCS2A01G467000;TraesCS3B01G354000;TraesCS7A01G262000</t>
  </si>
  <si>
    <t>TraesCS2D01G093100</t>
  </si>
  <si>
    <t>organophosphate ester transport</t>
  </si>
  <si>
    <t>TraesCS4D01G176300;TraesCS6B01G231800;TraesCS4B01G174300;TraesCS4A01G130300</t>
  </si>
  <si>
    <t>TraesCS2D01G106400</t>
  </si>
  <si>
    <t>TraesCS2D01G112300</t>
  </si>
  <si>
    <t>TraesCS2D01G150400</t>
  </si>
  <si>
    <t>TraesCS1D01G080900;TraesCS2B01G173500;TraesCS1A01G431300;TraesCS2D01G407700;TraesCS2B01G125300;TraesCS2A01G107800;TraesCS2D01G153100;TraesCS2A01G107600;TraesCS2D01G467000;TraesCS7A01G262000;TraesCS4D01G116700;TraesCS7B01G251100;TraesCS3A01G297200;TraesCS7B01G251200;TraesCS3A01G297100;TraesCS3D01G305300;TraesCS4D01G116600;TraesCS6D01G054900;TraesCS2B01G489800;TraesCS2A01G467000;TraesCS3B01G354000;TraesCS2B01G359300;TraesCS7D01G347300</t>
  </si>
  <si>
    <t>TraesCS2D01G157300</t>
  </si>
  <si>
    <t>TraesCS4D01G176300;TraesCS5B01G531100;TraesCSU01G147200;TraesCS3B01G376700;TraesCS6D01G296700;TraesCSU01G033800;TraesCS4B01G174300;TraesCS4D01G092000;TraesCS4A01G130300</t>
  </si>
  <si>
    <t>TraesCS2D01G183300</t>
  </si>
  <si>
    <t>TraesCS4B01G240900;TraesCS1D01G141800</t>
  </si>
  <si>
    <t>TraesCS2D01G190200</t>
  </si>
  <si>
    <t>TraesCS2D01G218700</t>
  </si>
  <si>
    <t>TraesCS2D01G222000</t>
  </si>
  <si>
    <t>TraesCS2D01G261100</t>
  </si>
  <si>
    <t>TraesCS2D01G264200</t>
  </si>
  <si>
    <t>regulation of signal transduction</t>
  </si>
  <si>
    <t>TraesCS2D01G052800;TraesCS3A01G056300;TraesCS4D01G089200;TraesCS7D01G478800;TraesCS7B01G398100;TraesCS7A01G492400;TraesCS5A01G445700;TraesCS2B01G096000;TraesCS7B01G071100;TraesCS4B01G092400</t>
  </si>
  <si>
    <t>TraesCS2D01G270400</t>
  </si>
  <si>
    <t>regulation of signaling</t>
  </si>
  <si>
    <t>TraesCS2D01G309500</t>
  </si>
  <si>
    <t>regulation of cell communication</t>
  </si>
  <si>
    <t>TraesCS2D01G316800</t>
  </si>
  <si>
    <t>respiratory burst</t>
  </si>
  <si>
    <t>TraesCS2B01G208900;TraesCS1A01G070400</t>
  </si>
  <si>
    <t>TraesCS2D01G317800</t>
  </si>
  <si>
    <t>respiratory burst involved in defense response</t>
  </si>
  <si>
    <t>TraesCS2D01G348600</t>
  </si>
  <si>
    <t>defense response to insect</t>
  </si>
  <si>
    <t>TraesCS7A01G259100;TraesCS7B01G156900</t>
  </si>
  <si>
    <t>TraesCS2D01G348800</t>
  </si>
  <si>
    <t>TraesCS3A01G499300;TraesCS4A01G066200;TraesCS5D01G237800;TraesCS1A01G380900;TraesCS5A01G501500;TraesCS5B01G228500;TraesCS5D01G472000;TraesCS4D01G243100;TraesCS6B01G236600;TraesCS7A01G230200;TraesCS3B01G485100;TraesCS3B01G562500;TraesCS1A01G239300;TraesCS3B01G563400</t>
  </si>
  <si>
    <t>TraesCS2D01G348900</t>
  </si>
  <si>
    <t>glutamine family amino acid metabolic process</t>
  </si>
  <si>
    <t>TraesCS4B01G240900;TraesCS3B01G395900;TraesCS4A01G075600;TraesCS4B01G231400;TraesCS1D01G141800;TraesCS4D01G232700</t>
  </si>
  <si>
    <t>TraesCS2D01G349000</t>
  </si>
  <si>
    <t>TraesCS3D01G096500;TraesCS4A01G066200;TraesCS5B01G520200;TraesCS2B01G451700;TraesCS3D01G373700;TraesCS5D01G237800;TraesCS2B01G451600;TraesCS2D01G540000;TraesCS3D01G315000;TraesCS3B01G532300;TraesCS5B01G228500;TraesCS6B01G231800;TraesCS2B01G569100;TraesCS5D01G472000;TraesCS2A01G305900;TraesCS3D01G294000;TraesCS4D01G243100;TraesCS2B01G305900;TraesCS3B01G350500;TraesCS6B01G236600;TraesCS1A01G332800;TraesCS4D01G092000;TraesCS2A01G406000;TraesCS1A01G239300;TraesCS4A01G130300;TraesCS2A01G539600;TraesCS2B01G423700;TraesCS4D01G176300;TraesCS5A01G501500;TraesCS3A01G380600;TraesCS2D01G252600;TraesCS3B01G328800;TraesCS6B01G229200;TraesCS1A01G312300;TraesCS4B01G174300;TraesCS2A01G539100;TraesCS3A01G316300;TraesCS2A01G539300</t>
  </si>
  <si>
    <t>TraesCS2D01G349400</t>
  </si>
  <si>
    <t>systemic acquired resistance</t>
  </si>
  <si>
    <t>TraesCS4B01G237300;TraesCS2B01G208900;TraesCS1A01G070400;TraesCS4D01G238600;TraesCS4D01G326400</t>
  </si>
  <si>
    <t>TraesCS2D01G373900</t>
  </si>
  <si>
    <t>purine-containing compound catabolic process</t>
  </si>
  <si>
    <t>TraesCS2D01G377400</t>
  </si>
  <si>
    <t>amino acid import</t>
  </si>
  <si>
    <t>TraesCS2D01G377500</t>
  </si>
  <si>
    <t>TraesCS3D01G096500;TraesCS4A01G066200;TraesCS4D01G243100;TraesCS2B01G423700;TraesCS3B01G532300;TraesCS2A01G305900;TraesCS4D01G092000;TraesCS2A01G406000</t>
  </si>
  <si>
    <t>TraesCS2D01G382400</t>
  </si>
  <si>
    <t>TraesCS2D01G383400</t>
  </si>
  <si>
    <t>beta-aspartyl-peptidase activity</t>
  </si>
  <si>
    <t>TraesCS2D01G391200</t>
  </si>
  <si>
    <t>regulation of cell cycle checkpoint</t>
  </si>
  <si>
    <t>TraesCS6B01G236700</t>
  </si>
  <si>
    <t>TraesCS2D01G402000</t>
  </si>
  <si>
    <t>regulation of spindle checkpoint</t>
  </si>
  <si>
    <t>TraesCS2D01G409500</t>
  </si>
  <si>
    <t>regulation of mitotic spindle checkpoint</t>
  </si>
  <si>
    <t>TraesCS2D01G423700</t>
  </si>
  <si>
    <t>regulation of mitotic cell cycle spindle assembly checkpoint</t>
  </si>
  <si>
    <t>TraesCS2D01G476400</t>
  </si>
  <si>
    <t>TraesCS1A01G431300;TraesCS1D01G266100;TraesCS1D01G266000;TraesCS4B01G328100;TraesCS1A01G021000;TraesCS3D01G094200;TraesCS1A01G021400;TraesCS1D01G265900;TraesCS1D01G265800;TraesCS1A01G265900;TraesCS1A01G265600;TraesCS1A01G265700;TraesCS3A01G086500;TraesCS3D01G086800;TraesCS1B01G276900;TraesCS1D01G020600;TraesCS1B01G276800;TraesCS1B01G276500;TraesCS3A01G093900;TraesCS1D01G232800</t>
  </si>
  <si>
    <t>TraesCS2D01G481600</t>
  </si>
  <si>
    <t>defense response, incompatible interaction</t>
  </si>
  <si>
    <t>TraesCS4B01G237300;TraesCS2B01G208900;TraesCS2D01G033200;TraesCS1A01G070400;TraesCS4D01G238600;TraesCS4D01G326400</t>
  </si>
  <si>
    <t>TraesCS2D01G509400</t>
  </si>
  <si>
    <t>TraesCS2B01G066800;TraesCS2B01G572400;TraesCS5D01G268800</t>
  </si>
  <si>
    <t>TraesCS2D01G515500</t>
  </si>
  <si>
    <t>lipid translocation</t>
  </si>
  <si>
    <t>TraesCS4D01G176300;TraesCS4A01G130300</t>
  </si>
  <si>
    <t>TraesCS2D01G517100</t>
  </si>
  <si>
    <t>phospholipid translocation</t>
  </si>
  <si>
    <t>TraesCS2D01G550600</t>
  </si>
  <si>
    <t>TraesCS4B01G037600;TraesCS5B01G473300;TraesCS5D01G199900;TraesCS6A01G297500;TraesCS7A01G459400;TraesCS7A01G175400;TraesCS4A01G033500;TraesCS5A01G462600;TraesCS4A01G033600;TraesCS4B01G271900;TraesCS7D01G447200;TraesCS7B01G359700</t>
  </si>
  <si>
    <t>TraesCS2D01G550700</t>
  </si>
  <si>
    <t>TraesCS7B01G325900;TraesCS2B01G208900;TraesCS6B01G225600;TraesCS1B01G345000;TraesCS2D01G509400;TraesCS3A01G067700;TraesCS2B01G369100;TraesCS3B01G295000;TraesCS2A01G211900;TraesCS4B01G092400;TraesCS7A01G127100;TraesCS5D01G187700;TraesCS2B01G489800;TraesCS4A01G491600;TraesCS1A01G070400;TraesCS7B01G370700;TraesCS7A01G425900;TraesCS2B01G359300;TraesCS6B01G238000;TraesCS2D01G349400;TraesCS4D01G350300;TraesCS5A01G526000;TraesCS7D01G463700;TraesCS6B01G153100;TraesCS6B01G171900;TraesCS2D01G222300;TraesCS5B01G410900;TraesCS6B01G226000;TraesCS2B01G402800;TraesCS2B01G243000;TraesCS6B01G233800;TraesCS5D01G302000;TraesCS3A01G276200;TraesCS3D01G049000;TraesCS6B01G237600;TraesCS5D01G191400;TraesCS5D01G025500;TraesCS6B01G239100;TraesCS5A01G552200;TraesCS3B01G039500;TraesCS6B01G225700;TraesCS4D01G326400;TraesCS5A01G445700;TraesCS4D01G198000;TraesCS6A01G220200;TraesCS7A01G427300;TraesCS2A01G503800;TraesCS1D01G249000;TraesCS6B01G230300;TraesCS2B01G565300;TraesCS4D01G142000;TraesCS1A01G273600;TraesCS1D01G048900;TraesCS2B01G563800;TraesCSU01G076000;TraesCS2A01G371700;TraesCS2D01G511500;TraesCS3D01G072700;TraesCS2A01G350900;TraesCS6D01G359100;TraesCS2A01G371600;TraesCS5B01G187000;TraesCS7D01G190100;TraesCS3A01G049600;TraesCS2A01G510200;TraesCS2B01G477600;TraesCS6D01G053400;TraesCS7B01G326100;TraesCS2D01G132500;TraesCS5D01G251100;TraesCS3D01G467600;TraesCS2B01G519500;TraesCS6B01G229200;TraesCS7A01G042200;TraesCS6B01G261700;TraesCS2B01G163200;TraesCS2B01G404200;TraesCS3B01G588200;TraesCS6B01G231400;TraesCS1A01G203600;TraesCS7D01G365800;TraesCS7A01G460900;TraesCS3A01G226400;TraesCS6B01G239000;TraesCS1B01G355700;TraesCS6A01G276300;TraesCS3A01G044100;TraesCS3B01G310000;TraesCS6B01G225800;TraesCS5D01G019400;TraesCS7D01G189700;TraesCS7A01G489000;TraesCS3B01G555600;TraesCS1B01G062200;TraesCS2B01G084000;TraesCS4B01G343100;TraesCS1B01G006500;TraesCS2D01G142000;TraesCS2A01G385900;TraesCS3D01G500800;TraesCS1A01G340300;TraesCS1A01G342600;TraesCS6B01G238600;TraesCS2A01G467000;TraesCS2D01G364200;TraesCS5A01G261200;TraesCS3B01G266200;TraesCS5A01G196800;TraesCS1D01G344700;TraesCS1D01G431000;TraesCS2A01G350800;TraesCS3B01G084000;TraesCS4A01G474800;TraesCS1D01G412300;TraesCS4A01G241700;TraesCS7B01G301600;TraesCS7A01G492400;TraesCS1D01G441600;TraesCS5B01G063600;TraesCS4A01G445500;TraesCS6B01G226200;TraesCS2D01G002600;TraesCS3B01G032400;TraesCS6B01G235900;TraesCS6D01G215000;TraesCS3D01G039400;TraesCS3A01G446200;TraesCS3D01G048800;TraesCS6B01G374000;TraesCS2B01G067000;TraesCS2D01G137300;TraesCS7A01G374200;TraesCS2B01G084100;TraesCS1B01G062300;TraesCS6B01G232400;TraesCS3D01G036700;TraesCS2B01G369000;TraesCS2D01G039400;TraesCS4B01G106000;TraesCS1D01G013800;TraesCS1A01G235200;TraesCS2A01G299400;TraesCS2A01G350700;TraesCS3D01G534200;TraesCS7A01G031000;TraesCS2A01G589900;TraesCS1D01G271500;TraesCS1D01G076200;TraesCS6B01G212700;TraesCS6B01G231200;TraesCS4D01G109000;TraesCS5B01G454700;TraesCS1B01G410600;TraesCS3A01G406000;TraesCS3A01G411700;TraesCS3D01G039300;TraesCS5B01G184600;TraesCSU01G050000;TraesCS3B01G569900;TraesCS3D01G276200;TraesCS7D01G124900;TraesCS5D01G038400;TraesCS5D01G250300;TraesCSU01G044100;TraesCS1A01G006800;TraesCS2A01G139100;TraesCS7D01G374700;TraesCS1A01G168100;TraesCS1A01G149700;TraesCS7A01G215800;TraesCS7B01G093800;TraesCS7D01G461900;TraesCS1A01G006000;TraesCS2B01G240800;TraesCS2D01G349000;TraesCS1B01G090700;TraesCS2B01G521100;TraesCS7D01G217500;TraesCS2A01G331400;TraesCS3B01G086900;TraesCS1D01G082200;TraesCS6B01G224900;TraesCS2D01G216700;TraesCS5D01G194400;TraesCS4B01G098100;TraesCS4A01G384500;TraesCS5B01G284400;TraesCS3A01G056300;TraesCS6B01G231100;TraesCS1B01G007400;TraesCS2D01G013200;TraesCS3D01G501400;TraesCS4D01G003300;TraesCS6B01G233400;TraesCS2B01G241900;TraesCS1B01G091900;TraesCS6D01G112200;TraesCS6D01G242000;TraesCS2D01G382400;TraesCS4B01G009500;TraesCS4D01G089200;TraesCS3D01G346200;TraesCS1A01G073300;TraesCS4A01G207800;TraesCS1D01G430800;TraesCS2A01G041000;TraesCS3A01G493600;TraesCSU01G219500;TraesCS5D01G194600;TraesCS6A01G342000;TraesCS1A01G235000;TraesCS2B01G152600;TraesCS2A01G182400;TraesCS4B01G328400;TraesCS7D01G475300;TraesCS2D01G052800;TraesCS2A01G214000;TraesCS2D01G409500;TraesCS6A01G122000;TraesCS4A01G384600;TraesCS2B01G536500;TraesCS3B01G141500;TraesCS2D01G222000;TraesCS6B01G231000;TraesCS6B01G237900;TraesCS6D01G072300;TraesCS3B01G544700;TraesCS6B01G227300;TraesCS6B01G229600;TraesCS7B01G333700;TraesCS2B01G241800;TraesCS2A01G592700;TraesCS2B01G096000;TraesCS3D01G104000;TraesCS7B01G356800;TraesCS5A01G048600;TraesCS7B01G071100;TraesCS5D01G268600;TraesCS4D01G286400;TraesCS2B01G034700;TraesCS7B01G278900;TraesCS6B01G041200;TraesCS2D01G190200;TraesCS5B01G455500;TraesCS3B01G474400;TraesCS3A01G261800;TraesCS2B01G242500;TraesCS2D01G383400;TraesCS2D01G025500;TraesCSU01G194300;TraesCSU01G008200;TraesCS2D01G348800;TraesCS7D01G037700;TraesCS6B01G083500;TraesCS7B01G122800;TraesCS3B01G038900;TraesCS2B01G304800;TraesCS2D01G252600;TraesCS5B01G402000;TraesCS4B01G197500;TraesCS3A01G040800;TraesCS4B01G007400;TraesCS2D01G053300;TraesCS3B01G140500;TraesCS3B01G356700;TraesCS6B01G231700;TraesCS4B01G092500;TraesCS3B01G052600;TraesCS6B01G416400;TraesCS6B01G230500;TraesCS6B01G238900;TraesCS7B01G273000;TraesCS1A01G095800;TraesCS3D01G124200;TraesCS3B01G059000;TraesCS1D01G049000;TraesCSU01G008100;TraesCS2D01G348900;TraesCS3A01G016500;TraesCS4D01G325500;TraesCS4B01G356600;TraesCS3B01G258100;TraesCS5A01G406100;TraesCS6B01G229400;TraesCS5B01G255200</t>
  </si>
  <si>
    <t>TraesCS2D01G564900</t>
  </si>
  <si>
    <t>regulation of membrane lipid distribution</t>
  </si>
  <si>
    <t>TraesCS3A01G011100</t>
  </si>
  <si>
    <t>TraesCS6D01G230500;TraesCS6D01G281100</t>
  </si>
  <si>
    <t>TraesCS3A01G016500</t>
  </si>
  <si>
    <t>positive gravitropism</t>
  </si>
  <si>
    <t>TraesCS3A01G025400</t>
  </si>
  <si>
    <t>negative regulation of defense response</t>
  </si>
  <si>
    <t>TraesCS2B01G423700;TraesCS2B01G208900;TraesCS1A01G070400;TraesCS2A01G406000</t>
  </si>
  <si>
    <t>TraesCS3A01G040800</t>
  </si>
  <si>
    <t>TraesCS3A01G044100</t>
  </si>
  <si>
    <t>hormone transport</t>
  </si>
  <si>
    <t>TraesCS3A01G049600</t>
  </si>
  <si>
    <t>auxin transport</t>
  </si>
  <si>
    <t>TraesCS3A01G056300</t>
  </si>
  <si>
    <t>TraesCS3D01G467600;TraesCS4D01G142000;TraesCS1B01G090700;TraesCS3A01G226400;TraesCS3B01G258100</t>
  </si>
  <si>
    <t>TraesCS3A01G061600</t>
  </si>
  <si>
    <t>TraesCS3D01G096500;TraesCS5D01G237800;TraesCS3B01G532300;TraesCS5B01G228500;TraesCS6B01G231800;TraesCS2A01G305900</t>
  </si>
  <si>
    <t>TraesCS3A01G073200</t>
  </si>
  <si>
    <t>pigment accumulation</t>
  </si>
  <si>
    <t>TraesCS3A01G093900</t>
  </si>
  <si>
    <t>pigment accumulation in response to UV light</t>
  </si>
  <si>
    <t>TraesCS3A01G102800</t>
  </si>
  <si>
    <t>pigment accumulation in tissues</t>
  </si>
  <si>
    <t>TraesCS3A01G102900</t>
  </si>
  <si>
    <t>pigment accumulation in tissues in response to UV light</t>
  </si>
  <si>
    <t>TraesCS3A01G109500</t>
  </si>
  <si>
    <t>anthocyanin accumulation in tissues in response to UV light</t>
  </si>
  <si>
    <t>TraesCS3A01G124700</t>
  </si>
  <si>
    <t>negative regulation of macromolecule metabolic process</t>
  </si>
  <si>
    <t>TraesCS3A01G136100</t>
  </si>
  <si>
    <t>cell recognition</t>
  </si>
  <si>
    <t>TraesCS7A01G127100;TraesCS2D01G216700;TraesCS6D01G072300;TraesCS2D01G364200;TraesCS7A01G374200;TraesCS1D01G013800;TraesCS3B01G086900;TraesCS7B01G356800;TraesCS2A01G211900;TraesCS2A01G299400;TraesCS3D01G072700;TraesCS7D01G124900</t>
  </si>
  <si>
    <t>TraesCS3A01G226400</t>
  </si>
  <si>
    <t>recognition of pollen</t>
  </si>
  <si>
    <t>TraesCS3A01G229900</t>
  </si>
  <si>
    <t>TraesCS1D01G080900;TraesCS2B01G125300;TraesCS2B01G489800;TraesCS2A01G107800;TraesCS6D01G020700;TraesCS2A01G107600;TraesCS2A01G467000;TraesCS3B01G354000;TraesCS7A01G262000</t>
  </si>
  <si>
    <t>TraesCS3A01G230900</t>
  </si>
  <si>
    <t>pollen-pistil interaction</t>
  </si>
  <si>
    <t>TraesCS3A01G261800</t>
  </si>
  <si>
    <t>TraesCS2B01G423700;TraesCS2B01G208900;TraesCS2A01G406000</t>
  </si>
  <si>
    <t>TraesCS3A01G276200</t>
  </si>
  <si>
    <t>TraesCS3A01G279600</t>
  </si>
  <si>
    <t>TraesCS3A01G297100</t>
  </si>
  <si>
    <t>TraesCS3A01G297200</t>
  </si>
  <si>
    <t>cellular modified amino acid metabolic process</t>
  </si>
  <si>
    <t>TraesCS2D01G493500;TraesCS6B01G230200;TraesCS1B01G404000;TraesCS7D01G276900;TraesCS2B01G521600</t>
  </si>
  <si>
    <t>TraesCS3A01G318900</t>
  </si>
  <si>
    <t>camalexin metabolic process</t>
  </si>
  <si>
    <t>TraesCS3A01G327100</t>
  </si>
  <si>
    <t>camalexin biosynthetic process</t>
  </si>
  <si>
    <t>TraesCS3A01G347500</t>
  </si>
  <si>
    <t>aspartate-prephenate aminotransferase activity</t>
  </si>
  <si>
    <t>TraesCS1A01G270300</t>
  </si>
  <si>
    <t>TraesCS3A01G380600</t>
  </si>
  <si>
    <t>glutamate-prephenate aminotransferase activity</t>
  </si>
  <si>
    <t>TraesCS3A01G401900</t>
  </si>
  <si>
    <t>12-oxophytodienoate reductase activity</t>
  </si>
  <si>
    <t>TraesCS3A01G406000</t>
  </si>
  <si>
    <t>potassium ion import</t>
  </si>
  <si>
    <t>TraesCS2D01G252600</t>
  </si>
  <si>
    <t>TraesCS3A01G419800</t>
  </si>
  <si>
    <t>TraesCS4D01G069300</t>
  </si>
  <si>
    <t>TraesCS3A01G442700</t>
  </si>
  <si>
    <t>TraesCS3A01G446200</t>
  </si>
  <si>
    <t>TraesCS3A01G456200</t>
  </si>
  <si>
    <t>TraesCS3A01G478500</t>
  </si>
  <si>
    <t>TraesCS3A01G508600</t>
  </si>
  <si>
    <t>TraesCS3A01G519000</t>
  </si>
  <si>
    <t>TraesCS3A01G533800</t>
  </si>
  <si>
    <t>TraesCS3B01G014300</t>
  </si>
  <si>
    <t>TraesCS3B01G032400</t>
  </si>
  <si>
    <t>isoprenoid transport</t>
  </si>
  <si>
    <t>TraesCS4D01G092000</t>
  </si>
  <si>
    <t>TraesCS3B01G038900</t>
  </si>
  <si>
    <t>terpenoid transport</t>
  </si>
  <si>
    <t>TraesCS3B01G052600</t>
  </si>
  <si>
    <t>abscisic acid transport</t>
  </si>
  <si>
    <t>TraesCS3B01G084000</t>
  </si>
  <si>
    <t>nicotinamidase activity</t>
  </si>
  <si>
    <t>TraesCS6D01G198700</t>
  </si>
  <si>
    <t>TraesCS3B01G086900</t>
  </si>
  <si>
    <t>carbohydrate:cation symporter activity</t>
  </si>
  <si>
    <t>TraesCS3B01G120200</t>
  </si>
  <si>
    <t>carbohydrate:proton symporter activity</t>
  </si>
  <si>
    <t>TraesCS3B01G128700</t>
  </si>
  <si>
    <t>molybdenum ion binding</t>
  </si>
  <si>
    <t>TraesCS5B01G366800;TraesCS6D01G020700</t>
  </si>
  <si>
    <t>TraesCS3B01G141500</t>
  </si>
  <si>
    <t>very long-chain fatty acid metabolic process</t>
  </si>
  <si>
    <t>TraesCS6B01G238600;TraesCS6B01G230200</t>
  </si>
  <si>
    <t>TraesCS3B01G145200</t>
  </si>
  <si>
    <t>cellular response to organic cyclic compound</t>
  </si>
  <si>
    <t>TraesCS4B01G237300;TraesCS2B01G208900;TraesCS1A01G070400;TraesCS4D01G238600;TraesCS6B01G240900</t>
  </si>
  <si>
    <t>TraesCS3B01G152200</t>
  </si>
  <si>
    <t>drug transport</t>
  </si>
  <si>
    <t>TraesCS3A01G499300;TraesCS4B01G237300;TraesCS1A01G380900;TraesCS7A01G230200;TraesCS3B01G485100;TraesCS3B01G562500;TraesCS4D01G238600;TraesCS3B01G563400</t>
  </si>
  <si>
    <t>TraesCS3B01G153400</t>
  </si>
  <si>
    <t>ATPase activity</t>
  </si>
  <si>
    <t>TraesCS4D01G176300;TraesCS6A01G171800;TraesCS7B01G292700;TraesCS3D01G234300;TraesCS7B01G000200;TraesCS5D01G564000;TraesCS6B01G199700;TraesCS7A01G391100;TraesCS4A01G384800;TraesCS3A01G218000;TraesCS4A01G331100;TraesCS6A01G178500;TraesCS6B01G229400;TraesCS5B01G449500;TraesCS1A01G312300;TraesCS6B01G205900;TraesCS5D01G452500;TraesCS1A01G332800;TraesCS4B01G174300;TraesCS4D01G092000;TraesCS1A01G343000;TraesCS7D01G386600;TraesCS4A01G130300</t>
  </si>
  <si>
    <t>TraesCS3B01G158700</t>
  </si>
  <si>
    <t>TraesCS3B01G199000</t>
  </si>
  <si>
    <t>regulation of cell size</t>
  </si>
  <si>
    <t>TraesCS3B01G199600</t>
  </si>
  <si>
    <t>flower morphogenesis</t>
  </si>
  <si>
    <t>TraesCS7A01G492400;TraesCS7D01G134100</t>
  </si>
  <si>
    <t>TraesCS3B01G258100</t>
  </si>
  <si>
    <t>cellular response to salicylic acid stimulus</t>
  </si>
  <si>
    <t>TraesCS3B01G266200</t>
  </si>
  <si>
    <t>salicylic acid mediated signaling pathway</t>
  </si>
  <si>
    <t>TraesCS3B01G310000</t>
  </si>
  <si>
    <t>TraesCS4A01G083900;TraesCS3D01G493700;TraesCS4A01G075600;TraesCS4B01G231400;TraesCS6B01G230600;TraesCS4D01G220500;TraesCS3B01G547300;TraesCS7D01G276900;TraesCS4D01G232700</t>
  </si>
  <si>
    <t>TraesCS3B01G321300</t>
  </si>
  <si>
    <t>TraesCS6D01G230500;TraesCS6D01G281100;TraesCS6B01G276300</t>
  </si>
  <si>
    <t>TraesCS3B01G328800</t>
  </si>
  <si>
    <t>TraesCS3D01G096500;TraesCS5B01G520200;TraesCS2B01G451700;TraesCS3B01G366800;TraesCS2B01G208900;TraesCS5D01G361600;TraesCS2B01G182700;TraesCS2A01G305900;TraesCS7D01G374700;TraesCS3B01G350500;TraesCS5D01G349600;TraesCS2D01G198800;TraesCS6B01G228600;TraesCS6B01G236100;TraesCS3B01G413200;TraesCS2B01G521100;TraesCS6B01G238000;TraesCS3B01G086900;TraesCS4D01G350300;TraesCS5A01G526000;TraesCS2B01G446100;TraesCS2D01G348600;TraesCS1D01G261400;TraesCS6B01G153100;TraesCS5B01G410900;TraesCS4D01G063200;TraesCS5B01G284400;TraesCS5A01G004600;TraesCS6B01G227000;TraesCS6B01G229300;TraesCS2B01G243000;TraesCS6D01G106200;TraesCS1A01G312300;TraesCS2B01G241900;TraesCS5D01G191400;TraesCS1B01G091900;TraesCS4A01G198900;TraesCS5B01G219600;TraesCS7D01G080400;TraesCS5A01G342900;TraesCS6B01G380800;TraesCS4A01G207800;TraesCS5A01G529900;TraesCS4D01G326400;TraesCS4A01G033600;TraesCS4D01G142400;TraesCS1A01G197200;TraesCS1D01G048900;TraesCS2B01G563800;TraesCS2A01G259500;TraesCSU01G076000;TraesCS2B01G152600;TraesCS2D01G106400;TraesCS4A01G130300;TraesCS1B01G281200;TraesCS6D01G359100;TraesCS2B01G177600;TraesCS5A01G102500;TraesCS1A01G380900;TraesCS3A01G102800;TraesCS5A01G501500;TraesCS4A01G384600;TraesCS2B01G536500;TraesCS7D01G339700;TraesCS3D01G328900;TraesCS5D01G564000;TraesCS5A01G220400;TraesCS6B01G229200;TraesCS7D01G478800;TraesCS3B01G270800;TraesCS3B01G479400;TraesCS4B01G174300;TraesCS1A01G343000;TraesCS3A01G226400;TraesCS6B01G240900;TraesCS6B01G407500;TraesCS6A01G276300;TraesCS1A01G073200;TraesCS6A01G171800;TraesCS6B01G225800;TraesCS5D01G237800;TraesCS7D01G189700;TraesCS4A01G312700;TraesCS5B01G228500;TraesCS6B01G231800;TraesCS6B01G225000;TraesCS3B01G555600;TraesCS4A01G033500;TraesCS1A01G340300;TraesCS2A01G593300;TraesCS1A01G332800;TraesCS4D01G092000;TraesCS6A01G271800;TraesCS2A01G406000;TraesCS2B01G242500;TraesCS1A01G239300;TraesCS1D01G076100;TraesCS1B01G092000;TraesCS7A01G492400;TraesCS1D01G441600;TraesCS1B01G216300;TraesCS4B01G243500;TraesCS5B01G099700;TraesCS2D01G002600;TraesCS4B01G396600;TraesCS6B01G199700;TraesCS4A01G485400;TraesCS4B01G271900;TraesCS3B01G526300;TraesCS4A01G066200;TraesCS7B01G398100;TraesCS5A01G552800;TraesCS7A01G374200;TraesCS5D01G472000;TraesCS3B01G052600;TraesCS4D01G243100;TraesCS2B01G305900;TraesCS4A01G384800;TraesCS4B01G106000;TraesCS7B01G273000;TraesCS5D01G437200;TraesCS7D01G389500;TraesCS3D01G105000;TraesCS3A01G406800;TraesCS6D01G172700;TraesCS2B01G282400;TraesCS2B01G385200;TraesCS2B01G423700;TraesCS2D01G264200;TraesCS4D01G176300;TraesCS5B01G431200;TraesCS4D01G325500;TraesCS1A01G150100;TraesCS4B01G356600;TraesCS1D01G076200;TraesCS6B01G229000;TraesCS3B01G328800;TraesCS4D01G109000;TraesCS5D01G373800;TraesCS4A01G020100;TraesCS6B01G227900;TraesCS5B01G236300</t>
  </si>
  <si>
    <t>TraesCS3B01G334300</t>
  </si>
  <si>
    <t>TraesCS3B01G350500</t>
  </si>
  <si>
    <t>TraesCS3B01G353000</t>
  </si>
  <si>
    <t>TraesCS3B01G354000</t>
  </si>
  <si>
    <t>TraesCS3B01G356700</t>
  </si>
  <si>
    <t>TraesCS3B01G366800</t>
  </si>
  <si>
    <t>TraesCS3B01G379200</t>
  </si>
  <si>
    <t>TraesCS3B01G380200</t>
  </si>
  <si>
    <t>TraesCS3B01G380600</t>
  </si>
  <si>
    <t>TraesCS3B01G395900</t>
  </si>
  <si>
    <t>TraesCS3B01G413200</t>
  </si>
  <si>
    <t>TraesCS3B01G474400</t>
  </si>
  <si>
    <t>TraesCS3B01G485000</t>
  </si>
  <si>
    <t>TraesCS3B01G485100</t>
  </si>
  <si>
    <t>TraesCS3B01G495700</t>
  </si>
  <si>
    <t>TraesCS3B01G496200</t>
  </si>
  <si>
    <t>TraesCS3B01G496800</t>
  </si>
  <si>
    <t>TraesCS3B01G520700</t>
  </si>
  <si>
    <t>TraesCS3B01G526000</t>
  </si>
  <si>
    <t>TraesCS3B01G526700</t>
  </si>
  <si>
    <t>TraesCS3B01G532300</t>
  </si>
  <si>
    <t>TraesCS3B01G544700</t>
  </si>
  <si>
    <t>TraesCS3B01G547300</t>
  </si>
  <si>
    <t>TraesCS3B01G569900</t>
  </si>
  <si>
    <t>TraesCS3B01G593300</t>
  </si>
  <si>
    <t>TraesCS3B01G596800</t>
  </si>
  <si>
    <t>TraesCS3B01G597000</t>
  </si>
  <si>
    <t>TraesCS3D01G000500</t>
  </si>
  <si>
    <t>TraesCS3D01G020600</t>
  </si>
  <si>
    <t>TraesCS3D01G032300</t>
  </si>
  <si>
    <t>TraesCS3D01G036700</t>
  </si>
  <si>
    <t>TraesCS3D01G039300</t>
  </si>
  <si>
    <t>TraesCS3D01G039400</t>
  </si>
  <si>
    <t>TraesCS3D01G049000</t>
  </si>
  <si>
    <t>TraesCS3D01G061700</t>
  </si>
  <si>
    <t>TraesCS3D01G061900</t>
  </si>
  <si>
    <t>TraesCS3D01G072700</t>
  </si>
  <si>
    <t>TraesCS3D01G072900</t>
  </si>
  <si>
    <t>TraesCS3D01G091700</t>
  </si>
  <si>
    <t>TraesCS3D01G094200</t>
  </si>
  <si>
    <t>TraesCS3D01G104000</t>
  </si>
  <si>
    <t>TraesCS3D01G105000</t>
  </si>
  <si>
    <t>TraesCS3D01G124200</t>
  </si>
  <si>
    <t>TraesCS3D01G126500</t>
  </si>
  <si>
    <t>TraesCS3D01G133100</t>
  </si>
  <si>
    <t>TraesCS3D01G136100</t>
  </si>
  <si>
    <t>TraesCS3D01G173300</t>
  </si>
  <si>
    <t>TraesCS3D01G251200</t>
  </si>
  <si>
    <t>TraesCS3D01G276200</t>
  </si>
  <si>
    <t>TraesCS3D01G294000</t>
  </si>
  <si>
    <t>TraesCS3D01G299700</t>
  </si>
  <si>
    <t>TraesCS3D01G305300</t>
  </si>
  <si>
    <t>TraesCS3D01G315000</t>
  </si>
  <si>
    <t>TraesCS3D01G328900</t>
  </si>
  <si>
    <t>TraesCS3D01G341900</t>
  </si>
  <si>
    <t>TraesCS3D01G373700</t>
  </si>
  <si>
    <t>TraesCS3D01G396800</t>
  </si>
  <si>
    <t>TraesCS3D01G435300</t>
  </si>
  <si>
    <t>TraesCS3D01G449200</t>
  </si>
  <si>
    <t>TraesCS3D01G449300</t>
  </si>
  <si>
    <t>TraesCS3D01G467600</t>
  </si>
  <si>
    <t>TraesCS3D01G475200</t>
  </si>
  <si>
    <t>TraesCS3D01G476500</t>
  </si>
  <si>
    <t>TraesCS3D01G478000</t>
  </si>
  <si>
    <t>TraesCS3D01G483000</t>
  </si>
  <si>
    <t>TraesCS3D01G493700</t>
  </si>
  <si>
    <t>TraesCS3D01G500800</t>
  </si>
  <si>
    <t>TraesCS3D01G501400</t>
  </si>
  <si>
    <t>TraesCS3D01G506900</t>
  </si>
  <si>
    <t>TraesCS3D01G514300</t>
  </si>
  <si>
    <t>TraesCS3D01G534200</t>
  </si>
  <si>
    <t>TraesCS4A01G002300</t>
  </si>
  <si>
    <t>TraesCS4A01G033600</t>
  </si>
  <si>
    <t>TraesCS4A01G065100</t>
  </si>
  <si>
    <t>TraesCS4A01G066200</t>
  </si>
  <si>
    <t>TraesCS4A01G075600</t>
  </si>
  <si>
    <t>TraesCS4A01G103700</t>
  </si>
  <si>
    <t>TraesCS4A01G106900</t>
  </si>
  <si>
    <t>TraesCS4A01G109200</t>
  </si>
  <si>
    <t>TraesCS4A01G114000</t>
  </si>
  <si>
    <t>TraesCS4A01G116400</t>
  </si>
  <si>
    <t>TraesCS4A01G130300</t>
  </si>
  <si>
    <t>TraesCS4A01G186500</t>
  </si>
  <si>
    <t>TraesCS4A01G187200</t>
  </si>
  <si>
    <t>TraesCS4A01G207800</t>
  </si>
  <si>
    <t>TraesCS4A01G214000</t>
  </si>
  <si>
    <t>TraesCS4A01G230500</t>
  </si>
  <si>
    <t>TraesCS4A01G240900</t>
  </si>
  <si>
    <t>TraesCS4A01G241700</t>
  </si>
  <si>
    <t>TraesCS4A01G250400</t>
  </si>
  <si>
    <t>TraesCS4A01G278900</t>
  </si>
  <si>
    <t>TraesCS4A01G311000</t>
  </si>
  <si>
    <t>TraesCS4A01G318300</t>
  </si>
  <si>
    <t>TraesCS4A01G331100</t>
  </si>
  <si>
    <t>TraesCS4A01G332400</t>
  </si>
  <si>
    <t>TraesCS4A01G384600</t>
  </si>
  <si>
    <t>TraesCS4A01G384700</t>
  </si>
  <si>
    <t>TraesCS4A01G384800</t>
  </si>
  <si>
    <t>TraesCS4A01G386000</t>
  </si>
  <si>
    <t>TraesCS4A01G388700</t>
  </si>
  <si>
    <t>TraesCS4A01G388900</t>
  </si>
  <si>
    <t>TraesCS4A01G389100</t>
  </si>
  <si>
    <t>TraesCS4A01G389600</t>
  </si>
  <si>
    <t>TraesCS4A01G389700</t>
  </si>
  <si>
    <t>TraesCS4A01G405900</t>
  </si>
  <si>
    <t>TraesCS4A01G436200</t>
  </si>
  <si>
    <t>TraesCS4A01G440100</t>
  </si>
  <si>
    <t>TraesCS4A01G445500</t>
  </si>
  <si>
    <t>TraesCS4A01G454800</t>
  </si>
  <si>
    <t>TraesCS4A01G457600</t>
  </si>
  <si>
    <t>TraesCS4A01G474800</t>
  </si>
  <si>
    <t>TraesCS4A01G485000</t>
  </si>
  <si>
    <t>TraesCS4A01G490700</t>
  </si>
  <si>
    <t>TraesCS4A01G491400</t>
  </si>
  <si>
    <t>TraesCS4A01G491600</t>
  </si>
  <si>
    <t>TraesCS4A01G493800</t>
  </si>
  <si>
    <t>TraesCS4B01G007400</t>
  </si>
  <si>
    <t>TraesCS4B01G023200</t>
  </si>
  <si>
    <t>TraesCS4B01G026100</t>
  </si>
  <si>
    <t>TraesCS4B01G031800</t>
  </si>
  <si>
    <t>TraesCS4B01G037600</t>
  </si>
  <si>
    <t>TraesCS4B01G055400</t>
  </si>
  <si>
    <t>TraesCS4B01G059100</t>
  </si>
  <si>
    <t>TraesCS4B01G059300</t>
  </si>
  <si>
    <t>TraesCS4B01G064400</t>
  </si>
  <si>
    <t>TraesCS4B01G074100</t>
  </si>
  <si>
    <t>TraesCS4B01G092400</t>
  </si>
  <si>
    <t>TraesCS4B01G092500</t>
  </si>
  <si>
    <t>TraesCS4B01G106000</t>
  </si>
  <si>
    <t>TraesCS4B01G132500</t>
  </si>
  <si>
    <t>TraesCS4B01G174300</t>
  </si>
  <si>
    <t>TraesCS4B01G187800</t>
  </si>
  <si>
    <t>TraesCS4B01G190100</t>
  </si>
  <si>
    <t>TraesCS4B01G195000</t>
  </si>
  <si>
    <t>TraesCS4B01G197500</t>
  </si>
  <si>
    <t>TraesCS4B01G231400</t>
  </si>
  <si>
    <t>TraesCS4B01G237300</t>
  </si>
  <si>
    <t>TraesCS4B01G243500</t>
  </si>
  <si>
    <t>TraesCS4B01G271800</t>
  </si>
  <si>
    <t>TraesCS4B01G271900</t>
  </si>
  <si>
    <t>TraesCS4B01G312300</t>
  </si>
  <si>
    <t>TraesCS4B01G328400</t>
  </si>
  <si>
    <t>TraesCS4B01G333400</t>
  </si>
  <si>
    <t>TraesCS4B01G343100</t>
  </si>
  <si>
    <t>TraesCS4B01G356800</t>
  </si>
  <si>
    <t>TraesCS4D01G003300</t>
  </si>
  <si>
    <t>TraesCS4D01G003400</t>
  </si>
  <si>
    <t>TraesCS4D01G008200</t>
  </si>
  <si>
    <t>TraesCS4D01G015800</t>
  </si>
  <si>
    <t>TraesCS4D01G023500</t>
  </si>
  <si>
    <t>TraesCS4D01G032500</t>
  </si>
  <si>
    <t>TraesCS4D01G044800</t>
  </si>
  <si>
    <t>TraesCS4D01G063200</t>
  </si>
  <si>
    <t>TraesCS4D01G072800</t>
  </si>
  <si>
    <t>TraesCS4D01G089200</t>
  </si>
  <si>
    <t>TraesCS4D01G103300</t>
  </si>
  <si>
    <t>TraesCS4D01G116700</t>
  </si>
  <si>
    <t>TraesCS4D01G142000</t>
  </si>
  <si>
    <t>TraesCS4D01G142300</t>
  </si>
  <si>
    <t>TraesCS4D01G176300</t>
  </si>
  <si>
    <t>TraesCS4D01G189200</t>
  </si>
  <si>
    <t>TraesCS4D01G192700</t>
  </si>
  <si>
    <t>TraesCS4D01G195700</t>
  </si>
  <si>
    <t>TraesCS4D01G227700</t>
  </si>
  <si>
    <t>TraesCS4D01G232700</t>
  </si>
  <si>
    <t>TraesCS4D01G238600</t>
  </si>
  <si>
    <t>TraesCS4D01G242100</t>
  </si>
  <si>
    <t>TraesCS4D01G243100</t>
  </si>
  <si>
    <t>TraesCS4D01G265800</t>
  </si>
  <si>
    <t>TraesCS4D01G270000</t>
  </si>
  <si>
    <t>TraesCS4D01G270900</t>
  </si>
  <si>
    <t>TraesCS4D01G285300</t>
  </si>
  <si>
    <t>TraesCS4D01G293700</t>
  </si>
  <si>
    <t>TraesCS4D01G309900</t>
  </si>
  <si>
    <t>TraesCS4D01G311500</t>
  </si>
  <si>
    <t>TraesCS4D01G321000</t>
  </si>
  <si>
    <t>TraesCS4D01G325500</t>
  </si>
  <si>
    <t>TraesCS4D01G326400</t>
  </si>
  <si>
    <t>TraesCS4D01G328900</t>
  </si>
  <si>
    <t>TraesCS4D01G329100</t>
  </si>
  <si>
    <t>TraesCS4D01G329700</t>
  </si>
  <si>
    <t>TraesCS4D01G350500</t>
  </si>
  <si>
    <t>TraesCS5A01G004600</t>
  </si>
  <si>
    <t>TraesCS5A01G004700</t>
  </si>
  <si>
    <t>TraesCS5A01G004900</t>
  </si>
  <si>
    <t>TraesCS5A01G018200</t>
  </si>
  <si>
    <t>TraesCS5A01G024100</t>
  </si>
  <si>
    <t>TraesCS5A01G048600</t>
  </si>
  <si>
    <t>TraesCS5A01G090600</t>
  </si>
  <si>
    <t>TraesCS5A01G104600</t>
  </si>
  <si>
    <t>TraesCS5A01G160800</t>
  </si>
  <si>
    <t>TraesCS5A01G185600</t>
  </si>
  <si>
    <t>TraesCS5A01G196800</t>
  </si>
  <si>
    <t>TraesCS5A01G220400</t>
  </si>
  <si>
    <t>TraesCS5A01G229000</t>
  </si>
  <si>
    <t>TraesCS5A01G235200</t>
  </si>
  <si>
    <t>TraesCS5A01G236700</t>
  </si>
  <si>
    <t>TraesCS5A01G261400</t>
  </si>
  <si>
    <t>TraesCS5A01G267700</t>
  </si>
  <si>
    <t>TraesCS5A01G267800</t>
  </si>
  <si>
    <t>TraesCS5A01G286100</t>
  </si>
  <si>
    <t>TraesCS5A01G303400</t>
  </si>
  <si>
    <t>TraesCS5A01G318000</t>
  </si>
  <si>
    <t>TraesCS5A01G342900</t>
  </si>
  <si>
    <t>TraesCS5A01G360600</t>
  </si>
  <si>
    <t>TraesCS5A01G360700</t>
  </si>
  <si>
    <t>TraesCS5A01G382800</t>
  </si>
  <si>
    <t>TraesCS5A01G409700</t>
  </si>
  <si>
    <t>TraesCS5A01G448900</t>
  </si>
  <si>
    <t>TraesCS5A01G455300</t>
  </si>
  <si>
    <t>TraesCS5A01G462200</t>
  </si>
  <si>
    <t>TraesCS5A01G464500</t>
  </si>
  <si>
    <t>TraesCS5A01G475800</t>
  </si>
  <si>
    <t>TraesCS5A01G485200</t>
  </si>
  <si>
    <t>TraesCS5A01G501500</t>
  </si>
  <si>
    <t>TraesCS5A01G503500</t>
  </si>
  <si>
    <t>TraesCS5A01G526000</t>
  </si>
  <si>
    <t>TraesCS5A01G526200</t>
  </si>
  <si>
    <t>TraesCS5A01G554300</t>
  </si>
  <si>
    <t>TraesCS5B01G021800</t>
  </si>
  <si>
    <t>TraesCS5B01G028300</t>
  </si>
  <si>
    <t>TraesCS5B01G045100</t>
  </si>
  <si>
    <t>TraesCS5B01G059800</t>
  </si>
  <si>
    <t>TraesCS5B01G088000</t>
  </si>
  <si>
    <t>TraesCS5B01G095800</t>
  </si>
  <si>
    <t>TraesCS5B01G099700</t>
  </si>
  <si>
    <t>TraesCS5B01G108900</t>
  </si>
  <si>
    <t>TraesCS5B01G142500</t>
  </si>
  <si>
    <t>TraesCS5B01G148300</t>
  </si>
  <si>
    <t>TraesCS5B01G187000</t>
  </si>
  <si>
    <t>TraesCS5B01G219600</t>
  </si>
  <si>
    <t>TraesCS5B01G236300</t>
  </si>
  <si>
    <t>TraesCS5B01G237300</t>
  </si>
  <si>
    <t>TraesCS5B01G239300</t>
  </si>
  <si>
    <t>TraesCS5B01G264700</t>
  </si>
  <si>
    <t>TraesCS5B01G267400</t>
  </si>
  <si>
    <t>TraesCS5B01G284400</t>
  </si>
  <si>
    <t>TraesCS5B01G285300</t>
  </si>
  <si>
    <t>TraesCS5B01G285400</t>
  </si>
  <si>
    <t>TraesCS5B01G303800</t>
  </si>
  <si>
    <t>TraesCS5B01G351200</t>
  </si>
  <si>
    <t>TraesCS5B01G363300</t>
  </si>
  <si>
    <t>TraesCS5B01G366800</t>
  </si>
  <si>
    <t>TraesCS5B01G392500</t>
  </si>
  <si>
    <t>TraesCS5B01G431200</t>
  </si>
  <si>
    <t>TraesCS5B01G435000</t>
  </si>
  <si>
    <t>TraesCS5B01G439400</t>
  </si>
  <si>
    <t>TraesCS5B01G449500</t>
  </si>
  <si>
    <t>TraesCS5B01G455500</t>
  </si>
  <si>
    <t>TraesCS5B01G468300</t>
  </si>
  <si>
    <t>TraesCS5B01G476000</t>
  </si>
  <si>
    <t>TraesCS5B01G510800</t>
  </si>
  <si>
    <t>TraesCS5B01G531100</t>
  </si>
  <si>
    <t>TraesCS5B01G560800</t>
  </si>
  <si>
    <t>TraesCS5B01G560900</t>
  </si>
  <si>
    <t>TraesCS5D01G011800</t>
  </si>
  <si>
    <t>TraesCS5D01G012000</t>
  </si>
  <si>
    <t>TraesCS5D01G012100</t>
  </si>
  <si>
    <t>TraesCS5D01G012200</t>
  </si>
  <si>
    <t>TraesCS5D01G012300</t>
  </si>
  <si>
    <t>TraesCS5D01G019100</t>
  </si>
  <si>
    <t>TraesCS5D01G025500</t>
  </si>
  <si>
    <t>TraesCS5D01G030000</t>
  </si>
  <si>
    <t>TraesCS5D01G049200</t>
  </si>
  <si>
    <t>TraesCS5D01G050100</t>
  </si>
  <si>
    <t>TraesCS5D01G050200</t>
  </si>
  <si>
    <t>TraesCS5D01G140900</t>
  </si>
  <si>
    <t>TraesCS5D01G185100</t>
  </si>
  <si>
    <t>TraesCS5D01G187700</t>
  </si>
  <si>
    <t>TraesCS5D01G233700</t>
  </si>
  <si>
    <t>TraesCS5D01G238700</t>
  </si>
  <si>
    <t>TraesCS5D01G242300</t>
  </si>
  <si>
    <t>TraesCS5D01G243700</t>
  </si>
  <si>
    <t>TraesCS5D01G254000</t>
  </si>
  <si>
    <t>TraesCS5D01G275600</t>
  </si>
  <si>
    <t>TraesCS5D01G293700</t>
  </si>
  <si>
    <t>TraesCS5D01G302000</t>
  </si>
  <si>
    <t>TraesCS5D01G307100</t>
  </si>
  <si>
    <t>TraesCS5D01G310500</t>
  </si>
  <si>
    <t>TraesCS5D01G324300</t>
  </si>
  <si>
    <t>TraesCS5D01G327800</t>
  </si>
  <si>
    <t>TraesCS5D01G342000</t>
  </si>
  <si>
    <t>TraesCS5D01G342100</t>
  </si>
  <si>
    <t>TraesCS5D01G349600</t>
  </si>
  <si>
    <t>TraesCS5D01G361600</t>
  </si>
  <si>
    <t>TraesCS5D01G391200</t>
  </si>
  <si>
    <t>TraesCS5D01G396500</t>
  </si>
  <si>
    <t>TraesCS5D01G410800</t>
  </si>
  <si>
    <t>TraesCS5D01G417100</t>
  </si>
  <si>
    <t>TraesCS5D01G437200</t>
  </si>
  <si>
    <t>TraesCS5D01G440700</t>
  </si>
  <si>
    <t>TraesCS5D01G452500</t>
  </si>
  <si>
    <t>TraesCS5D01G460700</t>
  </si>
  <si>
    <t>TraesCS5D01G464000</t>
  </si>
  <si>
    <t>TraesCS5D01G477100</t>
  </si>
  <si>
    <t>TraesCS5D01G564000</t>
  </si>
  <si>
    <t>TraesCS5D01G565100</t>
  </si>
  <si>
    <t>TraesCS6A01G053200</t>
  </si>
  <si>
    <t>TraesCS6A01G053400</t>
  </si>
  <si>
    <t>TraesCS6A01G053500</t>
  </si>
  <si>
    <t>TraesCS6A01G053600</t>
  </si>
  <si>
    <t>TraesCS6A01G054800</t>
  </si>
  <si>
    <t>TraesCS6A01G076000</t>
  </si>
  <si>
    <t>TraesCS6A01G076900</t>
  </si>
  <si>
    <t>TraesCS6A01G078400</t>
  </si>
  <si>
    <t>TraesCS6A01G109600</t>
  </si>
  <si>
    <t>TraesCS6A01G115400</t>
  </si>
  <si>
    <t>TraesCS6A01G122000</t>
  </si>
  <si>
    <t>TraesCS6A01G126200</t>
  </si>
  <si>
    <t>TraesCS6A01G146900</t>
  </si>
  <si>
    <t>TraesCS6A01G155600</t>
  </si>
  <si>
    <t>TraesCS6A01G156200</t>
  </si>
  <si>
    <t>TraesCS6A01G178500</t>
  </si>
  <si>
    <t>TraesCS6A01G271800</t>
  </si>
  <si>
    <t>TraesCS6A01G276300</t>
  </si>
  <si>
    <t>TraesCS6A01G283900</t>
  </si>
  <si>
    <t>TraesCS6A01G335200</t>
  </si>
  <si>
    <t>TraesCS6A01G381700</t>
  </si>
  <si>
    <t>TraesCS6B01G041200</t>
  </si>
  <si>
    <t>TraesCS6B01G052600</t>
  </si>
  <si>
    <t>TraesCS6B01G052700</t>
  </si>
  <si>
    <t>TraesCS6B01G058000</t>
  </si>
  <si>
    <t>TraesCS6B01G060800</t>
  </si>
  <si>
    <t>TraesCS6B01G071800</t>
  </si>
  <si>
    <t>TraesCS6B01G072000</t>
  </si>
  <si>
    <t>TraesCS6B01G072100</t>
  </si>
  <si>
    <t>TraesCS6B01G083500</t>
  </si>
  <si>
    <t>TraesCS6B01G097800</t>
  </si>
  <si>
    <t>TraesCS6B01G105400</t>
  </si>
  <si>
    <t>TraesCS6B01G116500</t>
  </si>
  <si>
    <t>TraesCS6B01G116600</t>
  </si>
  <si>
    <t>TraesCS6B01G143000</t>
  </si>
  <si>
    <t>TraesCS6B01G175100</t>
  </si>
  <si>
    <t>TraesCS6B01G184400</t>
  </si>
  <si>
    <t>TraesCS6B01G199700</t>
  </si>
  <si>
    <t>TraesCS6B01G205900</t>
  </si>
  <si>
    <t>TraesCS6B01G212700</t>
  </si>
  <si>
    <t>TraesCS6B01G224900</t>
  </si>
  <si>
    <t>TraesCS6B01G225000</t>
  </si>
  <si>
    <t>TraesCS6B01G225100</t>
  </si>
  <si>
    <t>TraesCS6B01G225200</t>
  </si>
  <si>
    <t>TraesCS6B01G225400</t>
  </si>
  <si>
    <t>TraesCS6B01G225600</t>
  </si>
  <si>
    <t>TraesCS6B01G225700</t>
  </si>
  <si>
    <t>TraesCS6B01G225800</t>
  </si>
  <si>
    <t>TraesCS6B01G226000</t>
  </si>
  <si>
    <t>TraesCS6B01G226200</t>
  </si>
  <si>
    <t>TraesCS6B01G226600</t>
  </si>
  <si>
    <t>TraesCS6B01G226700</t>
  </si>
  <si>
    <t>TraesCS6B01G227000</t>
  </si>
  <si>
    <t>TraesCS6B01G227100</t>
  </si>
  <si>
    <t>TraesCS6B01G227300</t>
  </si>
  <si>
    <t>TraesCS6B01G227500</t>
  </si>
  <si>
    <t>TraesCS6B01G227700</t>
  </si>
  <si>
    <t>TraesCS6B01G227800</t>
  </si>
  <si>
    <t>TraesCS6B01G227900</t>
  </si>
  <si>
    <t>TraesCS6B01G228000</t>
  </si>
  <si>
    <t>TraesCS6B01G228100</t>
  </si>
  <si>
    <t>TraesCS6B01G228300</t>
  </si>
  <si>
    <t>TraesCS6B01G228500</t>
  </si>
  <si>
    <t>TraesCS6B01G228600</t>
  </si>
  <si>
    <t>TraesCS6B01G228900</t>
  </si>
  <si>
    <t>TraesCS6B01G229000</t>
  </si>
  <si>
    <t>TraesCS6B01G229100</t>
  </si>
  <si>
    <t>TraesCS6B01G229200</t>
  </si>
  <si>
    <t>TraesCS6B01G229300</t>
  </si>
  <si>
    <t>TraesCS6B01G229600</t>
  </si>
  <si>
    <t>TraesCS6B01G229700</t>
  </si>
  <si>
    <t>TraesCS6B01G229900</t>
  </si>
  <si>
    <t>TraesCS6B01G230000</t>
  </si>
  <si>
    <t>TraesCS6B01G230100</t>
  </si>
  <si>
    <t>TraesCS6B01G230200</t>
  </si>
  <si>
    <t>TraesCS6B01G230300</t>
  </si>
  <si>
    <t>TraesCS6B01G230400</t>
  </si>
  <si>
    <t>TraesCS6B01G230500</t>
  </si>
  <si>
    <t>TraesCS6B01G230600</t>
  </si>
  <si>
    <t>TraesCS6B01G230700</t>
  </si>
  <si>
    <t>TraesCS6B01G230800</t>
  </si>
  <si>
    <t>TraesCS6B01G230900</t>
  </si>
  <si>
    <t>TraesCS6B01G231000</t>
  </si>
  <si>
    <t>TraesCS6B01G231100</t>
  </si>
  <si>
    <t>TraesCS6B01G231200</t>
  </si>
  <si>
    <t>TraesCS6B01G231300</t>
  </si>
  <si>
    <t>TraesCS6B01G231400</t>
  </si>
  <si>
    <t>TraesCS6B01G231600</t>
  </si>
  <si>
    <t>TraesCS6B01G231700</t>
  </si>
  <si>
    <t>TraesCS6B01G231900</t>
  </si>
  <si>
    <t>TraesCS6B01G232400</t>
  </si>
  <si>
    <t>TraesCS6B01G233400</t>
  </si>
  <si>
    <t>TraesCS6B01G233500</t>
  </si>
  <si>
    <t>TraesCS6B01G233600</t>
  </si>
  <si>
    <t>TraesCS6B01G233700</t>
  </si>
  <si>
    <t>TraesCS6B01G233800</t>
  </si>
  <si>
    <t>TraesCS6B01G235400</t>
  </si>
  <si>
    <t>TraesCS6B01G235500</t>
  </si>
  <si>
    <t>TraesCS6B01G235600</t>
  </si>
  <si>
    <t>TraesCS6B01G235700</t>
  </si>
  <si>
    <t>TraesCS6B01G235800</t>
  </si>
  <si>
    <t>TraesCS6B01G235900</t>
  </si>
  <si>
    <t>TraesCS6B01G236000</t>
  </si>
  <si>
    <t>TraesCS6B01G236100</t>
  </si>
  <si>
    <t>TraesCS6B01G236600</t>
  </si>
  <si>
    <t>TraesCS6B01G236800</t>
  </si>
  <si>
    <t>TraesCS6B01G237100</t>
  </si>
  <si>
    <t>TraesCS6B01G237200</t>
  </si>
  <si>
    <t>TraesCS6B01G237300</t>
  </si>
  <si>
    <t>TraesCS6B01G237400</t>
  </si>
  <si>
    <t>TraesCS6B01G237600</t>
  </si>
  <si>
    <t>TraesCS6B01G237800</t>
  </si>
  <si>
    <t>TraesCS6B01G237900</t>
  </si>
  <si>
    <t>TraesCS6B01G238000</t>
  </si>
  <si>
    <t>TraesCS6B01G238400</t>
  </si>
  <si>
    <t>TraesCS6B01G238500</t>
  </si>
  <si>
    <t>TraesCS6B01G238600</t>
  </si>
  <si>
    <t>TraesCS6B01G238900</t>
  </si>
  <si>
    <t>TraesCS6B01G239000</t>
  </si>
  <si>
    <t>TraesCS6B01G239100</t>
  </si>
  <si>
    <t>TraesCS6B01G239300</t>
  </si>
  <si>
    <t>TraesCS6B01G239400</t>
  </si>
  <si>
    <t>TraesCS6B01G239500</t>
  </si>
  <si>
    <t>TraesCS6B01G239600</t>
  </si>
  <si>
    <t>TraesCS6B01G239800</t>
  </si>
  <si>
    <t>TraesCS6B01G240100</t>
  </si>
  <si>
    <t>TraesCS6B01G240200</t>
  </si>
  <si>
    <t>TraesCS6B01G240500</t>
  </si>
  <si>
    <t>TraesCS6B01G240700</t>
  </si>
  <si>
    <t>TraesCS6B01G240900</t>
  </si>
  <si>
    <t>TraesCS6B01G241000</t>
  </si>
  <si>
    <t>TraesCS6B01G241100</t>
  </si>
  <si>
    <t>TraesCS6B01G241300</t>
  </si>
  <si>
    <t>TraesCS6B01G241400</t>
  </si>
  <si>
    <t>TraesCS6B01G241500</t>
  </si>
  <si>
    <t>TraesCS6B01G241600</t>
  </si>
  <si>
    <t>TraesCS6B01G241800</t>
  </si>
  <si>
    <t>TraesCS6B01G302400</t>
  </si>
  <si>
    <t>TraesCS6B01G327200</t>
  </si>
  <si>
    <t>TraesCS6B01G353200</t>
  </si>
  <si>
    <t>TraesCS6B01G362900</t>
  </si>
  <si>
    <t>TraesCS6B01G383200</t>
  </si>
  <si>
    <t>TraesCS6B01G383800</t>
  </si>
  <si>
    <t>TraesCS6B01G407500</t>
  </si>
  <si>
    <t>TraesCS6D01G021100</t>
  </si>
  <si>
    <t>TraesCS6D01G027800</t>
  </si>
  <si>
    <t>TraesCS6D01G033100</t>
  </si>
  <si>
    <t>TraesCS6D01G038600</t>
  </si>
  <si>
    <t>TraesCS6D01G048900</t>
  </si>
  <si>
    <t>TraesCS6D01G056700</t>
  </si>
  <si>
    <t>TraesCS6D01G072100</t>
  </si>
  <si>
    <t>TraesCS6D01G088500</t>
  </si>
  <si>
    <t>TraesCS6D01G112200</t>
  </si>
  <si>
    <t>TraesCS6D01G136200</t>
  </si>
  <si>
    <t>TraesCS6D01G145600</t>
  </si>
  <si>
    <t>TraesCS6D01G172700</t>
  </si>
  <si>
    <t>TraesCS6D01G215000</t>
  </si>
  <si>
    <t>TraesCS6D01G242000</t>
  </si>
  <si>
    <t>TraesCS6D01G281100</t>
  </si>
  <si>
    <t>TraesCS6D01G293600</t>
  </si>
  <si>
    <t>TraesCS6D01G300600</t>
  </si>
  <si>
    <t>TraesCS6D01G311400</t>
  </si>
  <si>
    <t>TraesCS6D01G354100</t>
  </si>
  <si>
    <t>TraesCS6D01G359300</t>
  </si>
  <si>
    <t>TraesCS6D01G402500</t>
  </si>
  <si>
    <t>TraesCS7A01G004600</t>
  </si>
  <si>
    <t>TraesCS7A01G034300</t>
  </si>
  <si>
    <t>TraesCS7A01G042200</t>
  </si>
  <si>
    <t>TraesCS7A01G046600</t>
  </si>
  <si>
    <t>TraesCS7A01G067100</t>
  </si>
  <si>
    <t>TraesCS7A01G085700</t>
  </si>
  <si>
    <t>TraesCS7A01G089600</t>
  </si>
  <si>
    <t>TraesCS7A01G115400</t>
  </si>
  <si>
    <t>TraesCS7A01G136500</t>
  </si>
  <si>
    <t>TraesCS7A01G162600</t>
  </si>
  <si>
    <t>TraesCS7A01G164100</t>
  </si>
  <si>
    <t>TraesCS7A01G167400</t>
  </si>
  <si>
    <t>TraesCS7A01G175400</t>
  </si>
  <si>
    <t>TraesCS7A01G189000</t>
  </si>
  <si>
    <t>TraesCS7A01G226500</t>
  </si>
  <si>
    <t>TraesCS7A01G230200</t>
  </si>
  <si>
    <t>TraesCS7A01G240500</t>
  </si>
  <si>
    <t>TraesCS7A01G259100</t>
  </si>
  <si>
    <t>TraesCS7A01G262000</t>
  </si>
  <si>
    <t>TraesCS7A01G277500</t>
  </si>
  <si>
    <t>TraesCS7A01G324900</t>
  </si>
  <si>
    <t>TraesCS7A01G354000</t>
  </si>
  <si>
    <t>TraesCS7A01G367000</t>
  </si>
  <si>
    <t>TraesCS7A01G368800</t>
  </si>
  <si>
    <t>TraesCS7A01G370400</t>
  </si>
  <si>
    <t>TraesCS7A01G373800</t>
  </si>
  <si>
    <t>TraesCS7A01G379500</t>
  </si>
  <si>
    <t>TraesCS7A01G381200</t>
  </si>
  <si>
    <t>TraesCS7A01G391100</t>
  </si>
  <si>
    <t>TraesCS7A01G393800</t>
  </si>
  <si>
    <t>TraesCS7A01G394900</t>
  </si>
  <si>
    <t>TraesCS7A01G407600</t>
  </si>
  <si>
    <t>TraesCS7A01G427300</t>
  </si>
  <si>
    <t>TraesCS7A01G460900</t>
  </si>
  <si>
    <t>TraesCS7A01G463300</t>
  </si>
  <si>
    <t>TraesCS7A01G477900</t>
  </si>
  <si>
    <t>TraesCS7A01G479300</t>
  </si>
  <si>
    <t>TraesCS7A01G492400</t>
  </si>
  <si>
    <t>TraesCS7A01G494000</t>
  </si>
  <si>
    <t>TraesCS7A01G558500</t>
  </si>
  <si>
    <t>TraesCS7B01G013100</t>
  </si>
  <si>
    <t>TraesCS7B01G037500</t>
  </si>
  <si>
    <t>TraesCS7B01G068300</t>
  </si>
  <si>
    <t>TraesCS7B01G071100</t>
  </si>
  <si>
    <t>TraesCS7B01G093800</t>
  </si>
  <si>
    <t>TraesCS7B01G115200</t>
  </si>
  <si>
    <t>TraesCS7B01G136100</t>
  </si>
  <si>
    <t>TraesCS7B01G156900</t>
  </si>
  <si>
    <t>TraesCS7B01G243100</t>
  </si>
  <si>
    <t>TraesCS7B01G251100</t>
  </si>
  <si>
    <t>TraesCS7B01G251200</t>
  </si>
  <si>
    <t>TraesCS7B01G253300</t>
  </si>
  <si>
    <t>TraesCS7B01G259400</t>
  </si>
  <si>
    <t>TraesCS7B01G259700</t>
  </si>
  <si>
    <t>TraesCS7B01G262700</t>
  </si>
  <si>
    <t>TraesCS7B01G262800</t>
  </si>
  <si>
    <t>TraesCS7B01G273000</t>
  </si>
  <si>
    <t>TraesCS7B01G273600</t>
  </si>
  <si>
    <t>TraesCS7B01G286100</t>
  </si>
  <si>
    <t>TraesCS7B01G292700</t>
  </si>
  <si>
    <t>TraesCS7B01G297700</t>
  </si>
  <si>
    <t>TraesCS7B01G307700</t>
  </si>
  <si>
    <t>TraesCS7B01G312200</t>
  </si>
  <si>
    <t>TraesCS7B01G325900</t>
  </si>
  <si>
    <t>TraesCS7B01G326100</t>
  </si>
  <si>
    <t>TraesCS7B01G333700</t>
  </si>
  <si>
    <t>TraesCS7B01G338800</t>
  </si>
  <si>
    <t>TraesCS7B01G349100</t>
  </si>
  <si>
    <t>TraesCS7B01G354400</t>
  </si>
  <si>
    <t>TraesCS7B01G356800</t>
  </si>
  <si>
    <t>TraesCS7B01G381900</t>
  </si>
  <si>
    <t>TraesCS7B01G398100</t>
  </si>
  <si>
    <t>TraesCS7B01G474000</t>
  </si>
  <si>
    <t>TraesCS7D01G009700</t>
  </si>
  <si>
    <t>TraesCS7D01G037700</t>
  </si>
  <si>
    <t>TraesCS7D01G046900</t>
  </si>
  <si>
    <t>TraesCS7D01G078700</t>
  </si>
  <si>
    <t>TraesCS7D01G080400</t>
  </si>
  <si>
    <t>TraesCS7D01G081500</t>
  </si>
  <si>
    <t>TraesCS7D01G084800</t>
  </si>
  <si>
    <t>TraesCS7D01G085000</t>
  </si>
  <si>
    <t>TraesCS7D01G085100</t>
  </si>
  <si>
    <t>TraesCS7D01G085200</t>
  </si>
  <si>
    <t>TraesCS7D01G111600</t>
  </si>
  <si>
    <t>TraesCS7D01G124900</t>
  </si>
  <si>
    <t>TraesCS7D01G142000</t>
  </si>
  <si>
    <t>TraesCS7D01G164500</t>
  </si>
  <si>
    <t>TraesCS7D01G189700</t>
  </si>
  <si>
    <t>TraesCS7D01G251900</t>
  </si>
  <si>
    <t>TraesCS7D01G321400</t>
  </si>
  <si>
    <t>TraesCS7D01G339700</t>
  </si>
  <si>
    <t>TraesCS7D01G347300</t>
  </si>
  <si>
    <t>TraesCS7D01G349400</t>
  </si>
  <si>
    <t>TraesCS7D01G357400</t>
  </si>
  <si>
    <t>TraesCS7D01G358000</t>
  </si>
  <si>
    <t>TraesCS7D01G368700</t>
  </si>
  <si>
    <t>TraesCS7D01G374700</t>
  </si>
  <si>
    <t>TraesCS7D01G386600</t>
  </si>
  <si>
    <t>TraesCS7D01G391400</t>
  </si>
  <si>
    <t>TraesCS7D01G408200</t>
  </si>
  <si>
    <t>TraesCS7D01G436600</t>
  </si>
  <si>
    <t>TraesCS7D01G438700</t>
  </si>
  <si>
    <t>TraesCS7D01G451200</t>
  </si>
  <si>
    <t>TraesCS7D01G461900</t>
  </si>
  <si>
    <t>TraesCS7D01G463700</t>
  </si>
  <si>
    <t>TraesCS7D01G466700</t>
  </si>
  <si>
    <t>TraesCS7D01G478800</t>
  </si>
  <si>
    <t>TraesCS7D01G481100</t>
  </si>
  <si>
    <t>TraesCS7D01G514500</t>
  </si>
  <si>
    <t>TraesCS7D01G536900</t>
  </si>
  <si>
    <t>TraesCS7D01G551400</t>
  </si>
  <si>
    <t>TraesCSU01G008200</t>
  </si>
  <si>
    <t>TraesCSU01G008700</t>
  </si>
  <si>
    <t>TraesCSU01G009000</t>
  </si>
  <si>
    <t>TraesCSU01G030200</t>
  </si>
  <si>
    <t>TraesCSU01G031600</t>
  </si>
  <si>
    <t>TraesCSU01G033800</t>
  </si>
  <si>
    <t>TraesCSU01G044100</t>
  </si>
  <si>
    <t>TraesCSU01G122000</t>
  </si>
  <si>
    <t>TraesCSU01G132600</t>
  </si>
  <si>
    <t>TraesCSU01G132700</t>
  </si>
  <si>
    <t>TraesCSU01G132800</t>
  </si>
  <si>
    <t>TraesCSU01G234800</t>
  </si>
  <si>
    <t>TraesCS1A01G006000</t>
  </si>
  <si>
    <t>TraesCS1A01G006800</t>
  </si>
  <si>
    <t>TraesCS1A01G069300</t>
  </si>
  <si>
    <t>TraesCS1A01G072300</t>
  </si>
  <si>
    <t>TraesCS1A01G107100</t>
  </si>
  <si>
    <t>TraesCS1A01G127800</t>
  </si>
  <si>
    <t>TraesCS1A01G149700</t>
  </si>
  <si>
    <t>TraesCS1A01G150100</t>
  </si>
  <si>
    <t>TraesCS1A01G235200</t>
  </si>
  <si>
    <t>TraesCS1A01G270900</t>
  </si>
  <si>
    <t>TraesCS1A01G276800</t>
  </si>
  <si>
    <t>TraesCS1A01G309000</t>
  </si>
  <si>
    <t>TraesCS1A01G332800</t>
  </si>
  <si>
    <t>TraesCS1A01G340300</t>
  </si>
  <si>
    <t>TraesCS1A01G342600</t>
  </si>
  <si>
    <t>TraesCS1A01G402500</t>
  </si>
  <si>
    <t>TraesCS1A01G424000</t>
  </si>
  <si>
    <t>TraesCS1A01G426500</t>
  </si>
  <si>
    <t>TraesCS1A01G430200</t>
  </si>
  <si>
    <t>TraesCS1A01G445400</t>
  </si>
  <si>
    <t>TraesCS1B01G007400</t>
  </si>
  <si>
    <t>TraesCS1B01G062200</t>
  </si>
  <si>
    <t>TraesCS1B01G062300</t>
  </si>
  <si>
    <t>TraesCS1B01G067500</t>
  </si>
  <si>
    <t>TraesCS1B01G069200</t>
  </si>
  <si>
    <t>TraesCS1B01G097400</t>
  </si>
  <si>
    <t>TraesCS1B01G117500</t>
  </si>
  <si>
    <t>TraesCS1B01G121700</t>
  </si>
  <si>
    <t>TraesCS1B01G122800</t>
  </si>
  <si>
    <t>TraesCS1B01G129100</t>
  </si>
  <si>
    <t>TraesCS1B01G175600</t>
  </si>
  <si>
    <t>TraesCS1B01G194100</t>
  </si>
  <si>
    <t>TraesCS1B01G277100</t>
  </si>
  <si>
    <t>TraesCS1B01G281200</t>
  </si>
  <si>
    <t>TraesCS1B01G305600</t>
  </si>
  <si>
    <t>TraesCS1B01G345000</t>
  </si>
  <si>
    <t>TraesCS1B01G361400</t>
  </si>
  <si>
    <t>TraesCS1B01G410300</t>
  </si>
  <si>
    <t>TraesCS1B01G410600</t>
  </si>
  <si>
    <t>TraesCS1B01G424900</t>
  </si>
  <si>
    <t>TraesCS1B01G460100</t>
  </si>
  <si>
    <t>TraesCS1B01G465000</t>
  </si>
  <si>
    <t>TraesCS1D01G000300</t>
  </si>
  <si>
    <t>TraesCS1D01G020700</t>
  </si>
  <si>
    <t>TraesCS1D01G036900</t>
  </si>
  <si>
    <t>TraesCS1D01G039300</t>
  </si>
  <si>
    <t>TraesCS1D01G048900</t>
  </si>
  <si>
    <t>TraesCS1D01G049000</t>
  </si>
  <si>
    <t>TraesCS1D01G054200</t>
  </si>
  <si>
    <t>TraesCS1D01G062100</t>
  </si>
  <si>
    <t>TraesCS1D01G062200</t>
  </si>
  <si>
    <t>TraesCS1D01G095000</t>
  </si>
  <si>
    <t>TraesCS1D01G102100</t>
  </si>
  <si>
    <t>TraesCS1D01G103500</t>
  </si>
  <si>
    <t>TraesCS1D01G141800</t>
  </si>
  <si>
    <t>TraesCS1D01G189800</t>
  </si>
  <si>
    <t>TraesCS1D01G198300</t>
  </si>
  <si>
    <t>TraesCS1D01G249000</t>
  </si>
  <si>
    <t>TraesCS1D01G256800</t>
  </si>
  <si>
    <t>TraesCS1D01G290900</t>
  </si>
  <si>
    <t>TraesCS1D01G308300</t>
  </si>
  <si>
    <t>TraesCS1D01G308400</t>
  </si>
  <si>
    <t>TraesCS1D01G323300</t>
  </si>
  <si>
    <t>TraesCS1D01G381700</t>
  </si>
  <si>
    <t>TraesCS1D01G410500</t>
  </si>
  <si>
    <t>TraesCS1D01G430800</t>
  </si>
  <si>
    <t>TraesCS1D01G431000</t>
  </si>
  <si>
    <t>TraesCS1D01G435900</t>
  </si>
  <si>
    <t>TraesCS1D01G439300</t>
  </si>
  <si>
    <t>TraesCS1D01G439400</t>
  </si>
  <si>
    <t>TraesCS1D01G439500</t>
  </si>
  <si>
    <t>TraesCS1D01G441600</t>
  </si>
  <si>
    <t>TraesCS1D01G441700</t>
  </si>
  <si>
    <t>TraesCS2A01G008900</t>
  </si>
  <si>
    <t>TraesCS2A01G026600</t>
  </si>
  <si>
    <t>TraesCS2A01G031400</t>
  </si>
  <si>
    <t>TraesCS2A01G039700</t>
  </si>
  <si>
    <t>TraesCS2A01G041000</t>
  </si>
  <si>
    <t>TraesCS2A01G048600</t>
  </si>
  <si>
    <t>TraesCS2A01G060400</t>
  </si>
  <si>
    <t>TraesCS2A01G060600</t>
  </si>
  <si>
    <t>TraesCS2A01G120000</t>
  </si>
  <si>
    <t>TraesCS2A01G120400</t>
  </si>
  <si>
    <t>TraesCS2A01G130900</t>
  </si>
  <si>
    <t>TraesCS2A01G132300</t>
  </si>
  <si>
    <t>TraesCS2A01G196400</t>
  </si>
  <si>
    <t>TraesCS2A01G196700</t>
  </si>
  <si>
    <t>TraesCS2A01G299400</t>
  </si>
  <si>
    <t>TraesCS2A01G305900</t>
  </si>
  <si>
    <t>TraesCS2A01G331400</t>
  </si>
  <si>
    <t>TraesCS2A01G332700</t>
  </si>
  <si>
    <t>TraesCS2A01G343800</t>
  </si>
  <si>
    <t>TraesCS2A01G371600</t>
  </si>
  <si>
    <t>TraesCS2A01G371700</t>
  </si>
  <si>
    <t>TraesCS2A01G385900</t>
  </si>
  <si>
    <t>TraesCS2A01G432200</t>
  </si>
  <si>
    <t>TraesCS2A01G432400</t>
  </si>
  <si>
    <t>TraesCS2A01G436300</t>
  </si>
  <si>
    <t>TraesCS2A01G491800</t>
  </si>
  <si>
    <t>TraesCS2A01G500500</t>
  </si>
  <si>
    <t>TraesCS2A01G504900</t>
  </si>
  <si>
    <t>TraesCS2A01G510200</t>
  </si>
  <si>
    <t>TraesCS2A01G532200</t>
  </si>
  <si>
    <t>TraesCS2A01G532700</t>
  </si>
  <si>
    <t>TraesCS2A01G539100</t>
  </si>
  <si>
    <t>TraesCS2A01G539300</t>
  </si>
  <si>
    <t>TraesCS2A01G584700</t>
  </si>
  <si>
    <t>TraesCS2A01G589900</t>
  </si>
  <si>
    <t>TraesCS2A01G591200</t>
  </si>
  <si>
    <t>TraesCS2B01G033000</t>
  </si>
  <si>
    <t>TraesCS2B01G034700</t>
  </si>
  <si>
    <t>TraesCS2B01G042600</t>
  </si>
  <si>
    <t>TraesCS2B01G043700</t>
  </si>
  <si>
    <t>TraesCS2B01G046900</t>
  </si>
  <si>
    <t>TraesCS2B01G051600</t>
  </si>
  <si>
    <t>TraesCS2B01G067000</t>
  </si>
  <si>
    <t>TraesCS2B01G084000</t>
  </si>
  <si>
    <t>TraesCS2B01G084100</t>
  </si>
  <si>
    <t>TraesCS2B01G102900</t>
  </si>
  <si>
    <t>TraesCS2B01G152600</t>
  </si>
  <si>
    <t>TraesCS2B01G163200</t>
  </si>
  <si>
    <t>TraesCS2B01G210900</t>
  </si>
  <si>
    <t>TraesCS2B01G211300</t>
  </si>
  <si>
    <t>TraesCS2B01G224300</t>
  </si>
  <si>
    <t>TraesCS2B01G230400</t>
  </si>
  <si>
    <t>TraesCS2B01G305900</t>
  </si>
  <si>
    <t>TraesCS2B01G314800</t>
  </si>
  <si>
    <t>TraesCS2B01G359300</t>
  </si>
  <si>
    <t>TraesCS2B01G373300</t>
  </si>
  <si>
    <t>TraesCS2B01G385200</t>
  </si>
  <si>
    <t>TraesCS2B01G394600</t>
  </si>
  <si>
    <t>TraesCS2B01G402800</t>
  </si>
  <si>
    <t>TraesCS2B01G411200</t>
  </si>
  <si>
    <t>TraesCS2B01G419200</t>
  </si>
  <si>
    <t>TraesCS2B01G445500</t>
  </si>
  <si>
    <t>TraesCS2B01G453800</t>
  </si>
  <si>
    <t>TraesCS2B01G489800</t>
  </si>
  <si>
    <t>TraesCS2B01G519500</t>
  </si>
  <si>
    <t>TraesCS2B01G521100</t>
  </si>
  <si>
    <t>TraesCS2B01G521600</t>
  </si>
  <si>
    <t>TraesCS2B01G560900</t>
  </si>
  <si>
    <t>TraesCS2B01G563800</t>
  </si>
  <si>
    <t>TraesCS2B01G569100</t>
  </si>
  <si>
    <t>TraesCS2B01G572400</t>
  </si>
  <si>
    <t>TraesCS2B01G578000</t>
  </si>
  <si>
    <t>TraesCS2B01G592600</t>
  </si>
  <si>
    <t>TraesCS2B01G592700</t>
  </si>
  <si>
    <t>TraesCS2B01G598600</t>
  </si>
  <si>
    <t>TraesCS2D01G029700</t>
  </si>
  <si>
    <t>TraesCS2D01G033200</t>
  </si>
  <si>
    <t>TraesCS2D01G034500</t>
  </si>
  <si>
    <t>TraesCS2D01G038300</t>
  </si>
  <si>
    <t>TraesCS2D01G052300</t>
  </si>
  <si>
    <t>TraesCS2D01G052800</t>
  </si>
  <si>
    <t>TraesCS2D01G053300</t>
  </si>
  <si>
    <t>TraesCS2D01G062000</t>
  </si>
  <si>
    <t>TraesCS2D01G099300</t>
  </si>
  <si>
    <t>TraesCS2D01G132500</t>
  </si>
  <si>
    <t>TraesCS2D01G137300</t>
  </si>
  <si>
    <t>TraesCS2D01G142000</t>
  </si>
  <si>
    <t>TraesCS2D01G147100</t>
  </si>
  <si>
    <t>TraesCS2D01G153100</t>
  </si>
  <si>
    <t>TraesCS2D01G198800</t>
  </si>
  <si>
    <t>TraesCS2D01G204400</t>
  </si>
  <si>
    <t>TraesCS2D01G204700</t>
  </si>
  <si>
    <t>TraesCS2D01G216700</t>
  </si>
  <si>
    <t>TraesCS2D01G222300</t>
  </si>
  <si>
    <t>TraesCS2D01G270100</t>
  </si>
  <si>
    <t>TraesCS2D01G321800</t>
  </si>
  <si>
    <t>TraesCS2D01G322100</t>
  </si>
  <si>
    <t>TraesCS2D01G364200</t>
  </si>
  <si>
    <t>TraesCS2D01G367400</t>
  </si>
  <si>
    <t>TraesCS2D01G407700</t>
  </si>
  <si>
    <t>TraesCS2D01G433600</t>
  </si>
  <si>
    <t>TraesCS2D01G467000</t>
  </si>
  <si>
    <t>TraesCS2D01G483100</t>
  </si>
  <si>
    <t>TraesCS2D01G484500</t>
  </si>
  <si>
    <t>TraesCS2D01G493500</t>
  </si>
  <si>
    <t>TraesCS2D01G500700</t>
  </si>
  <si>
    <t>TraesCS2D01G505600</t>
  </si>
  <si>
    <t>TraesCS2D01G511500</t>
  </si>
  <si>
    <t>TraesCS2D01G519700</t>
  </si>
  <si>
    <t>TraesCS2D01G540000</t>
  </si>
  <si>
    <t>TraesCS2D01G563100</t>
  </si>
  <si>
    <t>TraesCS2D01G563200</t>
  </si>
  <si>
    <t>TraesCS2D01G563400</t>
  </si>
  <si>
    <t>TraesCS2D01G601500</t>
  </si>
  <si>
    <t>TraesCS3A01G044400</t>
  </si>
  <si>
    <t>TraesCS3A01G086500</t>
  </si>
  <si>
    <t>TraesCS3A01G218000</t>
  </si>
  <si>
    <t>TraesCS3A01G268800</t>
  </si>
  <si>
    <t>TraesCS3A01G305000</t>
  </si>
  <si>
    <t>TraesCS3A01G316300</t>
  </si>
  <si>
    <t>TraesCS3A01G382900</t>
  </si>
  <si>
    <t>TraesCS3A01G406800</t>
  </si>
  <si>
    <t>TraesCS3A01G411700</t>
  </si>
  <si>
    <t>TraesCS3A01G438800</t>
  </si>
  <si>
    <t>TraesCS3A01G445300</t>
  </si>
  <si>
    <t>TraesCS3A01G452300</t>
  </si>
  <si>
    <t>TraesCS3A01G489800</t>
  </si>
  <si>
    <t>TraesCS3A01G493600</t>
  </si>
  <si>
    <t>TraesCS3A01G499300</t>
  </si>
  <si>
    <t>TraesCS3A01G507200</t>
  </si>
  <si>
    <t>TraesCS3B01G003700</t>
  </si>
  <si>
    <t>TraesCS3B01G014800</t>
  </si>
  <si>
    <t>TraesCS3B01G039500</t>
  </si>
  <si>
    <t>TraesCS3B01G059000</t>
  </si>
  <si>
    <t>TraesCS3B01G080000</t>
  </si>
  <si>
    <t>TraesCS3B01G080200</t>
  </si>
  <si>
    <t>TraesCS3B01G140500</t>
  </si>
  <si>
    <t>TraesCS3B01G144800</t>
  </si>
  <si>
    <t>TraesCS3B01G161100</t>
  </si>
  <si>
    <t>TraesCS3B01G168900</t>
  </si>
  <si>
    <t>TraesCS3B01G258500</t>
  </si>
  <si>
    <t>TraesCS3B01G258600</t>
  </si>
  <si>
    <t>TraesCS3B01G267700</t>
  </si>
  <si>
    <t>TraesCS3B01G270800</t>
  </si>
  <si>
    <t>TraesCS3B01G295000</t>
  </si>
  <si>
    <t>TraesCS3B01G295600</t>
  </si>
  <si>
    <t>TraesCS3B01G303200</t>
  </si>
  <si>
    <t>TraesCS3B01G362800</t>
  </si>
  <si>
    <t>TraesCS3B01G362900</t>
  </si>
  <si>
    <t>TraesCS3B01G376700</t>
  </si>
  <si>
    <t>TraesCS3B01G380500</t>
  </si>
  <si>
    <t>TraesCS3B01G457400</t>
  </si>
  <si>
    <t>TraesCS3B01G479400</t>
  </si>
  <si>
    <t>TraesCS3B01G480000</t>
  </si>
  <si>
    <t>TraesCS3B01G526300</t>
  </si>
  <si>
    <t>TraesCS3B01G529900</t>
  </si>
  <si>
    <t>TraesCS3B01G555600</t>
  </si>
  <si>
    <t>TraesCS3B01G562500</t>
  </si>
  <si>
    <t>TraesCS3B01G563400</t>
  </si>
  <si>
    <t>TraesCS3B01G569800</t>
  </si>
  <si>
    <t>TraesCS3B01G588200</t>
  </si>
  <si>
    <t>TraesCS3D01G032100</t>
  </si>
  <si>
    <t>TraesCS3D01G048800</t>
  </si>
  <si>
    <t>TraesCS3D01G086800</t>
  </si>
  <si>
    <t>TraesCS3D01G096500</t>
  </si>
  <si>
    <t>TraesCS3D01G126300</t>
  </si>
  <si>
    <t>TraesCS3D01G129200</t>
  </si>
  <si>
    <t>TraesCS3D01G131500</t>
  </si>
  <si>
    <t>TraesCS3D01G219700</t>
  </si>
  <si>
    <t>TraesCS3D01G224400</t>
  </si>
  <si>
    <t>TraesCS3D01G234300</t>
  </si>
  <si>
    <t>TraesCS3D01G268900</t>
  </si>
  <si>
    <t>TraesCS3D01G346200</t>
  </si>
  <si>
    <t>TraesCS3D01G367200</t>
  </si>
  <si>
    <t>TraesCS3D01G385600</t>
  </si>
  <si>
    <t>TraesCS3D01G402300</t>
  </si>
  <si>
    <t>TraesCS3D01G403800</t>
  </si>
  <si>
    <t>TraesCS3D01G426900</t>
  </si>
  <si>
    <t>TraesCS3D01G429400</t>
  </si>
  <si>
    <t>TraesCS3D01G433800</t>
  </si>
  <si>
    <t>TraesCS3D01G438200</t>
  </si>
  <si>
    <t>TraesCS3D01G447700</t>
  </si>
  <si>
    <t>TraesCS3D01G456200</t>
  </si>
  <si>
    <t>TraesCS3D01G475800</t>
  </si>
  <si>
    <t>TraesCS3D01G477300</t>
  </si>
  <si>
    <t>TraesCS3D01G477800</t>
  </si>
  <si>
    <t>TraesCS3D01G514700</t>
  </si>
  <si>
    <t>TraesCS4A01G020100</t>
  </si>
  <si>
    <t>TraesCS4A01G033500</t>
  </si>
  <si>
    <t>TraesCS4A01G070600</t>
  </si>
  <si>
    <t>TraesCS4A01G083900</t>
  </si>
  <si>
    <t>TraesCS4A01G126400</t>
  </si>
  <si>
    <t>TraesCS4A01G198900</t>
  </si>
  <si>
    <t>TraesCS4A01G202100</t>
  </si>
  <si>
    <t>TraesCS4A01G202300</t>
  </si>
  <si>
    <t>TraesCS4A01G265000</t>
  </si>
  <si>
    <t>TraesCS4A01G288700</t>
  </si>
  <si>
    <t>TraesCS4A01G304200</t>
  </si>
  <si>
    <t>TraesCS4A01G312700</t>
  </si>
  <si>
    <t>TraesCS4A01G316000</t>
  </si>
  <si>
    <t>TraesCS4A01G341500</t>
  </si>
  <si>
    <t>TraesCS4A01G364000</t>
  </si>
  <si>
    <t>TraesCS4A01G372700</t>
  </si>
  <si>
    <t>TraesCS4A01G384500</t>
  </si>
  <si>
    <t>TraesCS4A01G405600</t>
  </si>
  <si>
    <t>TraesCS4A01G436500</t>
  </si>
  <si>
    <t>TraesCS4A01G486800</t>
  </si>
  <si>
    <t>TraesCS4B01G009500</t>
  </si>
  <si>
    <t>TraesCS4B01G032300</t>
  </si>
  <si>
    <t>TraesCS4B01G098100</t>
  </si>
  <si>
    <t>TraesCS4B01G106500</t>
  </si>
  <si>
    <t>TraesCS4B01G142000</t>
  </si>
  <si>
    <t>TraesCS4B01G178500</t>
  </si>
  <si>
    <t>TraesCS4B01G202000</t>
  </si>
  <si>
    <t>TraesCS4B01G218800</t>
  </si>
  <si>
    <t>TraesCS4B01G240900</t>
  </si>
  <si>
    <t>TraesCS4B01G323400</t>
  </si>
  <si>
    <t>TraesCS4B01G324000</t>
  </si>
  <si>
    <t>TraesCS4B01G328100</t>
  </si>
  <si>
    <t>TraesCS4B01G356600</t>
  </si>
  <si>
    <t>TraesCS4B01G396600</t>
  </si>
  <si>
    <t>TraesCS4D01G030000</t>
  </si>
  <si>
    <t>TraesCS4D01G098400</t>
  </si>
  <si>
    <t>TraesCS4D01G103000</t>
  </si>
  <si>
    <t>TraesCS4D01G109000</t>
  </si>
  <si>
    <t>TraesCS4D01G116600</t>
  </si>
  <si>
    <t>TraesCS4D01G142400</t>
  </si>
  <si>
    <t>TraesCS4D01G197900</t>
  </si>
  <si>
    <t>TraesCS4D01G198000</t>
  </si>
  <si>
    <t>TraesCS4D01G204700</t>
  </si>
  <si>
    <t>TraesCS4D01G220500</t>
  </si>
  <si>
    <t>TraesCS4D01G253800</t>
  </si>
  <si>
    <t>TraesCS4D01G286400</t>
  </si>
  <si>
    <t>TraesCS4D01G303400</t>
  </si>
  <si>
    <t>TraesCS4D01G319600</t>
  </si>
  <si>
    <t>TraesCS4D01G337000</t>
  </si>
  <si>
    <t>TraesCS4D01G350300</t>
  </si>
  <si>
    <t>TraesCS5A01G019800</t>
  </si>
  <si>
    <t>TraesCS5A01G070400</t>
  </si>
  <si>
    <t>TraesCS5A01G072700</t>
  </si>
  <si>
    <t>TraesCS5A01G097700</t>
  </si>
  <si>
    <t>TraesCS5A01G102500</t>
  </si>
  <si>
    <t>TraesCS5A01G208500</t>
  </si>
  <si>
    <t>TraesCS5A01G226400</t>
  </si>
  <si>
    <t>TraesCS5A01G261200</t>
  </si>
  <si>
    <t>TraesCS5A01G321000</t>
  </si>
  <si>
    <t>TraesCS5A01G321900</t>
  </si>
  <si>
    <t>TraesCS5A01G381100</t>
  </si>
  <si>
    <t>TraesCS5A01G406100</t>
  </si>
  <si>
    <t>TraesCS5A01G433200</t>
  </si>
  <si>
    <t>TraesCS5A01G445700</t>
  </si>
  <si>
    <t>TraesCS5A01G453200</t>
  </si>
  <si>
    <t>TraesCS5A01G462600</t>
  </si>
  <si>
    <t>TraesCS5A01G495400</t>
  </si>
  <si>
    <t>TraesCS5A01G529900</t>
  </si>
  <si>
    <t>TraesCS5A01G545500</t>
  </si>
  <si>
    <t>TraesCS5A01G552200</t>
  </si>
  <si>
    <t>TraesCS5A01G552800</t>
  </si>
  <si>
    <t>TraesCS5B01G015100</t>
  </si>
  <si>
    <t>TraesCS5B01G023100</t>
  </si>
  <si>
    <t>TraesCS5B01G057900</t>
  </si>
  <si>
    <t>TraesCS5B01G063600</t>
  </si>
  <si>
    <t>TraesCS5B01G076200</t>
  </si>
  <si>
    <t>TraesCS5B01G143000</t>
  </si>
  <si>
    <t>TraesCS5B01G153100</t>
  </si>
  <si>
    <t>TraesCS5B01G183700</t>
  </si>
  <si>
    <t>TraesCS5B01G184600</t>
  </si>
  <si>
    <t>TraesCS5B01G187600</t>
  </si>
  <si>
    <t>TraesCS5B01G228500</t>
  </si>
  <si>
    <t>TraesCS5B01G255200</t>
  </si>
  <si>
    <t>TraesCS5B01G321500</t>
  </si>
  <si>
    <t>TraesCS5B01G363400</t>
  </si>
  <si>
    <t>TraesCS5B01G394300</t>
  </si>
  <si>
    <t>TraesCS5B01G402000</t>
  </si>
  <si>
    <t>TraesCS5B01G408200</t>
  </si>
  <si>
    <t>TraesCS5B01G410900</t>
  </si>
  <si>
    <t>TraesCS5B01G429800</t>
  </si>
  <si>
    <t>TraesCS5B01G454700</t>
  </si>
  <si>
    <t>TraesCS5B01G462200</t>
  </si>
  <si>
    <t>TraesCS5B01G473300</t>
  </si>
  <si>
    <t>TraesCS5B01G475700</t>
  </si>
  <si>
    <t>TraesCS5B01G520200</t>
  </si>
  <si>
    <t>TraesCS5D01G019400</t>
  </si>
  <si>
    <t>TraesCS5D01G038400</t>
  </si>
  <si>
    <t>TraesCS5D01G042800</t>
  </si>
  <si>
    <t>TraesCS5D01G136100</t>
  </si>
  <si>
    <t>TraesCS5D01G140600</t>
  </si>
  <si>
    <t>TraesCS5D01G179200</t>
  </si>
  <si>
    <t>TraesCS5D01G191400</t>
  </si>
  <si>
    <t>TraesCS5D01G194400</t>
  </si>
  <si>
    <t>TraesCS5D01G194600</t>
  </si>
  <si>
    <t>TraesCS5D01G195200</t>
  </si>
  <si>
    <t>TraesCS5D01G199900</t>
  </si>
  <si>
    <t>TraesCS5D01G233800</t>
  </si>
  <si>
    <t>TraesCS5D01G237800</t>
  </si>
  <si>
    <t>TraesCS5D01G243500</t>
  </si>
  <si>
    <t>TraesCS5D01G250300</t>
  </si>
  <si>
    <t>TraesCS5D01G251100</t>
  </si>
  <si>
    <t>TraesCS5D01G268600</t>
  </si>
  <si>
    <t>TraesCS5D01G268800</t>
  </si>
  <si>
    <t>TraesCS5D01G276800</t>
  </si>
  <si>
    <t>TraesCS5D01G369800</t>
  </si>
  <si>
    <t>TraesCS5D01G373800</t>
  </si>
  <si>
    <t>TraesCS5D01G395800</t>
  </si>
  <si>
    <t>TraesCS5D01G455400</t>
  </si>
  <si>
    <t>TraesCS5D01G472000</t>
  </si>
  <si>
    <t>TraesCS6A01G076500</t>
  </si>
  <si>
    <t>TraesCS6A01G092600</t>
  </si>
  <si>
    <t>TraesCS6A01G120000</t>
  </si>
  <si>
    <t>TraesCS6A01G171800</t>
  </si>
  <si>
    <t>TraesCS6A01G175900</t>
  </si>
  <si>
    <t>TraesCS6A01G220200</t>
  </si>
  <si>
    <t>TraesCS6A01G232500</t>
  </si>
  <si>
    <t>TraesCS6A01G249300</t>
  </si>
  <si>
    <t>TraesCS6A01G297500</t>
  </si>
  <si>
    <t>TraesCS6A01G342000</t>
  </si>
  <si>
    <t>TraesCS6A01G363100</t>
  </si>
  <si>
    <t>TraesCS6B01G080000</t>
  </si>
  <si>
    <t>TraesCS6B01G089900</t>
  </si>
  <si>
    <t>TraesCS6B01G098100</t>
  </si>
  <si>
    <t>TraesCS6B01G114400</t>
  </si>
  <si>
    <t>TraesCS6B01G121300</t>
  </si>
  <si>
    <t>TraesCS6B01G121600</t>
  </si>
  <si>
    <t>TraesCS6B01G122900</t>
  </si>
  <si>
    <t>TraesCS6B01G131200</t>
  </si>
  <si>
    <t>TraesCS6B01G132100</t>
  </si>
  <si>
    <t>TraesCS6B01G138100</t>
  </si>
  <si>
    <t>TraesCS6B01G151000</t>
  </si>
  <si>
    <t>TraesCS6B01G153100</t>
  </si>
  <si>
    <t>TraesCS6B01G171900</t>
  </si>
  <si>
    <t>TraesCS6B01G196500</t>
  </si>
  <si>
    <t>TraesCS6B01G229400</t>
  </si>
  <si>
    <t>TraesCS6B01G261700</t>
  </si>
  <si>
    <t>TraesCS6B01G276300</t>
  </si>
  <si>
    <t>TraesCS6B01G281000</t>
  </si>
  <si>
    <t>TraesCS6B01G283800</t>
  </si>
  <si>
    <t>TraesCS6B01G347800</t>
  </si>
  <si>
    <t>TraesCS6B01G354400</t>
  </si>
  <si>
    <t>TraesCS6B01G365900</t>
  </si>
  <si>
    <t>TraesCS6B01G374000</t>
  </si>
  <si>
    <t>TraesCS6B01G380800</t>
  </si>
  <si>
    <t>TraesCS6B01G398100</t>
  </si>
  <si>
    <t>TraesCS6B01G398300</t>
  </si>
  <si>
    <t>TraesCS6B01G416400</t>
  </si>
  <si>
    <t>TraesCS6D01G005500</t>
  </si>
  <si>
    <t>TraesCS6D01G020700</t>
  </si>
  <si>
    <t>TraesCS6D01G043200</t>
  </si>
  <si>
    <t>TraesCS6D01G053400</t>
  </si>
  <si>
    <t>TraesCS6D01G054900</t>
  </si>
  <si>
    <t>TraesCS6D01G062600</t>
  </si>
  <si>
    <t>TraesCS6D01G066900</t>
  </si>
  <si>
    <t>TraesCS6D01G072300</t>
  </si>
  <si>
    <t>TraesCS6D01G098100</t>
  </si>
  <si>
    <t>TraesCS6D01G104000</t>
  </si>
  <si>
    <t>TraesCS6D01G106200</t>
  </si>
  <si>
    <t>TraesCS6D01G110000</t>
  </si>
  <si>
    <t>TraesCS6D01G117700</t>
  </si>
  <si>
    <t>TraesCS6D01G198800</t>
  </si>
  <si>
    <t>TraesCS6D01G222100</t>
  </si>
  <si>
    <t>TraesCS6D01G230500</t>
  </si>
  <si>
    <t>TraesCS6D01G296700</t>
  </si>
  <si>
    <t>TraesCS6D01G359100</t>
  </si>
  <si>
    <t>TraesCS6D01G402100</t>
  </si>
  <si>
    <t>TraesCS7A01G031000</t>
  </si>
  <si>
    <t>TraesCS7A01G077500</t>
  </si>
  <si>
    <t>TraesCS7A01G127100</t>
  </si>
  <si>
    <t>TraesCS7A01G146600</t>
  </si>
  <si>
    <t>TraesCS7A01G160200</t>
  </si>
  <si>
    <t>TraesCS7A01G184800</t>
  </si>
  <si>
    <t>TraesCS7A01G196100</t>
  </si>
  <si>
    <t>TraesCS7A01G201800</t>
  </si>
  <si>
    <t>TraesCS7A01G215800</t>
  </si>
  <si>
    <t>TraesCS7A01G217700</t>
  </si>
  <si>
    <t>TraesCS7A01G240400</t>
  </si>
  <si>
    <t>TraesCS7A01G241400</t>
  </si>
  <si>
    <t>TraesCS7A01G317500</t>
  </si>
  <si>
    <t>TraesCS7A01G328500</t>
  </si>
  <si>
    <t>TraesCS7A01G374200</t>
  </si>
  <si>
    <t>TraesCS7A01G425900</t>
  </si>
  <si>
    <t>TraesCS7A01G450200</t>
  </si>
  <si>
    <t>TraesCS7A01G458400</t>
  </si>
  <si>
    <t>TraesCS7A01G459400</t>
  </si>
  <si>
    <t>TraesCS7A01G466800</t>
  </si>
  <si>
    <t>TraesCS7A01G489000</t>
  </si>
  <si>
    <t>TraesCS7A01G498300</t>
  </si>
  <si>
    <t>TraesCS7A01G500100</t>
  </si>
  <si>
    <t>TraesCS7A01G537500</t>
  </si>
  <si>
    <t>TraesCS7B01G000200</t>
  </si>
  <si>
    <t>TraesCS7B01G003800</t>
  </si>
  <si>
    <t>TraesCS7B01G031800</t>
  </si>
  <si>
    <t>TraesCS7B01G037400</t>
  </si>
  <si>
    <t>TraesCS7B01G038200</t>
  </si>
  <si>
    <t>TraesCS7B01G044000</t>
  </si>
  <si>
    <t>TraesCS7B01G077800</t>
  </si>
  <si>
    <t>TraesCS7B01G115300</t>
  </si>
  <si>
    <t>TraesCS7B01G122800</t>
  </si>
  <si>
    <t>TraesCS7B01G225400</t>
  </si>
  <si>
    <t>TraesCS7B01G241200</t>
  </si>
  <si>
    <t>TraesCS7B01G278900</t>
  </si>
  <si>
    <t>TraesCS7B01G294200</t>
  </si>
  <si>
    <t>TraesCS7B01G296900</t>
  </si>
  <si>
    <t>TraesCS7B01G301600</t>
  </si>
  <si>
    <t>TraesCS7B01G359700</t>
  </si>
  <si>
    <t>TraesCS7B01G370700</t>
  </si>
  <si>
    <t>TraesCS7B01G403700</t>
  </si>
  <si>
    <t>TraesCS7B01G411800</t>
  </si>
  <si>
    <t>TraesCS7B01G430500</t>
  </si>
  <si>
    <t>TraesCS7B01G453400</t>
  </si>
  <si>
    <t>TraesCS7B01G455700</t>
  </si>
  <si>
    <t>TraesCS7B01G498100</t>
  </si>
  <si>
    <t>TraesCS7D01G021100</t>
  </si>
  <si>
    <t>TraesCS7D01G030700</t>
  </si>
  <si>
    <t>TraesCS7D01G134100</t>
  </si>
  <si>
    <t>TraesCS7D01G181600</t>
  </si>
  <si>
    <t>TraesCS7D01G190100</t>
  </si>
  <si>
    <t>TraesCS7D01G204900</t>
  </si>
  <si>
    <t>TraesCS7D01G210500</t>
  </si>
  <si>
    <t>TraesCS7D01G217500</t>
  </si>
  <si>
    <t>TraesCS7D01G219400</t>
  </si>
  <si>
    <t>TraesCS7D01G276900</t>
  </si>
  <si>
    <t>TraesCS7D01G308600</t>
  </si>
  <si>
    <t>TraesCS7D01G324200</t>
  </si>
  <si>
    <t>TraesCS7D01G337900</t>
  </si>
  <si>
    <t>TraesCS7D01G365800</t>
  </si>
  <si>
    <t>TraesCS7D01G389500</t>
  </si>
  <si>
    <t>TraesCS7D01G400700</t>
  </si>
  <si>
    <t>TraesCS7D01G405800</t>
  </si>
  <si>
    <t>TraesCS7D01G420300</t>
  </si>
  <si>
    <t>TraesCS7D01G439400</t>
  </si>
  <si>
    <t>TraesCS7D01G447200</t>
  </si>
  <si>
    <t>TraesCS7D01G454600</t>
  </si>
  <si>
    <t>TraesCS7D01G459600</t>
  </si>
  <si>
    <t>TraesCS7D01G466100</t>
  </si>
  <si>
    <t>TraesCS7D01G475300</t>
  </si>
  <si>
    <t>TraesCS7D01G477800</t>
  </si>
  <si>
    <t>TraesCS7D01G491900</t>
  </si>
  <si>
    <t>TraesCSU01G008100</t>
  </si>
  <si>
    <t>TraesCSU01G008800</t>
  </si>
  <si>
    <t>TraesCSU01G008900</t>
  </si>
  <si>
    <t>TraesCSU01G009100</t>
  </si>
  <si>
    <t>TraesCSU01G028400</t>
  </si>
  <si>
    <t>TraesCSU01G028500</t>
  </si>
  <si>
    <t>TraesCSU01G033000</t>
  </si>
  <si>
    <t>TraesCSU01G050000</t>
  </si>
  <si>
    <t>TraesCSU01G076000</t>
  </si>
  <si>
    <t>TraesCSU01G115900</t>
  </si>
  <si>
    <t>TraesCSU01G129500</t>
  </si>
  <si>
    <t>TraesCSU01G147200</t>
  </si>
  <si>
    <t>TraesCSU01G194300</t>
  </si>
  <si>
    <t>TraesCSU01G219500</t>
  </si>
  <si>
    <t>Fg_up &amp; ABA_down</t>
  </si>
  <si>
    <t>Gene list (86)</t>
  </si>
  <si>
    <t>TraesCS1A01G306600</t>
  </si>
  <si>
    <t>TraesCS1B01G115900</t>
  </si>
  <si>
    <t>TraesCS1D01G374900</t>
  </si>
  <si>
    <t>TraesCS1D01G375100</t>
  </si>
  <si>
    <t>TraesCS2A01G052900</t>
  </si>
  <si>
    <t>TraesCS2A01G061800</t>
  </si>
  <si>
    <t>TraesCS2A01G061900</t>
  </si>
  <si>
    <t>TraesCS2A01G062000</t>
  </si>
  <si>
    <t>TraesCS2A01G062200</t>
  </si>
  <si>
    <t>TraesCS2A01G063100</t>
  </si>
  <si>
    <t>TraesCS6D01G088800;TraesCS6B01G122800;TraesCS6A01G094400;TraesCS7D01G199400;TraesCS1D01G374900</t>
  </si>
  <si>
    <t>TraesCS2A01G267200</t>
  </si>
  <si>
    <t>RNA polymerase II, core complex</t>
  </si>
  <si>
    <t>TraesCS2A01G558100;TraesCS2D01G571500;TraesCS2B01G622300</t>
  </si>
  <si>
    <t>TraesCS2A01G380800</t>
  </si>
  <si>
    <t>TraesCS6D01G088800;TraesCS6B01G122800;TraesCS7D01G199400;TraesCS1D01G374900</t>
  </si>
  <si>
    <t>TraesCS2A01G558100</t>
  </si>
  <si>
    <t>TraesCS2B01G075800</t>
  </si>
  <si>
    <t>protochlorophyllide reductase activity</t>
  </si>
  <si>
    <t>TraesCS2D01G563600;TraesCS2B01G593000</t>
  </si>
  <si>
    <t>TraesCS2B01G194200</t>
  </si>
  <si>
    <t>photosynthesis, light reaction</t>
  </si>
  <si>
    <t>TraesCS2B01G229200</t>
  </si>
  <si>
    <t>TraesCS2D01G256900;TraesCS2A01G267200</t>
  </si>
  <si>
    <t>TraesCS2B01G506400</t>
  </si>
  <si>
    <t>TraesCS6D01G088800;TraesCS6B01G122800;TraesCS2B01G593000;TraesCS6A01G094400;TraesCS7D01G199400;TraesCS1D01G374900</t>
  </si>
  <si>
    <t>TraesCS2B01G593000</t>
  </si>
  <si>
    <t>TraesCS2B01G622300</t>
  </si>
  <si>
    <t>TraesCS2D01G061000</t>
  </si>
  <si>
    <t>RNA polymerase II, holoenzyme</t>
  </si>
  <si>
    <t>TraesCS2D01G175600</t>
  </si>
  <si>
    <t>TraesCS2D01G256900</t>
  </si>
  <si>
    <t>nuclear DNA-directed RNA polymerase complex</t>
  </si>
  <si>
    <t>TraesCS2D01G347900</t>
  </si>
  <si>
    <t>RNA polymerase complex</t>
  </si>
  <si>
    <t>TraesCS2D01G563600</t>
  </si>
  <si>
    <t>DNA-directed RNA polymerase complex</t>
  </si>
  <si>
    <t>TraesCS2D01G571500</t>
  </si>
  <si>
    <t>photosystem II</t>
  </si>
  <si>
    <t>TraesCS3A01G317100</t>
  </si>
  <si>
    <t>transcription by RNA polymerase II</t>
  </si>
  <si>
    <t>TraesCS3B01G349300</t>
  </si>
  <si>
    <t>TraesCS2A01G558100;TraesCS1D01G436900;TraesCS5A01G265600;TraesCS2A01G380800;TraesCS5B01G265300;TraesCS2B01G593000;TraesCS2D01G571500;TraesCS7B01G277800;TraesCS2B01G622300;TraesCS5D01G273500</t>
  </si>
  <si>
    <t>TraesCS3D01G038700</t>
  </si>
  <si>
    <t>TraesCS2B01G194200;TraesCS2D01G175600</t>
  </si>
  <si>
    <t>TraesCS3D01G283300</t>
  </si>
  <si>
    <t>photosystem</t>
  </si>
  <si>
    <t>TraesCS3D01G314100</t>
  </si>
  <si>
    <t>transferase complex, transferring phosphorus-containing groups</t>
  </si>
  <si>
    <t>TraesCS4D01G102600</t>
  </si>
  <si>
    <t>DNA-directed 5'-3' RNA polymerase activity</t>
  </si>
  <si>
    <t>TraesCS5A01G024200</t>
  </si>
  <si>
    <t>TraesCS5A01G153200</t>
  </si>
  <si>
    <t>TraesCS5B01G152000</t>
  </si>
  <si>
    <t>TraesCS2A01G558100;TraesCS5A01G265600;TraesCS5B01G265300;TraesCS2D01G571500;TraesCS7B01G277800;TraesCS2B01G622300;TraesCS5D01G273500</t>
  </si>
  <si>
    <t>TraesCS5B01G527000</t>
  </si>
  <si>
    <t>TraesCS5D01G305800</t>
  </si>
  <si>
    <t>TraesCS5D01G500000</t>
  </si>
  <si>
    <t>oxidoreductase activity, acting on the CH-CH group of donors, NAD or NADP as acceptor</t>
  </si>
  <si>
    <t>TraesCS6A01G094400</t>
  </si>
  <si>
    <t>TraesCS6B01G122800</t>
  </si>
  <si>
    <t>TraesCS6D01G088800</t>
  </si>
  <si>
    <t>generation of precursor metabolites and energy</t>
  </si>
  <si>
    <t>TraesCS6D01G092200</t>
  </si>
  <si>
    <t>TraesCS2A01G558100;TraesCS1D01G436900;TraesCS5A01G265600;TraesCS5B01G265300;TraesCS2B01G593000;TraesCS2D01G571500;TraesCS7B01G277800;TraesCS2B01G622300;TraesCS5D01G273500</t>
  </si>
  <si>
    <t>TraesCS7A01G074200</t>
  </si>
  <si>
    <t>nucleoplasm part</t>
  </si>
  <si>
    <t>TraesCS7A01G221300</t>
  </si>
  <si>
    <t>TraesCS2A01G558100;TraesCS1D01G436900;TraesCS5A01G265600;TraesCS5B01G265300;TraesCS2D01G571500;TraesCS7B01G277800;TraesCS2B01G622300;TraesCS5D01G273500</t>
  </si>
  <si>
    <t>TraesCS7A01G261100</t>
  </si>
  <si>
    <t>nucleoplasm</t>
  </si>
  <si>
    <t>TraesCS7A01G541100</t>
  </si>
  <si>
    <t>photosynthetic membrane</t>
  </si>
  <si>
    <t>TraesCS7B01G089900</t>
  </si>
  <si>
    <t>TraesCS6D01G088800;TraesCS7D01G199400</t>
  </si>
  <si>
    <t>TraesCS7B01G277800</t>
  </si>
  <si>
    <t>TraesCS5A01G233300;TraesCS5B01G231800</t>
  </si>
  <si>
    <t>TraesCS7D01G199400</t>
  </si>
  <si>
    <t>TraesCS7D01G248500</t>
  </si>
  <si>
    <t>thylakoid part</t>
  </si>
  <si>
    <t>TraesCS7D01G263100</t>
  </si>
  <si>
    <t>TraesCS3D01G130300;TraesCS5A01G513600</t>
  </si>
  <si>
    <t>TraesCS7D01G384600</t>
  </si>
  <si>
    <t>TraesCS2A01G558100;TraesCS7A01G074200;TraesCS1D01G436900;TraesCS5A01G265600;TraesCS5B01G265300;TraesCS2B01G593000;TraesCS2D01G571500;TraesCS7B01G277800;TraesCS2B01G622300;TraesCS5D01G273500</t>
  </si>
  <si>
    <t>TraesCS3B01G468800</t>
  </si>
  <si>
    <t>TraesCS2A01G380800;TraesCS1B01G115900;TraesCS4D01G102600</t>
  </si>
  <si>
    <t>TraesCS3B01G524500</t>
  </si>
  <si>
    <t>TraesCS2A01G558100;TraesCS2B01G194200;TraesCS1D01G436900;TraesCS2A01G380800;TraesCS5B01G265300;TraesCS2D01G175600;TraesCS7B01G277800;TraesCS2B01G622300;TraesCS5D01G273500;TraesCS6D01G018500;TraesCS7A01G074200;TraesCS5A01G265600;TraesCS2B01G593000;TraesCS2D01G571500</t>
  </si>
  <si>
    <t>TraesCS1D01G436900</t>
  </si>
  <si>
    <t>TraesCS2A01G349500</t>
  </si>
  <si>
    <t>oxidoreductase activity, acting on the CH-CH group of donors</t>
  </si>
  <si>
    <t>TraesCS2B01G110300</t>
  </si>
  <si>
    <t>TraesCS2D01G206000</t>
  </si>
  <si>
    <t>TraesCS5D01G030100;TraesCS5A01G024200</t>
  </si>
  <si>
    <t>TraesCS2D01G483300</t>
  </si>
  <si>
    <t>'de novo' CTP biosynthetic process</t>
  </si>
  <si>
    <t>TraesCS3A01G144600</t>
  </si>
  <si>
    <t>TraesCS6D01G088800;TraesCS5A01G233300;TraesCS5B01G152000;TraesCS6A01G180600;TraesCS7D01G263100;TraesCS5B01G231800;TraesCS6B01G122800;TraesCS2D01G483300;TraesCS7A01G420000;TraesCS7D01G199400;TraesCS1D01G374900;TraesCS7A01G261100</t>
  </si>
  <si>
    <t>TraesCS3D01G130300</t>
  </si>
  <si>
    <t>TraesCS3D01G235200</t>
  </si>
  <si>
    <t>TraesCS3D01G491900</t>
  </si>
  <si>
    <t>transferase complex</t>
  </si>
  <si>
    <t>TraesCS4A01G109700</t>
  </si>
  <si>
    <t>TraesCS4D01G303900</t>
  </si>
  <si>
    <t>thylakoid</t>
  </si>
  <si>
    <t>TraesCS5A01G090900</t>
  </si>
  <si>
    <t>CTP synthase activity</t>
  </si>
  <si>
    <t>TraesCS5A01G233300</t>
  </si>
  <si>
    <t>TraesCS5A01G265600</t>
  </si>
  <si>
    <t>TraesCS3A01G317100;TraesCS2A01G558100;TraesCS7D01G248500;TraesCS3B01G349300;TraesCS3D01G314100;TraesCS5A01G265600;TraesCS5B01G265300;TraesCS2D01G571500;TraesCS7B01G277800;TraesCS2B01G622300;TraesCS5D01G273500</t>
  </si>
  <si>
    <t>TraesCS5A01G513600</t>
  </si>
  <si>
    <t>TraesCS1B01G115900;TraesCS4D01G102600</t>
  </si>
  <si>
    <t>TraesCS5B01G039100</t>
  </si>
  <si>
    <t>TraesCS5B01G231800</t>
  </si>
  <si>
    <t>TraesCS5B01G265300</t>
  </si>
  <si>
    <t>membrane protein complex</t>
  </si>
  <si>
    <t>TraesCS5D01G030100</t>
  </si>
  <si>
    <t>TraesCS6D01G088800;TraesCS6B01G122800;TraesCS1B01G115900;TraesCS7D01G199400;TraesCS1D01G374900;TraesCS4D01G102600</t>
  </si>
  <si>
    <t>TraesCS5D01G103200</t>
  </si>
  <si>
    <t>TraesCS5D01G273500</t>
  </si>
  <si>
    <t>TraesCS5D01G368500</t>
  </si>
  <si>
    <t>TraesCS6A01G027100</t>
  </si>
  <si>
    <t>nuclear lumen</t>
  </si>
  <si>
    <t>TraesCS6A01G180600</t>
  </si>
  <si>
    <t>TraesCS6A01G296500</t>
  </si>
  <si>
    <t>TraesCS6A01G180600;TraesCS1B01G115900;TraesCS4D01G102600</t>
  </si>
  <si>
    <t>TraesCS6B01G269400</t>
  </si>
  <si>
    <t>TraesCS6B01G326300</t>
  </si>
  <si>
    <t>TraesCS6D01G018500</t>
  </si>
  <si>
    <t>TraesCS7A01G249900</t>
  </si>
  <si>
    <t>TraesCS7A01G420000</t>
  </si>
  <si>
    <t>cytoplasmic translational initiation</t>
  </si>
  <si>
    <t>TraesCS7A01G510200</t>
  </si>
  <si>
    <t>formation of translation preinitiation complex</t>
  </si>
  <si>
    <t>TraesCS7B01G093200</t>
  </si>
  <si>
    <t>translation preinitiation complex</t>
  </si>
  <si>
    <t>TraesCS7D01G536500</t>
  </si>
  <si>
    <t>eukaryotic 43S preinitiation complex</t>
  </si>
  <si>
    <t>eukaryotic 48S preinitiation complex</t>
  </si>
  <si>
    <t>cytoplasmic translation</t>
  </si>
  <si>
    <t>regulation of translational initiation</t>
  </si>
  <si>
    <t>TraesCS5A01G233300;TraesCS5B01G231800;TraesCS7A01G420000</t>
  </si>
  <si>
    <t>organelle lumen</t>
  </si>
  <si>
    <t>intracellular organelle lumen</t>
  </si>
  <si>
    <t>chloroplast</t>
  </si>
  <si>
    <t>TraesCS6D01G088800;TraesCS6B01G122800;TraesCS2B01G593000;TraesCS7D01G199400;TraesCS1D01G374900</t>
  </si>
  <si>
    <t>plastid thylakoid membrane</t>
  </si>
  <si>
    <t>chloroplast thylakoid membrane</t>
  </si>
  <si>
    <t>pyrimidine nucleoside triphosphate metabolic process</t>
  </si>
  <si>
    <t>TraesCS2A01G558100;TraesCS7A01G074200;TraesCS5A01G265600;TraesCS5B01G265300;TraesCS2D01G571500;TraesCS7B01G277800;TraesCS2B01G622300;TraesCS5D01G273500</t>
  </si>
  <si>
    <t>pyrimidine nucleoside biosynthetic process</t>
  </si>
  <si>
    <t>pyrimidine ribonucleoside biosynthetic process</t>
  </si>
  <si>
    <t>plastid</t>
  </si>
  <si>
    <t>glutamine metabolic process</t>
  </si>
  <si>
    <t>catalytic activity, acting on RNA</t>
  </si>
  <si>
    <t>TraesCS2A01G558100;TraesCS7A01G074200;TraesCS1D01G436900;TraesCS5A01G265600;TraesCS2A01G380800;TraesCS5B01G265300;TraesCS2B01G593000;TraesCS2D01G571500;TraesCS7B01G277800;TraesCS2B01G622300;TraesCS5D01G273500</t>
  </si>
  <si>
    <t>Fg_up &amp; GA_up</t>
  </si>
  <si>
    <t>Gene list (1400)</t>
  </si>
  <si>
    <t>TraesCS1A01G004500</t>
  </si>
  <si>
    <t>TraesCS1A01G042700</t>
  </si>
  <si>
    <t>TraesCS7A01G330000;TraesCS2A01G590900;TraesCS2A01G588300;TraesCS7D01G009700;TraesCS2D01G402000;TraesCS4B01G227000;TraesCS1A01G383900;TraesCS4B01G074100;TraesCS2B01G369100;TraesCS1D01G056500;TraesCS2A01G588900;TraesCS2A01G588700;TraesCS1D01G283900;TraesCS6A01G266100;TraesCS6B01G058000;TraesCS4A01G071100;TraesCS4B01G026100;TraesCS2D01G349000;TraesCS4D01G350500;TraesCSU01G020500;TraesCS1B01G090700;TraesCS6D01G048900;TraesCS3A01G483100;TraesCS2D01G349400;TraesCS3B01G526000;TraesCS5B01G476000;TraesCS2A01G350800;TraesCS3D01G475200;TraesCS5A01G526200;TraesCS2D01G348800;TraesCS2B01G580200;TraesCS4D01G023500;TraesCS1D01G162000;TraesCS7B01G493700;TraesCS4D01G325400;TraesCS2D01G564900;TraesCS5D01G408200;TraesCS1D01G402500;TraesCS2D01G550700;TraesCS4A01G485000;TraesCS2A01G405100;TraesCS3D01G476500;TraesCS3B01G526700;TraesCS4A01G240900;TraesCS4D01G072800;TraesCS5A01G464500;TraesCS7A01G427300;TraesCS2B01G594700;TraesCS4A01G186500;TraesCS2B01G594900;TraesCS2B01G369000;TraesCS2D01G033100;TraesCS4D01G142000;TraesCS5D01G019100;TraesCS3D01G478000;TraesCS4B01G328400;TraesCS1B01G182000;TraesCS2A01G350700;TraesCS2A01G350900;TraesCS1A01G072100;TraesCS7B01G286100;TraesCS7A01G549300;TraesCS2D01G348900;TraesCS2B01G580300;TraesCS1B01G422700;TraesCS4D01G325500;TraesCS5D01G477100;TraesCS4B01G356800;TraesCS7A01G391400;TraesCS1A01G203600;TraesCS4A01G175900;TraesCS4D01G227700;TraesCS2D01G550600</t>
  </si>
  <si>
    <t>TraesCS7A01G330000;TraesCS2A01G590900;TraesCS2A01G588300;TraesCS7D01G009700;TraesCS2D01G402000;TraesCS4B01G227000;TraesCS1A01G383900;TraesCS4B01G074100;TraesCS2B01G369100;TraesCS1D01G056500;TraesCS2A01G588900;TraesCS2A01G588700;TraesCS1D01G283900;TraesCS6A01G266100;TraesCS6B01G058000;TraesCS4A01G071100;TraesCS4B01G026100;TraesCS1A01G277900;TraesCS2D01G349000;TraesCS4D01G350500;TraesCSU01G020500;TraesCS1B01G090700;TraesCS6D01G048900;TraesCS3A01G483100;TraesCS2D01G349400;TraesCS3B01G526000;TraesCS5B01G476000;TraesCS2A01G350800;TraesCS3D01G475200;TraesCS5A01G526200;TraesCS2D01G348800;TraesCS2B01G580200;TraesCS4D01G023500;TraesCS1D01G162000;TraesCS7B01G493700;TraesCS4D01G325400;TraesCS2D01G564900;TraesCS5D01G408200;TraesCS1D01G402500;TraesCS2D01G550700;TraesCS4A01G485000;TraesCS2A01G405100;TraesCS1B01G286800;TraesCS3D01G476500;TraesCS3B01G526700;TraesCS4A01G240900;TraesCS4D01G072800;TraesCS5A01G464500;TraesCS7A01G427300;TraesCS2B01G594700;TraesCS4A01G186500;TraesCS2B01G594900;TraesCS2B01G369000;TraesCS2D01G033100;TraesCS4D01G142000;TraesCS5D01G019100;TraesCS3D01G478000;TraesCS4B01G328400;TraesCS1B01G182000;TraesCS2A01G350700;TraesCS2A01G350900;TraesCS1A01G072100;TraesCS7B01G286100;TraesCS7A01G549300;TraesCS2D01G348900;TraesCS2B01G580300;TraesCS1B01G422700;TraesCS4D01G325500;TraesCS5D01G477100;TraesCS4B01G356800;TraesCS7A01G046600;TraesCS7A01G391400;TraesCS1A01G203600;TraesCS4A01G175900;TraesCS4D01G227700;TraesCS2D01G550600</t>
  </si>
  <si>
    <t>TraesCS2A01G350800;TraesCS2A01G350900;TraesCS2D01G348900;TraesCS2D01G348800;TraesCS1A01G383900;TraesCS4D01G325500;TraesCS2B01G369100;TraesCS4D01G326400;TraesCS7B01G493700;TraesCS4D01G325400;TraesCS5D01G408200;TraesCS2B01G369000;TraesCS2D01G033100;TraesCS1A01G203600;TraesCS2D01G349000;TraesCSU01G020500;TraesCS2D01G349400;TraesCS4B01G328400;TraesCS2A01G350700</t>
  </si>
  <si>
    <t>TraesCS3B01G597000;TraesCS2B01G445300;TraesCS7B01G440900;TraesCS7A01G523800;TraesCS2B01G040100;TraesCS7B01G474000;TraesCS1B01G251600;TraesCS2A01G152200;TraesCS3D01G084600;TraesCS4A01G384700;TraesCS5D01G324300;TraesCS5D01G565100;TraesCS2B01G416700;TraesCS6B01G438800;TraesCS7A01G085700;TraesCS5D01G012000;TraesCS1A01G395100;TraesCS5D01G012200;TraesCS7B01G349100;TraesCS4D01G195700;TraesCS2D01G021500;TraesCS4A01G109200;TraesCS3B01G596800;TraesCS7B01G253300;TraesCS3D01G061700;TraesCS5A01G004600;TraesCS3D01G061900;TraesCSU01G048500;TraesCSU01G031600;TraesCS3A01G061600;TraesCS5A01G318000;TraesCS4B01G195000;TraesCS1B01G001700;TraesCS7D01G080400;TraesCS7B01G354400;TraesCS2A01G019400;TraesCS2A01G026800;TraesCS1B01G423200;TraesCS2D01G261100;TraesCS5D01G233700;TraesCS3A01G153000;TraesCS3D01G136900;TraesCS6A01G033300;TraesCS5B01G224800;TraesCS2B01G279200;TraesCS1D01G403300;TraesCS4B01G374300;TraesCS1D01G403100;TraesCS2A01G546600;TraesCS3D01G061500;TraesCS5D01G487900;TraesCS5D01G460700;TraesCS6D01G300600;TraesCS7B01G441100;TraesCS6D01G382800;TraesCS1D01G239600;TraesCS7D01G349400;TraesCS7D01G536900;TraesCS1A01G239400;TraesCS6D01G359300;TraesCS2D01G396300;TraesCS5D01G012100;TraesCS4A01G311000;TraesCS2B01G177600;TraesCS7D01G142000;TraesCS2D01G157300;TraesCS7D01G438700;TraesCS3A01G062200;TraesCS7A01G136500;TraesCS5D01G012300;TraesCS4B01G312300;TraesCS6D01G038500;TraesCS3A01G519000;TraesCS3B01G154000;TraesCS5A01G004500;TraesCS4D01G309900;TraesCS2A01G013400;TraesCSU01G048600;TraesCS1A01G394900;TraesCS3A01G136100;TraesCS5A01G004700;TraesCS5D01G488500;TraesCS6B01G239400;TraesCS7A01G277500;TraesCS3B01G179600</t>
  </si>
  <si>
    <t>TraesCS3B01G597000;TraesCS2B01G445300;TraesCS7B01G440900;TraesCS7A01G523800;TraesCS1B01G251600;TraesCS4D01G238600;TraesCS2A01G152200;TraesCS3D01G084600;TraesCS4A01G384700;TraesCS5D01G324300;TraesCS5D01G565100;TraesCS2B01G416700;TraesCS6B01G438800;TraesCS7A01G085700;TraesCS5D01G012000;TraesCS1A01G395100;TraesCS5D01G012200;TraesCS7B01G349100;TraesCS4D01G195700;TraesCS2D01G021500;TraesCS4A01G109200;TraesCS3B01G596800;TraesCS7B01G253300;TraesCS3D01G061700;TraesCS4B01G237300;TraesCS5A01G004600;TraesCS3D01G061900;TraesCSU01G048500;TraesCSU01G031600;TraesCS3A01G061600;TraesCS5A01G318000;TraesCS1B01G001700;TraesCS7D01G080400;TraesCS7B01G354400;TraesCS2A01G019400;TraesCS1B01G423200;TraesCS2D01G261100;TraesCS5D01G233700;TraesCS3A01G153000;TraesCS3D01G136900;TraesCS5B01G224800;TraesCS2B01G279200;TraesCS1D01G403300;TraesCS3B01G421000;TraesCS1D01G403100;TraesCS2A01G546600;TraesCS3D01G061500;TraesCS5D01G487900;TraesCS5D01G460700;TraesCS6D01G300600;TraesCS7B01G441100;TraesCS6D01G382800;TraesCS1D01G239600;TraesCS7D01G349400;TraesCS1A01G239400;TraesCS2D01G396300;TraesCS5D01G012100;TraesCS3B01G166100;TraesCS2B01G177600;TraesCS2D01G157300;TraesCS7D01G438700;TraesCS3A01G062200;TraesCS7A01G136500;TraesCS5D01G012300;TraesCS4B01G312300;TraesCS3A01G387800;TraesCS3A01G519000;TraesCS3B01G154000;TraesCS5A01G004500;TraesCS4D01G309900;TraesCS2A01G013400;TraesCSU01G048600;TraesCS1A01G394900;TraesCS3A01G136100;TraesCS5A01G004700;TraesCS5D01G488500;TraesCS6B01G239400;TraesCS7A01G277500;TraesCS3B01G179600;TraesCS7B01G092300</t>
  </si>
  <si>
    <t>TraesCS1A01G383900;TraesCS2B01G369100;TraesCS2B01G124800;TraesCS2B01G369000;TraesCS2D01G033100;TraesCS2A01G467000;TraesCS2D01G349000;TraesCSU01G020500;TraesCS3B01G354000;TraesCS2D01G349400;TraesCS4B01G328400;TraesCS2A01G350700;TraesCS2A01G350800;TraesCS2A01G350900;TraesCS2B01G125300;TraesCS2D01G218700;TraesCS2D01G348900;TraesCS2A01G107800;TraesCS2D01G348800;TraesCS2A01G107600;TraesCS4D01G325500;TraesCS5B01G468300;TraesCS7A01G262000;TraesCS7B01G493700;TraesCS2D01G377500;TraesCS3B01G258100;TraesCS4D01G325400;TraesCS2A01G212900;TraesCS2D01G377400;TraesCS2B01G398200;TraesCS5D01G408200;TraesCS2B01G398300;TraesCS1A01G203600;TraesCS2B01G117500;TraesCS1A01G037800;TraesCS2B01G224000;TraesCS3A01G226400</t>
  </si>
  <si>
    <t>TraesCS2A01G350800;TraesCS2A01G350900;TraesCS2D01G348900;TraesCS2D01G348800;TraesCS1A01G383900;TraesCS4D01G325500;TraesCS2B01G369100;TraesCS7B01G493700;TraesCS4D01G325400;TraesCS5D01G408200;TraesCS2B01G369000;TraesCS2D01G033100;TraesCS1A01G203600;TraesCS2D01G349000;TraesCSU01G020500;TraesCS2D01G349400;TraesCS4B01G328400;TraesCS2A01G350700</t>
  </si>
  <si>
    <t>TraesCS1A01G159200</t>
  </si>
  <si>
    <t>TraesCS1A01G166600</t>
  </si>
  <si>
    <t>TraesCS3D01G396800;TraesCS1D01G098100;TraesCS2B01G445300;TraesCS7B01G440900;TraesCS1D01G415900;TraesCS2B01G040100;TraesCS6B01G225200;TraesCS7B01G474000;TraesCS2A01G152200;TraesCS5D01G324300;TraesCS5D01G405100;TraesCS2D01G309500;TraesCS4B01G031800;TraesCS5A01G213600;TraesCS2B01G416700;TraesCS2A01G052600;TraesCS5A01G303400;TraesCS7D01G368700;TraesCS6B01G438800;TraesCS5D01G012000;TraesCS1A01G395100;TraesCS2A01G107800;TraesCS5A01G261400;TraesCS5B01G303800;TraesCS4D01G195700;TraesCS7A01G175400;TraesCS7A01G262000;TraesCS2D01G021500;TraesCS4A01G109200;TraesCS3B01G596800;TraesCS7B01G253300;TraesCS5A01G004600;TraesCS5D01G218400;TraesCS2A01G438200;TraesCS3D01G061900;TraesCS3D01G305300;TraesCSU01G031600;TraesCS3A01G061600;TraesCS4B01G195000;TraesCS1B01G001700;TraesCS7D01G080400;TraesCS4D01G265800;TraesCS7B01G354400;TraesCS1B01G423200;TraesCS5D01G233700;TraesCS3A01G153000;TraesCS3D01G136900;TraesCS6A01G033300;TraesCS2B01G040000;TraesCS7A01G487400;TraesCS1D01G098000;TraesCS5B01G224800;TraesCS2B01G279200;TraesCS3B01G395900;TraesCS3B01G421000;TraesCS5A01G462200;TraesCS1D01G403100;TraesCS2A01G546600;TraesCS4A01G276100;TraesCS5D01G011900;TraesCS4B01G394700;TraesCS4A01G033600;TraesCS1D01G239600;TraesCS3A01G133400;TraesCS7D01G347300;TraesCS7D01G536900;TraesCS2A01G467700;TraesCS2A01G107500;TraesCS2D01G396300;TraesCS3A01G402000;TraesCS3B01G166100;TraesCS2B01G177600;TraesCS7D01G142000;TraesCS7D01G438700;TraesCS5B01G028300;TraesCS3A01G417200;TraesCS3B01G128700;TraesCS2B01G459100;TraesCS3D01G305400;TraesCS5D01G012300;TraesCS6B01G302400;TraesCS3A01G387800;TraesCS3B01G154000;TraesCS1A01G089600;TraesCS4D01G309900;TraesCS2A01G013400;TraesCS3A01G297100;TraesCS6B01G229200;TraesCS4D01G003400;TraesCS1A01G394900;TraesCS3A01G136100;TraesCS1A01G312400;TraesCS5A01G004700;TraesCS4B01G271800;TraesCS3B01G485000;TraesCS5D01G488500;TraesCS6B01G239400;TraesCS2D01G292400;TraesCS7B01G092300;TraesCS3B01G597000;TraesCS2D01G028600;TraesCS7A01G523800;TraesCS7D01G199900;TraesCS6B01G353200;TraesCS3A01G109500;TraesCS1B01G251600;TraesCS3D01G084600;TraesCS4A01G384700;TraesCS2A01G467000;TraesCS5D01G565100;TraesCS6B01G230200;TraesCS2A01G123000;TraesCS2B01G284300;TraesCS2B01G173500;TraesCS7A01G085700;TraesCS7A01G354000;TraesCS4B01G037600;TraesCS2B01G125300;TraesCS5D01G012200;TraesCS7B01G349100;TraesCS2B01G066800;TraesCS2A01G107600;TraesCS5B01G099700;TraesCS5D01G310500;TraesCS7B01G273600;TraesCS5D01G183700;TraesCS4D01G270900;TraesCS2B01G459000;TraesCS4D01G116700;TraesCS3D01G061700;TraesCS1A01G089500;TraesCS3A01G297200;TraesCS7B01G251200;TraesCSU01G048500;TraesCS5A01G004800;TraesCS5A01G318000;TraesCS3B01G353000;TraesCS4B01G271900;TraesCS2A01G019400;TraesCS2A01G026800;TraesCS2D01G261100;TraesCS1A01G159200;TraesCS3A01G401900;TraesCS1D01G403300;TraesCS4B01G374300;TraesCS2B01G124800;TraesCS3D01G061500;TraesCS5D01G487900;TraesCS5D01G460700;TraesCS6D01G300600;TraesCS7B01G441100;TraesCS4D01G270000;TraesCS6D01G382800;TraesCS6B01G238500;TraesCS3B01G354000;TraesCS7D01G349400;TraesCS4B01G270800;TraesCS1A01G239400;TraesCS6D01G359300;TraesCS4D01G103300;TraesCS5D01G012100;TraesCS4A01G311000;TraesCS2D01G157300;TraesCS6B01G327200;TraesCS3A01G062200;TraesCS7A01G136500;TraesCS2A01G438300;TraesCS4B01G312300;TraesCS6D01G038500;TraesCS3A01G519000;TraesCS5A01G004500;TraesCS1B01G437500;TraesCS7B01G251100;TraesCSU01G048600;TraesCS6B01G227900;TraesCS7A01G277500;TraesCS3B01G179600;TraesCS5D01G396500</t>
  </si>
  <si>
    <t>TraesCS7D01G164500;TraesCS2B01G208900;TraesCS2A01G477000;TraesCS4B01G187800;TraesCS4D01G238600;TraesCS4D01G326400;TraesCS5A01G090600;TraesCS7A01G259100;TraesCS5B01G097600;TraesCS6A01G323800;TraesCS1A01G070400;TraesCS7A01G209800;TraesCS7D01G211700;TraesCS7B01G156900;TraesCS2B01G500100;TraesCS2B01G500200;TraesCS2B01G336100;TraesCS2B01G500300;TraesCS2D01G476400;TraesCS7D01G551400;TraesCS7A01G492400;TraesCS1D01G261400;TraesCS2A01G476800;TraesCS4D01G321000;TraesCS2A01G476700;TraesCS1B01G216300;TraesCS2A01G476500;TraesCS2B01G442700;TraesCS2A01G083600;TraesCS5D01G183700;TraesCS7B01G068300;TraesCS4B01G237300;TraesCS2D01G317800;TraesCS7A01G162600;TraesCS3A01G209800;TraesCS3A01G310200;TraesCS4A01G116400;TraesCS7B01G335500;TraesCS4D01G189200</t>
  </si>
  <si>
    <t>TraesCS2A01G350800;TraesCS2A01G350900;TraesCS2D01G348900;TraesCS2D01G348800;TraesCS1A01G383900;TraesCS4D01G325500;TraesCS2B01G369100;TraesCS7B01G493700;TraesCS4D01G325400;TraesCS5D01G408200;TraesCS2B01G369000;TraesCS1A01G312400;TraesCS2D01G033100;TraesCS1A01G203600;TraesCS2D01G349000;TraesCSU01G020500;TraesCS2D01G349400;TraesCS4B01G328400;TraesCS2A01G350700</t>
  </si>
  <si>
    <t>TraesCS3B01G597000;TraesCS2B01G445300;TraesCS7B01G440900;TraesCS7A01G523800;TraesCS1B01G251600;TraesCS4D01G238600;TraesCS2A01G152200;TraesCS3D01G084600;TraesCS4A01G384700;TraesCS5D01G324300;TraesCS2A01G467000;TraesCS2B01G416700;TraesCS2B01G173500;TraesCS6B01G438800;TraesCS7A01G085700;TraesCS5D01G012000;TraesCS1A01G395100;TraesCS2B01G125300;TraesCS5D01G012200;TraesCS2A01G107800;TraesCS7B01G349100;TraesCS2A01G107600;TraesCS7A01G262000;TraesCS2D01G021500;TraesCS5D01G183700;TraesCS3B01G596800;TraesCS4D01G116700;TraesCS7B01G253300;TraesCS3D01G061700;TraesCS4B01G237300;TraesCS5A01G004600;TraesCS3A01G297200;TraesCS7B01G251200;TraesCS3D01G061900;TraesCS3D01G305300;TraesCSU01G048500;TraesCSU01G031600;TraesCS3A01G061600;TraesCS5A01G318000;TraesCS1B01G001700;TraesCS7D01G080400;TraesCS7B01G354400;TraesCS2A01G019400;TraesCS1B01G423200;TraesCS2D01G261100;TraesCS3A01G153000;TraesCS3D01G136900;TraesCS2B01G279200;TraesCS1D01G403300;TraesCS1D01G403100;TraesCS2A01G546600;TraesCS2B01G124800;TraesCS3D01G061500;TraesCS5D01G487900;TraesCS7B01G441100;TraesCS6D01G382800;TraesCS1D01G239600;TraesCS3B01G354000;TraesCS7D01G347300;TraesCS7D01G349400;TraesCS1A01G239400;TraesCS2A01G107500;TraesCS2D01G396300;TraesCS5D01G012100;TraesCS2B01G177600;TraesCS2D01G157300;TraesCS7D01G438700;TraesCS3A01G062200;TraesCS7A01G136500;TraesCS3D01G305400;TraesCS5D01G012300;TraesCS4B01G312300;TraesCS3A01G519000;TraesCS3B01G154000;TraesCS5A01G004500;TraesCS4D01G309900;TraesCS7B01G251100;TraesCS2A01G013400;TraesCS3A01G297100;TraesCSU01G048600;TraesCS1A01G394900;TraesCS3A01G136100;TraesCS5A01G004700;TraesCS5D01G488500;TraesCS6B01G239400;TraesCS7A01G277500;TraesCS3B01G179600</t>
  </si>
  <si>
    <t>TraesCS7A01G330000;TraesCS2A01G590900;TraesCS2A01G588300;TraesCS7D01G009700;TraesCS2D01G402000;TraesCS4B01G227000;TraesCS3A01G124700;TraesCS4B01G074100;TraesCS1B01G083100;TraesCS2B01G369100;TraesCS1D01G056500;TraesCS2A01G588900;TraesCS1A01G113300;TraesCS2A01G588700;TraesCS1D01G283900;TraesCS7B01G093800;TraesCS2A01G467000;TraesCS6A01G266100;TraesCS6B01G058000;TraesCS4A01G071100;TraesCS4B01G026100;TraesCS2D01G349000;TraesCS4B01G031800;TraesCS4D01G350500;TraesCS6D01G281100;TraesCS1B01G090700;TraesCS6D01G048900;TraesCS3A01G483100;TraesCS2D01G349400;TraesCS3B01G526000;TraesCS5B01G476000;TraesCS2A01G350800;TraesCS3D01G475200;TraesCS2B01G341400;TraesCS5A01G526200;TraesCS4D01G174700;TraesCS2D01G348800;TraesCS2B01G580200;TraesCS4D01G023500;TraesCS1D01G162000;TraesCS7B01G493700;TraesCS6D01G147400;TraesCS2D01G564900;TraesCS5D01G408200;TraesCS5D01G321100;TraesCS1B01G133400;TraesCS1D01G402500;TraesCS2D01G550700;TraesCS4A01G485000;TraesCS2A01G405100;TraesCS3D01G476500;TraesCS3B01G526700;TraesCS4B01G172700;TraesCS4A01G240900;TraesCS7A01G487400;TraesCS4D01G072800;TraesCS1D01G090000;TraesCS5A01G464500;TraesCS7A01G427300;TraesCS2B01G594700;TraesCS4A01G186500;TraesCS2B01G594900;TraesCS3A01G085700;TraesCS2B01G369000;TraesCS2D01G033100;TraesCS4D01G142000;TraesCS5D01G019100;TraesCS5B01G315700;TraesCS3D01G478000;TraesCS7A01G276300;TraesCS1B01G182000;TraesCS2A01G350700;TraesCS2A01G350900;TraesCS1A01G072100;TraesCS7B01G286100;TraesCS7A01G549300;TraesCS2D01G348900;TraesCS1B01G107600;TraesCS6B01G226700;TraesCS2B01G580300;TraesCS1B01G422700;TraesCS5D01G477100;TraesCS3B01G258100;TraesCS4B01G356800;TraesCS3D01G085800;TraesCS3D01G467600;TraesCS1A01G312400;TraesCS1B01G133300;TraesCS1A01G203600;TraesCS4A01G187200;TraesCS2B01G117500;TraesCS4A01G175900;TraesCS4D01G227700;TraesCS3A01G226400;TraesCS2D01G550600</t>
  </si>
  <si>
    <t>TraesCS1A01G431300;TraesCS1D01G266000;TraesCS1A01G021000;TraesCS2D01G371800;TraesCS1A01G021400;TraesCS1D01G265900;TraesCS1A01G265600;TraesCS1A01G265700;TraesCS6D01G000200;TraesCS1D01G020600;TraesCS1B01G276800;TraesCS1B01G276500;TraesCS3A01G093900;TraesCS4A01G249200;TraesCS1B01G466100</t>
  </si>
  <si>
    <t>TraesCS7B01G325900;TraesCS2A01G217200;TraesCS2B01G208900;TraesCS1A01G383900;TraesCS2D01G509400;TraesCSU01G044100;TraesCS2A01G211900;TraesCS2D01G223000;TraesCS7D01G374700;TraesCS4B01G092400;TraesCS5D01G187700;TraesCS7B01G362800;TraesCS4A01G491600;TraesCS7D01G461900;TraesCS2B01G240800;TraesCS6D01G191400;TraesCS3B01G086900;TraesCS1D01G082200;TraesCS3D01G452300;TraesCS2A01G216400;TraesCS7D01G463700;TraesCS2B01G536600;TraesCS6B01G226000;TraesCS2A01G525300;TraesCS5B01G284400;TraesCS3A01G056300;TraesCS2B01G243000;TraesCS2D01G013200;TraesCS5D01G302000;TraesCS3A01G276200;TraesCS3D01G501400;TraesCS3D01G049000;TraesCS4D01G003300;TraesCS6B01G237600;TraesCS2B01G241900;TraesCS1B01G091900;TraesCS6D01G112200;TraesCS6D01G242000;TraesCS5D01G025500;TraesCS6D01G360900;TraesCS4D01G089200;TraesCS6B01G225700;TraesCSU01G009400;TraesCS1A01G073300;TraesCS4A01G207800;TraesCS5B01G526200;TraesCS1B01G251700;TraesCS2A01G503800;TraesCS3A01G034800;TraesCS2A01G532600;TraesCS2B01G565300;TraesCS1A01G273600;TraesCS7B01G378300;TraesCS2A01G182400;TraesCS4B01G328400;TraesCS3D01G072700;TraesCS2D01G539100;TraesCS3A01G049600;TraesCS2A01G214000;TraesCS6A01G122000;TraesCS2A01G216300;TraesCS2B01G477600;TraesCS4A01G384600;TraesCS2B01G536500;TraesCS3B01G141500;TraesCS7B01G326100;TraesCS2D01G222000;TraesCS3B01G544700;TraesCS7A01G042200;TraesCS6B01G231400;TraesCS2D01G019600;TraesCS7B01G333700;TraesCS2B01G241800;TraesCS2B01G241400;TraesCS7A01G460900;TraesCS2B01G096000;TraesCS3D01G104000;TraesCS7B01G356800;TraesCS3A01G096500;TraesCS4A01G171500;TraesCS5A01G048600;TraesCS7B01G071100;TraesCS1B01G355700;TraesCS6A01G276300;TraesCS3B01G310000;TraesCS2D01G217600;TraesCS6B01G225800;TraesCS7A01G359300;TraesCS4B01G343100;TraesCS1B01G006500;TraesCS3D01G500800;TraesCS2D01G190200;TraesCS3A01G034700;TraesCS5B01G455500;TraesCS3B01G474400;TraesCS5D01G059300;TraesCS6A01G168900;TraesCS3A01G261800;TraesCS1D01G344700;TraesCS2B01G242500;TraesCS2D01G025500;TraesCS3B01G084000;TraesCS4A01G474800;TraesCSU01G008200;TraesCS3A01G148300;TraesCS7D01G037700;TraesCS3D01G097000;TraesCS6B01G415100;TraesCS4A01G445500;TraesCS6B01G226200;TraesCS6D01G396900;TraesCS3A01G064400;TraesCS3B01G038900;TraesCS2D01G002600;TraesCS3B01G032400;TraesCS1B01G376000;TraesCS5A01G210300;TraesCS4B01G007400;TraesCS3A01G122300;TraesCS2D01G509500;TraesCS6B01G303800;TraesCS4B01G092500;TraesCS3B01G052600;TraesCS6B01G232400;TraesCS2D01G039400;TraesCS4B01G106000;TraesCS6B01G238900;TraesCS7B01G273000;TraesCS1D01G013800;TraesCS3D01G124200;TraesCS6D01G191500;TraesCS7B01G267900;TraesCS1D01G271500;TraesCS3A01G016500;TraesCS4D01G325500;TraesCS1D01G076200;TraesCS6B01G212700;TraesCS6B01G231200;TraesCS2D01G013300;TraesCS1A01G362900;TraesCS5B01G064400;TraesCS5D01G061700;TraesCS2B01G394700;TraesCS3B01G569900;TraesCS3D01G276200;TraesCS4D01G202300;TraesCS7D01G124900</t>
  </si>
  <si>
    <t>TraesCS2B01G445300;TraesCS7B01G440900;TraesCS2A01G152200;TraesCS4D01G232700;TraesCS2B01G414800;TraesCS5D01G565300;TraesCS5D01G324300;TraesCS2D01G309500;TraesCS4B01G031800;TraesCS2B01G416700;TraesCS2A01G052600;TraesCS7D01G368700;TraesCS6B01G438800;TraesCS5D01G012000;TraesCS1A01G395100;TraesCS7D01G440000;TraesCS2A01G107800;TraesCS5A01G261400;TraesCS7A01G262000;TraesCS2D01G021500;TraesCS3B01G596800;TraesCS7B01G253300;TraesCS4B01G237300;TraesCS5A01G004600;TraesCS7A01G395700;TraesCS3D01G061900;TraesCS3D01G305300;TraesCSU01G031600;TraesCS3A01G061600;TraesCS1B01G001700;TraesCS7D01G080400;TraesCS7B01G354400;TraesCS1B01G423200;TraesCS3A01G153000;TraesCS3D01G136900;TraesCS2B01G040000;TraesCS2B01G279200;TraesCS2D01G481600;TraesCS1D01G403100;TraesCS2A01G546600;TraesCS1D01G239600;TraesCS3D01G514300;TraesCS7D01G347300;TraesCS2A01G467700;TraesCS2A01G107500;TraesCS2D01G396300;TraesCS2B01G177600;TraesCS5B01G439400;TraesCS7D01G438700;TraesCS4A01G075600;TraesCS3B01G128700;TraesCS3D01G305400;TraesCS5D01G012300;TraesCS6B01G302400;TraesCS3B01G154000;TraesCS4D01G309900;TraesCS2A01G013400;TraesCS3A01G297100;TraesCS6B01G229200;TraesCS1A01G394900;TraesCS3A01G136100;TraesCS1A01G312400;TraesCS5A01G004700;TraesCS6A01G381700;TraesCS5D01G488500;TraesCS6B01G239400;TraesCS2D01G292400;TraesCS3B01G597000;TraesCS2D01G028600;TraesCS7A01G523800;TraesCS7B01G297700;TraesCS6B01G353200;TraesCS3A01G109500;TraesCS1B01G251600;TraesCS4D01G238600;TraesCS7B01G253600;TraesCS3D01G084600;TraesCS4A01G384700;TraesCS2A01G467000;TraesCS2A01G482000;TraesCS2B01G284300;TraesCS2B01G173500;TraesCS7A01G085700;TraesCS7A01G354000;TraesCS2B01G125300;TraesCS5D01G012200;TraesCS7B01G349100;TraesCS2B01G066800;TraesCS2A01G107600;TraesCS7B01G273600;TraesCS5D01G183700;TraesCS7D01G391400;TraesCS4D01G116700;TraesCS3D01G061700;TraesCS3A01G297200;TraesCS7B01G251200;TraesCSU01G048500;TraesCS5B01G366800;TraesCS5D01G321100;TraesCS5A01G318000;TraesCS4B01G231400;TraesCS3B01G353000;TraesCS2A01G019400;TraesCS2D01G261100;TraesCS1D01G403300;TraesCS2B01G124800;TraesCS3D01G061500;TraesCS5D01G487900;TraesCS5D01G460700;TraesCS7B01G441100;TraesCS4D01G270000;TraesCS6D01G382800;TraesCS3B01G380600;TraesCS5B01G315700;TraesCS6B01G238500;TraesCS3B01G354000;TraesCS7D01G349400;TraesCS4B01G270800;TraesCS1A01G239400;TraesCS5D01G012100;TraesCS2D01G157300;TraesCS3A01G062200;TraesCS7A01G136500;TraesCS4B01G312300;TraesCS3A01G519000;TraesCS5A01G004500;TraesCS7B01G251100;TraesCSU01G048600;TraesCS7A01G277500;TraesCS3B01G179600</t>
  </si>
  <si>
    <t>TraesCS7B01G325900;TraesCS2A01G217200;TraesCS2B01G208900;TraesCS1A01G383900;TraesCS2D01G509400;TraesCSU01G044100;TraesCS2A01G211900;TraesCS2D01G223000;TraesCS7D01G374700;TraesCS4B01G092400;TraesCS5D01G187700;TraesCS7B01G362800;TraesCS4A01G491600;TraesCS7D01G461900;TraesCS1A01G070400;TraesCS2B01G240800;TraesCS6D01G191400;TraesCS3B01G086900;TraesCS1D01G082200;TraesCS3D01G452300;TraesCS2A01G216400;TraesCS7D01G463700;TraesCS2B01G536600;TraesCS6B01G226000;TraesCS2A01G525300;TraesCS5B01G284400;TraesCS3A01G056300;TraesCS2B01G243000;TraesCS2D01G013200;TraesCS5D01G302000;TraesCS3A01G276200;TraesCS3D01G501400;TraesCS3D01G049000;TraesCS4D01G003300;TraesCS6B01G237600;TraesCS2B01G241900;TraesCS1B01G091900;TraesCS6D01G112200;TraesCS6D01G242000;TraesCS5D01G025500;TraesCS6D01G360900;TraesCS4D01G089200;TraesCS6B01G225700;TraesCSU01G009400;TraesCS1A01G073300;TraesCS4A01G207800;TraesCS5B01G526200;TraesCS1B01G251700;TraesCS2A01G503800;TraesCS3A01G034800;TraesCS2A01G532600;TraesCS2B01G565300;TraesCS1A01G273600;TraesCS7B01G378300;TraesCS2A01G182400;TraesCS4B01G328400;TraesCS3D01G072700;TraesCS2D01G539100;TraesCS3A01G049600;TraesCS2A01G214000;TraesCS6A01G122000;TraesCS2A01G216300;TraesCS2B01G477600;TraesCS4A01G384600;TraesCS2B01G536500;TraesCS3B01G141500;TraesCS7B01G326100;TraesCS2D01G222000;TraesCS3B01G544700;TraesCS7A01G042200;TraesCS6B01G231400;TraesCS2D01G019600;TraesCS7B01G333700;TraesCS2B01G241800;TraesCS2B01G241400;TraesCS7A01G460900;TraesCS2B01G096000;TraesCS3D01G104000;TraesCS7B01G356800;TraesCS3A01G096500;TraesCS4A01G171500;TraesCS5A01G048600;TraesCS7B01G071100;TraesCS1B01G355700;TraesCS6A01G276300;TraesCS3B01G310000;TraesCS2D01G217600;TraesCS6B01G225800;TraesCS7A01G359300;TraesCS4B01G343100;TraesCS1B01G006500;TraesCS3D01G500800;TraesCS2D01G190200;TraesCS3A01G034700;TraesCS5B01G455500;TraesCS3B01G474400;TraesCS5D01G059300;TraesCS6A01G168900;TraesCS3A01G261800;TraesCS1D01G344700;TraesCS2B01G242500;TraesCS2D01G025500;TraesCS3B01G084000;TraesCS4A01G474800;TraesCSU01G008200;TraesCS3A01G148300;TraesCS7D01G037700;TraesCS3D01G097000;TraesCS6B01G415100;TraesCS4A01G445500;TraesCS6B01G226200;TraesCS6D01G396900;TraesCS3A01G064400;TraesCS3B01G038900;TraesCS2D01G002600;TraesCS3B01G032400;TraesCS1B01G376000;TraesCS5A01G210300;TraesCS4B01G007400;TraesCS3A01G122300;TraesCS2D01G509500;TraesCS6B01G303800;TraesCS4B01G092500;TraesCS3B01G052600;TraesCS6B01G232400;TraesCS2D01G039400;TraesCS4B01G106000;TraesCS6B01G238900;TraesCS7B01G273000;TraesCS1D01G013800;TraesCS3D01G124200;TraesCS6D01G191500;TraesCS7B01G267900;TraesCS1D01G271500;TraesCS3A01G016500;TraesCS4D01G325500;TraesCS1D01G076200;TraesCS6B01G212700;TraesCS6B01G231200;TraesCS2D01G013300;TraesCS1A01G362900;TraesCS5B01G064400;TraesCS5D01G061700;TraesCS2B01G394700;TraesCS3B01G569900;TraesCS3D01G276200;TraesCS4D01G202300;TraesCS7D01G124900</t>
  </si>
  <si>
    <t>TraesCS3D01G396800;TraesCS1D01G098100;TraesCS2B01G445300;TraesCS7B01G440900;TraesCS2B01G040100;TraesCS6B01G225200;TraesCS7B01G474000;TraesCS2A01G152200;TraesCS7A01G259100;TraesCS5D01G324300;TraesCS2D01G309500;TraesCS4B01G031800;TraesCS5A01G213600;TraesCS2B01G416700;TraesCS2A01G052600;TraesCS5A01G303400;TraesCS7D01G368700;TraesCS6B01G438800;TraesCS5D01G012000;TraesCS1A01G395100;TraesCS2A01G107800;TraesCS5A01G261400;TraesCS5B01G303800;TraesCS4D01G195700;TraesCS7A01G262000;TraesCS2D01G021500;TraesCS4A01G109200;TraesCS3B01G596800;TraesCS7B01G253300;TraesCS5A01G004600;TraesCS5D01G218400;TraesCS2A01G438200;TraesCS3D01G061900;TraesCS3D01G305300;TraesCSU01G031600;TraesCS3A01G061600;TraesCS4B01G195000;TraesCS1B01G001700;TraesCS7D01G080400;TraesCS4D01G265800;TraesCS7B01G354400;TraesCS1B01G423200;TraesCS5D01G233700;TraesCS3A01G153000;TraesCS3D01G136900;TraesCS6A01G033300;TraesCS2B01G040000;TraesCS7A01G487400;TraesCS1D01G098000;TraesCS5B01G224800;TraesCS2B01G279200;TraesCS3B01G395900;TraesCS3B01G421000;TraesCS1D01G403100;TraesCS2A01G546600;TraesCS4A01G276100;TraesCS5D01G011900;TraesCS4B01G394700;TraesCS1D01G239600;TraesCS3A01G133400;TraesCS7D01G347300;TraesCS7D01G536900;TraesCS2A01G467700;TraesCS2A01G107500;TraesCS2D01G396300;TraesCS3A01G402000;TraesCS3B01G166100;TraesCS2B01G177600;TraesCS7D01G142000;TraesCS7D01G438700;TraesCS5B01G028300;TraesCS3A01G417200;TraesCS3B01G128700;TraesCS2B01G459100;TraesCS3D01G305400;TraesCS5D01G012300;TraesCS6B01G302400;TraesCS3A01G387800;TraesCS3B01G154000;TraesCS1A01G089600;TraesCS4D01G309900;TraesCS2A01G013400;TraesCS3A01G297100;TraesCS6B01G229200;TraesCS4D01G003400;TraesCS1A01G394900;TraesCS3A01G136100;TraesCS1A01G312400;TraesCS5A01G004700;TraesCS3B01G485000;TraesCS5D01G488500;TraesCS6B01G239400;TraesCS2D01G292400;TraesCS7B01G092300;TraesCS3B01G597000;TraesCS2D01G028600;TraesCS7A01G523800;TraesCS7D01G199900;TraesCS6B01G353200;TraesCS3A01G109500;TraesCS1B01G251600;TraesCS3D01G084600;TraesCS4A01G384700;TraesCS2A01G467000;TraesCS5D01G565100;TraesCS6B01G230200;TraesCS2B01G284300;TraesCS2B01G173500;TraesCS7A01G085700;TraesCS7A01G354000;TraesCS4B01G037600;TraesCS2B01G125300;TraesCS5D01G012200;TraesCS7B01G349100;TraesCS2B01G066800;TraesCS2A01G107600;TraesCS5B01G099700;TraesCS5D01G310500;TraesCS7B01G273600;TraesCS5D01G183700;TraesCS2B01G459000;TraesCS4D01G116700;TraesCS3D01G061700;TraesCS1A01G089500;TraesCS3A01G297200;TraesCS7B01G251200;TraesCSU01G048500;TraesCS5A01G004800;TraesCS5A01G318000;TraesCS2A01G019400;TraesCS2A01G026800;TraesCS2D01G261100;TraesCS3A01G401900;TraesCS1D01G403300;TraesCS4B01G374300;TraesCS2B01G124800;TraesCS3D01G061500;TraesCS5D01G487900;TraesCS5D01G460700;TraesCS6D01G300600;TraesCS7B01G441100;TraesCS4D01G270000;TraesCS6D01G382800;TraesCS6B01G238500;TraesCS3B01G354000;TraesCS7D01G349400;TraesCS4B01G270800;TraesCS1A01G239400;TraesCS6D01G359300;TraesCS4D01G103300;TraesCS5D01G012100;TraesCS4A01G311000;TraesCS2D01G157300;TraesCS3A01G062200;TraesCS7A01G136500;TraesCS2A01G438300;TraesCS4B01G312300;TraesCS6D01G038500;TraesCS3A01G519000;TraesCS5A01G004500;TraesCS1B01G437500;TraesCS7B01G251100;TraesCSU01G048600;TraesCS6B01G227900;TraesCS7A01G277500;TraesCS3B01G179600</t>
  </si>
  <si>
    <t>TraesCS1A01G431300;TraesCS1D01G266000;TraesCS1A01G021000;TraesCS2D01G371800;TraesCS1A01G021400;TraesCS1D01G265900;TraesCS1A01G265600;TraesCS1A01G265700;TraesCS6D01G000200;TraesCS1D01G020600;TraesCS1B01G276800;TraesCS1B01G276500;TraesCS3A01G093900;TraesCS1B01G466100</t>
  </si>
  <si>
    <t>TraesCS1A01G244200</t>
  </si>
  <si>
    <t>TraesCS6A01G276300;TraesCS2D01G217600;TraesCS6B01G225800;TraesCS2B01G208900;TraesCS1A01G383900;TraesCS2D01G509400;TraesCS2A01G211900;TraesCS2D01G223000;TraesCS7D01G374700;TraesCS4B01G092400;TraesCS5D01G187700;TraesCS7D01G461900;TraesCS2B01G240800;TraesCS5D01G059300;TraesCS6D01G191400;TraesCS2B01G242500;TraesCS3B01G086900;TraesCS1D01G082200;TraesCS2D01G025500;TraesCS3A01G148300;TraesCS2A01G216400;TraesCS7D01G463700;TraesCS3D01G097000;TraesCS2B01G536600;TraesCS6B01G226200;TraesCS6D01G396900;TraesCS2D01G002600;TraesCS5B01G284400;TraesCS3A01G056300;TraesCS2B01G243000;TraesCS2D01G013200;TraesCS5D01G302000;TraesCS3D01G501400;TraesCS3D01G049000;TraesCS4D01G003300;TraesCS2B01G241900;TraesCS1B01G091900;TraesCS6D01G242000;TraesCS5D01G025500;TraesCS4D01G089200;TraesCS6B01G225700;TraesCS1A01G073300;TraesCS4A01G207800;TraesCS5B01G526200;TraesCS2D01G509500;TraesCS6B01G303800;TraesCS1B01G251700;TraesCS4B01G092500;TraesCS3B01G052600;TraesCS2D01G039400;TraesCS4B01G106000;TraesCS6B01G238900;TraesCS7B01G273000;TraesCS1A01G273600;TraesCS1D01G013800;TraesCS3D01G072700;TraesCS2D01G539100;TraesCS3A01G049600;TraesCS2A01G214000;TraesCS2A01G216300;TraesCS4D01G325500;TraesCS4A01G384600;TraesCS2B01G536500;TraesCS1D01G076200;TraesCS2D01G013300;TraesCS1A01G362900;TraesCS2D01G019600;TraesCS7B01G333700;TraesCS2B01G241800;TraesCS2B01G241400;TraesCS2B01G096000;TraesCS7B01G356800;TraesCS3A01G096500;TraesCS4A01G171500;TraesCS5A01G048600;TraesCS7B01G071100;TraesCS7D01G124900</t>
  </si>
  <si>
    <t>TraesCS1A01G267800</t>
  </si>
  <si>
    <t>TraesCS7B01G325900;TraesCS2A01G217200;TraesCS2B01G208900;TraesCS1A01G383900;TraesCS2D01G509400;TraesCSU01G044100;TraesCS2A01G211900;TraesCS2D01G223000;TraesCS7D01G374700;TraesCS4B01G092400;TraesCS5D01G187700;TraesCS7B01G362800;TraesCS4A01G491600;TraesCS7D01G461900;TraesCS2B01G240800;TraesCS6D01G191400;TraesCS3B01G086900;TraesCS1D01G082200;TraesCS3D01G452300;TraesCS2A01G216400;TraesCS7D01G463700;TraesCS2B01G536600;TraesCS6B01G226000;TraesCS7A01G115400;TraesCS2A01G525300;TraesCS5B01G284400;TraesCS3A01G056300;TraesCS2B01G243000;TraesCS2D01G013200;TraesCS5D01G302000;TraesCS3A01G276200;TraesCS3D01G501400;TraesCS3D01G049000;TraesCS4D01G003300;TraesCS6B01G237600;TraesCS2B01G241900;TraesCS1B01G091900;TraesCS6D01G112200;TraesCS6D01G242000;TraesCS5D01G025500;TraesCS6D01G360900;TraesCS1B01G339100;TraesCS4D01G089200;TraesCS6B01G225700;TraesCSU01G009400;TraesCS1A01G073300;TraesCS4A01G207800;TraesCS3B01G395900;TraesCS5B01G526200;TraesCS1B01G251700;TraesCS2A01G503800;TraesCS3A01G034800;TraesCS2A01G532600;TraesCS2B01G565300;TraesCS1A01G273600;TraesCS7B01G378300;TraesCS2A01G182400;TraesCS4B01G328400;TraesCS3D01G072700;TraesCS2D01G539100;TraesCS3A01G049600;TraesCS2A01G214000;TraesCS6A01G122000;TraesCS2A01G216300;TraesCS2B01G477600;TraesCS4A01G384600;TraesCS2B01G536500;TraesCS3B01G141500;TraesCS7B01G326100;TraesCS2D01G222000;TraesCS3B01G544700;TraesCS7A01G042200;TraesCS6B01G231400;TraesCS2D01G019600;TraesCS7B01G333700;TraesCS2B01G241800;TraesCS2B01G241400;TraesCS7A01G460900;TraesCS2B01G096000;TraesCS3D01G104000;TraesCS7B01G356800;TraesCS3A01G096500;TraesCS4A01G171500;TraesCS5A01G048600;TraesCS7B01G071100;TraesCS1B01G355700;TraesCS6A01G276300;TraesCS3B01G310000;TraesCS2D01G217600;TraesCS6B01G225800;TraesCS7A01G359300;TraesCS4B01G343100;TraesCS1B01G006500;TraesCS3D01G500800;TraesCS2D01G190200;TraesCS3A01G034700;TraesCS5B01G455500;TraesCS3B01G474400;TraesCS5D01G059300;TraesCS6A01G168900;TraesCS3A01G261800;TraesCS1D01G344700;TraesCS2B01G242500;TraesCS2D01G025500;TraesCS3B01G084000;TraesCS4A01G474800;TraesCSU01G008200;TraesCS3A01G148300;TraesCS7D01G037700;TraesCS3D01G097000;TraesCS6B01G415100;TraesCS4A01G445500;TraesCS6B01G226200;TraesCS6D01G396900;TraesCS3A01G064400;TraesCS3B01G038900;TraesCS2D01G002600;TraesCS3B01G032400;TraesCS1B01G376000;TraesCS5A01G210300;TraesCS4B01G007400;TraesCS3A01G122300;TraesCS2D01G509500;TraesCS6B01G303800;TraesCS4B01G092500;TraesCS3B01G052600;TraesCS6B01G232400;TraesCS2D01G039400;TraesCS4B01G106000;TraesCS6B01G238900;TraesCS7B01G273000;TraesCS1D01G013800;TraesCS3D01G124200;TraesCS6D01G191500;TraesCS7B01G267900;TraesCS1D01G271500;TraesCS3A01G016500;TraesCS4D01G325500;TraesCS1D01G076200;TraesCS6B01G212700;TraesCS7D01G111600;TraesCS6B01G231200;TraesCS2D01G013300;TraesCS1A01G362900;TraesCS5B01G064400;TraesCS5D01G061700;TraesCS2B01G394700;TraesCS3B01G569900;TraesCS3D01G276200;TraesCS4D01G202300;TraesCS7D01G124900</t>
  </si>
  <si>
    <t>TraesCS2A01G590900;TraesCS6D01G033000;TraesCS7D01G009700;TraesCS1A01G383900;TraesCS2B01G369100;TraesCS7D01G460300;TraesCS2A01G588700;TraesCS7A01G259100;TraesCS6B01G230400;TraesCS4B01G026100;TraesCS4D01G027900;TraesCS6D01G281100;TraesCSU01G097600;TraesCS2D01G349400;TraesCS3D01G475200;TraesCS5A01G526000;TraesCS6D01G166100;TraesCS5D01G417100;TraesCS4D01G069300;TraesCS3B01G481300;TraesCS7A01G391100;TraesCS2A01G405100;TraesCS3A01G025400;TraesCS2A01G412300;TraesCS1D01G090000;TraesCS7A01G427300;TraesCS2B01G219900;TraesCS2D01G033100;TraesCS4D01G142000;TraesCS7B01G072600;TraesCS2A01G350900;TraesCS7B01G286100;TraesCS5B01G187000;TraesCS7D01G516100;TraesCS3D01G467600;TraesCS5D01G375500;TraesCS6B01G229200;TraesCS5A01G160800;TraesCS7D01G046900;TraesCS2B01G404200;TraesCS1A01G203600;TraesCS7B01G444800;TraesCS1A01G343000;TraesCS3A01G226400;TraesCS5D01G136700;TraesCS3A01G044100;TraesCS5A01G365800;TraesCS7D01G313500;TraesCS4B01G227000;TraesCS6B01G370100;TraesCS2B01G182900;TraesCS3B01G597800;TraesCS3A01G533800;TraesCS4B01G074100;TraesCS1D01G056500;TraesCS2A01G588900;TraesCS7A01G172500;TraesCS6A01G074900;TraesCS4A01G331100;TraesCS6B01G406900;TraesCS6B01G238600;TraesCS4D01G350500;TraesCSU01G020500;TraesCS3B01G266200;TraesCS4A01G283100;TraesCS5A01G196800;TraesCS2A01G350800;TraesCS6D01G038600;TraesCS5B01G059800;TraesCS5A01G526200;TraesCS7B01G292700;TraesCS3D01G020600;TraesCS1D01G412300;TraesCS4A01G216900;TraesCS4A01G241700;TraesCS1D01G162000;TraesCS3A01G362500;TraesCS6D01G215000;TraesCS1D01G402500;TraesCS3D01G039400;TraesCS3A01G446200;TraesCS4A01G485000;TraesCS1B01G286800;TraesCS3D01G476500;TraesCS4A01G230500;TraesCS4D01G072800;TraesCS3A01G348300;TraesCS3B01G597900;TraesCS3D01G036700;TraesCS4A01G186500;TraesCS2B01G369000;TraesCS4D01G136600;TraesCS3D01G478000;TraesCS1B01G182000;TraesCS2A01G350700;TraesCS3D01G534200;TraesCS1B01G107600;TraesCS1B01G422700;TraesCS3D01G341900;TraesCS6B01G229000;TraesCS7A01G046600;TraesCS1B01G133300;TraesCS2B01G394300;TraesCS3D01G039300;TraesCS7A01G330000;TraesCS6B01G410400;TraesCS2A01G588300;TraesCS6B01G047900;TraesCS5D01G293700;TraesCS1A01G168100;TraesCS6B01G058000;TraesCS1A01G277900;TraesCS2D01G349000;TraesCS1B01G090700;TraesCS5D01G452500;TraesCS6D01G048900;TraesCS7B01G156900;TraesCS3B01G526000;TraesCS5B01G476000;TraesCS6B01G224900;TraesCS2B01G318600;TraesCS3B01G380200;TraesCS2B01G580200;TraesCS7B01G493700;TraesCS5D01G408200;TraesCS3A01G528800;TraesCS1B01G223100;TraesCS5D01G327800;TraesCS1A01G312300;TraesCS1B01G133400;TraesCS2D01G550700;TraesCS2D01G382400;TraesCS5A01G464500;TraesCS3A01G237800;TraesCS2B01G594700;TraesCS5B01G097600;TraesCS6A01G178500;TraesCS6A01G323800;TraesCS5D01G019100;TraesCS4A01G130300;TraesCS4B01G328400;TraesCS5B01G412100;TraesCS1A01G072100;TraesCS7A01G549300;TraesCS4D01G285300;TraesCS2D01G409500;TraesCS2B01G580300;TraesCS5D01G477100;TraesCS4B01G356800;TraesCS4A01G258400;TraesCS5D01G564000;TraesCS6B01G231000;TraesCS7A01G391400;TraesCS6B01G229600;TraesCS2B01G117500;TraesCS4B01G174300;TraesCS7A01G537200;TraesCS7D01G386600;TraesCS2D01G402000;TraesCS3A01G025300;TraesCS6B01G041200;TraesCS1A01G113300;TraesCS1D01G283900;TraesCS4B01G095200;TraesCS5B01G285300;TraesCS7B01G420700;TraesCS5B01G449500;TraesCS6A01G266100;TraesCS4A01G071100;TraesCS3A01G483100;TraesCS4D01G092000;TraesCS5A01G286100;TraesCS2D01G383400;TraesCS7D01G524300;TraesCS1D01G114600;TraesCS4A01G017400;TraesCS2D01G348800;TraesCS7B01G349100;TraesCS4D01G023500;TraesCS6B01G230600;TraesCS4D01G325400;TraesCS2D01G564900;TraesCS6B01G199700;TraesCS2A01G386700;TraesCS3A01G040800;TraesCS7B01G335500;TraesCS1A01G266100;TraesCS3B01G526700;TraesCS4A01G240900;TraesCS3B01G356700;TraesCS6B01G231700;TraesCS5B01G285400;TraesCS2B01G594900;TraesCS4A01G384800;TraesCS1A01G095800;TraesCS4D01G035700;TraesCS6B01G205900;TraesCS5B01G239300;TraesCS7D01G173300;TraesCS4D01G176300;TraesCS2D01G348900;TraesCS5D01G196600;TraesCS6B01G226700;TraesCS4D01G325500;TraesCS3D01G320700;TraesCS3B01G258100;TraesCS1A01G244200;TraesCS7B01G390200;TraesCS4A01G175900;TraesCS4D01G227700;TraesCS3D01G238000;TraesCS2D01G550600</t>
  </si>
  <si>
    <t>TraesCS1A01G383900;TraesCS2B01G369100;TraesCS4D01G326400;TraesCS7A01G427300;TraesCS2B01G369000;TraesCS2D01G033100;TraesCS2A01G467000;TraesCS6A01G266100;TraesCS4D01G142000;TraesCS2D01G349000;TraesCSU01G020500;TraesCS2D01G349400;TraesCS4B01G328400;TraesCS2A01G350700;TraesCS2A01G350800;TraesCS2A01G350900;TraesCS2D01G348900;TraesCS2D01G348800;TraesCS7A01G492400;TraesCS4D01G325500;TraesCS7B01G493700;TraesCS4D01G325400;TraesCS5D01G408200;TraesCS3D01G467600;TraesCS1A01G203600</t>
  </si>
  <si>
    <t>TraesCS1A01G309500</t>
  </si>
  <si>
    <t>TraesCS7B01G325900;TraesCS2A01G217200;TraesCS2B01G208900;TraesCS1A01G383900;TraesCS3A01G124700;TraesCS2D01G509400;TraesCSU01G044100;TraesCS2A01G211900;TraesCS2D01G223000;TraesCS7D01G374700;TraesCS4B01G092400;TraesCS5D01G187700;TraesCS7B01G362800;TraesCS4A01G491600;TraesCS7D01G461900;TraesCS1A01G070400;TraesCS2B01G240800;TraesCS6D01G191400;TraesCS3B01G086900;TraesCS1D01G082200;TraesCS3D01G452300;TraesCS2A01G216400;TraesCS7D01G463700;TraesCS2B01G536600;TraesCS6B01G226000;TraesCS7A01G115400;TraesCS2A01G525300;TraesCS5B01G284400;TraesCS3A01G056300;TraesCS2B01G243000;TraesCS2D01G013200;TraesCS5D01G302000;TraesCS3A01G276200;TraesCS3D01G501400;TraesCS3D01G049000;TraesCS4D01G003300;TraesCS6B01G237600;TraesCS2B01G241900;TraesCS1B01G091900;TraesCS6D01G112200;TraesCS6D01G242000;TraesCS5D01G025500;TraesCS6D01G360900;TraesCS1B01G339100;TraesCS4D01G089200;TraesCS6B01G225700;TraesCSU01G009400;TraesCS1A01G073300;TraesCS4A01G207800;TraesCS5B01G526200;TraesCS1B01G251700;TraesCS2A01G503800;TraesCS3A01G034800;TraesCS2A01G532600;TraesCS2B01G565300;TraesCS1A01G273600;TraesCS7B01G378300;TraesCS2A01G182400;TraesCS4B01G328400;TraesCS3D01G072700;TraesCS2D01G539100;TraesCS3A01G049600;TraesCS2A01G214000;TraesCS6A01G122000;TraesCS2A01G216300;TraesCS2B01G477600;TraesCS4A01G384600;TraesCS2B01G536500;TraesCS3B01G141500;TraesCS7B01G326100;TraesCS2D01G222000;TraesCS3B01G544700;TraesCS7A01G042200;TraesCS6B01G231400;TraesCS2D01G019600;TraesCS7B01G333700;TraesCS2B01G241800;TraesCS2B01G241400;TraesCS7A01G460900;TraesCS2B01G096000;TraesCS3D01G104000;TraesCS7B01G356800;TraesCS3A01G096500;TraesCS4A01G171500;TraesCS5A01G048600;TraesCS7B01G071100;TraesCS1B01G355700;TraesCS6A01G276300;TraesCS3B01G310000;TraesCS2D01G217600;TraesCS6B01G225800;TraesCS7A01G359300;TraesCS4B01G343100;TraesCS1B01G006500;TraesCS3D01G500800;TraesCS2D01G190200;TraesCS3A01G034700;TraesCS5B01G455500;TraesCS3B01G474400;TraesCS5D01G059300;TraesCS6A01G168900;TraesCS3A01G261800;TraesCS1D01G344700;TraesCS2B01G242500;TraesCS2D01G025500;TraesCS3B01G084000;TraesCS4A01G474800;TraesCSU01G008200;TraesCS3A01G148300;TraesCS7D01G037700;TraesCS3D01G097000;TraesCS6B01G415100;TraesCS4A01G445500;TraesCS6B01G226200;TraesCS6D01G396900;TraesCS3A01G064400;TraesCS3B01G038900;TraesCS2D01G002600;TraesCS3B01G032400;TraesCS1B01G376000;TraesCS5A01G210300;TraesCS4B01G007400;TraesCS3A01G122300;TraesCS2D01G509500;TraesCS6B01G303800;TraesCS4B01G092500;TraesCS3B01G052600;TraesCS6B01G232400;TraesCS2D01G039400;TraesCS4B01G106000;TraesCS6B01G238900;TraesCS7B01G273000;TraesCS1D01G013800;TraesCS3D01G124200;TraesCS6D01G191500;TraesCS7B01G267900;TraesCS1D01G271500;TraesCS3A01G016500;TraesCS4D01G325500;TraesCS1D01G076200;TraesCS6B01G212700;TraesCS6B01G231200;TraesCS2D01G013300;TraesCS1A01G362900;TraesCS5B01G064400;TraesCS5D01G061700;TraesCS2B01G394700;TraesCS3B01G569900;TraesCS3D01G276200;TraesCS4D01G202300;TraesCS7D01G124900</t>
  </si>
  <si>
    <t>TraesCS7B01G325900;TraesCS2A01G217200;TraesCS2B01G208900;TraesCS1A01G383900;TraesCS2D01G509400;TraesCS2B01G369100;TraesCS2A01G211900;TraesCS4D01G232700;TraesCS4B01G092400;TraesCS2B01G414800;TraesCS5D01G187700;TraesCS4A01G491600;TraesCS4D01G027900;TraesCS6D01G191400;TraesCSU01G097600;TraesCS3D01G452300;TraesCS6D01G166100;TraesCS7D01G463700;TraesCS6B01G226000;TraesCS7A01G391100;TraesCS2B01G243000;TraesCS6B01G233800;TraesCS5D01G302000;TraesCS3A01G276200;TraesCS3D01G049000;TraesCS6B01G237600;TraesCS5D01G025500;TraesCS6D01G360900;TraesCS1B01G339100;TraesCS6B01G225700;TraesCSU01G009400;TraesCS5B01G526200;TraesCS6D01G402500;TraesCS4D01G326400;TraesCS2A01G503800;TraesCS3A01G034800;TraesCS2D01G033100;TraesCS2B01G565300;TraesCS1A01G273600;TraesCS7B01G378300;TraesCS3D01G072700;TraesCS3A01G049600;TraesCS2B01G477600;TraesCS7B01G326100;TraesCS7A01G042200;TraesCS6B01G231400;TraesCS2D01G019600;TraesCS2B01G241400;TraesCS7A01G460900;TraesCS1A01G343000;TraesCS3A01G096500;TraesCS1B01G355700;TraesCS6A01G276300;TraesCS3B01G310000;TraesCS4A01G177600;TraesCS2D01G217600;TraesCS6B01G225800;TraesCS7D01G313500;TraesCS7A01G359300;TraesCS4B01G343100;TraesCS4D01G243000;TraesCS1B01G006500;TraesCS3A01G230900;TraesCS3D01G500800;TraesCS4A01G331100;TraesCS5D01G059300;TraesCS6A01G168900;TraesCS4A01G283100;TraesCS1D01G344700;TraesCS2A01G350800;TraesCS3B01G084000;TraesCS4A01G474800;TraesCS7B01G292700;TraesCS4A01G216900;TraesCS4A01G445500;TraesCS6B01G226200;TraesCS3A01G064400;TraesCS3A01G362500;TraesCS2D01G002600;TraesCS3B01G032400;TraesCS6B01G235900;TraesCS5B01G366800;TraesCS4B01G231400;TraesCS3A01G122300;TraesCS6B01G232400;TraesCS2B01G369000;TraesCS2D01G039400;TraesCS4B01G106000;TraesCS1D01G013800;TraesCS2A01G350700;TraesCS1D01G271500;TraesCS1D01G076200;TraesCS6B01G212700;TraesCS6B01G231200;TraesCS1A01G362900;TraesCS5D01G061700;TraesCS3B01G569900;TraesCS3D01G276200;TraesCS7D01G124900;TraesCS4A01G066100;TraesCSU01G044100;TraesCS2D01G223000;TraesCS7D01G374700;TraesCS7B01G362800;TraesCS7D01G461900;TraesCS2B01G240800;TraesCS2D01G349000;TraesCS5D01G452500;TraesCS3B01G086900;TraesCS1D01G082200;TraesCS2A01G216400;TraesCS2B01G536600;TraesCS7B01G493700;TraesCS2A01G525300;TraesCS5B01G284400;TraesCS3A01G056300;TraesCS4B01G237300;TraesCS2D01G013200;TraesCS3D01G501400;TraesCS1A01G312300;TraesCS4D01G003300;TraesCS2B01G241900;TraesCS1B01G091900;TraesCS6D01G112200;TraesCS6D01G242000;TraesCS4D01G089200;TraesCS1A01G073300;TraesCS4A01G207800;TraesCS1B01G251700;TraesCS6A01G178500;TraesCS2A01G532600;TraesCS4D01G268400;TraesCS4D01G134900;TraesCS2A01G182400;TraesCS4A01G130300;TraesCS4B01G328400;TraesCS2D01G539100;TraesCS2A01G214000;TraesCS5B01G439400;TraesCS6A01G122000;TraesCS2A01G216300;TraesCS4B01G140200;TraesCS4A01G075600;TraesCS4A01G384600;TraesCS2B01G536500;TraesCS3B01G141500;TraesCS2D01G222000;TraesCS5D01G564000;TraesCS6B01G231000;TraesCS3B01G544700;TraesCS7B01G333700;TraesCS2B01G241800;TraesCS4B01G174300;TraesCS2B01G096000;TraesCS3D01G104000;TraesCS7B01G356800;TraesCS7D01G386600;TraesCS4A01G171500;TraesCS5A01G048600;TraesCS7B01G071100;TraesCS4D01G238600;TraesCS7B01G253600;TraesCS4B01G095200;TraesCS2D01G190200;TraesCS3A01G034700;TraesCS5B01G449500;TraesCS5B01G455500;TraesCS3B01G474400;TraesCS3A01G261800;TraesCS4D01G092000;TraesCS2B01G242500;TraesCS2D01G025500;TraesCSU01G008200;TraesCS2D01G348800;TraesCS3A01G148300;TraesCS7D01G037700;TraesCS3D01G097000;TraesCS6B01G415100;TraesCS6D01G396900;TraesCS3B01G038900;TraesCS6B01G199700;TraesCS1B01G376000;TraesCS5A01G210300;TraesCS4B01G007400;TraesCS2D01G509500;TraesCS6B01G303800;TraesCS4B01G092500;TraesCS3B01G052600;TraesCS4A01G384800;TraesCS6B01G238900;TraesCS7B01G273000;TraesCS6B01G205900;TraesCS3D01G124200;TraesCS6D01G191500;TraesCS7B01G267900;TraesCS4D01G176300;TraesCS2D01G348900;TraesCS3A01G016500;TraesCS4D01G325500;TraesCS2D01G013300;TraesCS5B01G064400;TraesCS2B01G394700;TraesCS4D01G202300</t>
  </si>
  <si>
    <t>TraesCS1A01G312400</t>
  </si>
  <si>
    <t>TraesCS6D01G033000;TraesCS7B01G325900;TraesCS2A01G217200;TraesCS2B01G208900;TraesCS1A01G383900;TraesCS2D01G509400;TraesCS2A01G211900;TraesCS4B01G092400;TraesCS5D01G187700;TraesCS4A01G491600;TraesCS6B01G238000;TraesCS6D01G191400;TraesCS3D01G452300;TraesCS5A01G526000;TraesCS7D01G463700;TraesCS6B01G226000;TraesCS3B01G481300;TraesCS2B01G243000;TraesCS5D01G302000;TraesCS3A01G276200;TraesCS3D01G049000;TraesCS6B01G237600;TraesCS5D01G025500;TraesCS6D01G360900;TraesCS6B01G225700;TraesCSU01G009400;TraesCS5B01G526200;TraesCS2A01G412300;TraesCS2A01G503800;TraesCS2B01G219900;TraesCS3A01G034800;TraesCS2B01G565300;TraesCS1A01G273600;TraesCS7B01G378300;TraesCS3D01G072700;TraesCS5B01G187000;TraesCS3A01G049600;TraesCS7D01G516100;TraesCS2B01G477600;TraesCS7B01G326100;TraesCS3D01G467600;TraesCS5D01G375500;TraesCS6B01G229200;TraesCS7A01G042200;TraesCS2B01G404200;TraesCS6B01G231400;TraesCS7B01G444800;TraesCS2D01G019600;TraesCS2B01G241400;TraesCS7A01G460900;TraesCS3A01G096500;TraesCS1B01G355700;TraesCS6A01G276300;TraesCS3B01G310000;TraesCS5A01G365800;TraesCS2D01G217600;TraesCS6B01G225800;TraesCS6B01G370100;TraesCS3B01G597800;TraesCS7A01G359300;TraesCS4B01G343100;TraesCS1B01G006500;TraesCS3D01G500800;TraesCS6A01G074900;TraesCS5D01G059300;TraesCS6A01G168900;TraesCS3B01G266200;TraesCS5A01G196800;TraesCS1D01G344700;TraesCS3B01G084000;TraesCS4A01G474800;TraesCS1D01G412300;TraesCS4A01G241700;TraesCS4A01G445500;TraesCS6B01G226200;TraesCS3A01G064400;TraesCS2D01G002600;TraesCS3B01G032400;TraesCS6D01G215000;TraesCS3D01G039400;TraesCS3A01G446200;TraesCS3A01G122300;TraesCS3B01G597900;TraesCS6B01G232400;TraesCS2D01G039400;TraesCS4B01G106000;TraesCS4D01G136600;TraesCS4A01G249200;TraesCS1D01G013800;TraesCS3D01G534200;TraesCS1D01G271500;TraesCS1D01G076200;TraesCS6B01G212700;TraesCS4A01G244200;TraesCS6B01G231200;TraesCS1A01G362900;TraesCS5D01G061700;TraesCS3D01G039300;TraesCS3B01G569900;TraesCS3D01G276200;TraesCS7D01G124900;TraesCS6B01G410400;TraesCSU01G044100;TraesCS2D01G223000;TraesCS7D01G374700;TraesCS1A01G168100;TraesCS7B01G362800;TraesCS7D01G461900;TraesCS2B01G240800;TraesCS3B01G086900;TraesCS1D01G082200;TraesCS6B01G224900;TraesCS2A01G216400;TraesCS2B01G536600;TraesCS2A01G525300;TraesCS5B01G284400;TraesCS3A01G056300;TraesCS3A01G528800;TraesCS2D01G013200;TraesCS3D01G501400;TraesCS4D01G003300;TraesCS2B01G241900;TraesCS1B01G091900;TraesCS6D01G112200;TraesCS6D01G242000;TraesCS2D01G382400;TraesCS4D01G089200;TraesCS1A01G073300;TraesCS4A01G207800;TraesCS1B01G251700;TraesCS3A01G237800;TraesCS2A01G532600;TraesCS2A01G182400;TraesCS4B01G328400;TraesCS2D01G539100;TraesCS2A01G214000;TraesCS2D01G409500;TraesCS6A01G122000;TraesCS2A01G216300;TraesCS4A01G384600;TraesCS2B01G536500;TraesCS3B01G141500;TraesCS2D01G222000;TraesCS6B01G231000;TraesCS3B01G544700;TraesCS6B01G229600;TraesCS7B01G333700;TraesCS2B01G241800;TraesCS7A01G537200;TraesCS2B01G096000;TraesCS3D01G104000;TraesCS7B01G356800;TraesCS4A01G171500;TraesCS5A01G048600;TraesCS7B01G071100;TraesCS6B01G041200;TraesCS7B01G420700;TraesCS2D01G190200;TraesCS3A01G034700;TraesCS5B01G455500;TraesCS3B01G474400;TraesCS3A01G261800;TraesCS2B01G242500;TraesCS2D01G383400;TraesCS2D01G025500;TraesCS7D01G524300;TraesCSU01G008200;TraesCS3A01G148300;TraesCS7D01G037700;TraesCS3D01G097000;TraesCS6B01G415100;TraesCS6D01G396900;TraesCS3B01G038900;TraesCS1B01G376000;TraesCS2A01G386700;TraesCS3A01G040800;TraesCS5A01G210300;TraesCS4B01G007400;TraesCS2D01G509500;TraesCS3B01G356700;TraesCS6B01G231700;TraesCS6B01G303800;TraesCS4B01G092500;TraesCS3B01G052600;TraesCS6B01G238900;TraesCS7B01G273000;TraesCS1A01G095800;TraesCS3D01G124200;TraesCS6D01G191500;TraesCS7B01G267900;TraesCS5D01G196600;TraesCS3A01G016500;TraesCS4D01G325500;TraesCS3D01G320700;TraesCS1A01G244200;TraesCS2D01G013300;TraesCS5B01G064400;TraesCS2B01G394700;TraesCS3D01G238000;TraesCS4D01G202300</t>
  </si>
  <si>
    <t>TraesCS1A01G320300</t>
  </si>
  <si>
    <t>TraesCS2B01G445300;TraesCS2D01G261100;TraesCS7B01G440900;TraesCS7A01G523800;TraesCS2B01G279200;TraesCS2A01G546600;TraesCS3D01G061500;TraesCS7B01G441100;TraesCS4A01G384700;TraesCS6D01G382800;TraesCS2B01G416700;TraesCS7D01G349400;TraesCS6B01G438800;TraesCS7A01G085700;TraesCS5D01G012000;TraesCS5D01G012100;TraesCS2B01G177600;TraesCS5D01G012300;TraesCS3B01G596800;TraesCS3A01G519000;TraesCS3B01G154000;TraesCS5A01G004500;TraesCS4D01G309900;TraesCS5A01G004600;TraesCS2A01G013400;TraesCS3D01G061900;TraesCSU01G048500;TraesCSU01G048600;TraesCS3A01G136100;TraesCSU01G031600;TraesCS3A01G061600;TraesCS5A01G004700;TraesCS1B01G001700;TraesCS5D01G488500;TraesCS7D01G080400;TraesCS7B01G354400;TraesCS2A01G019400</t>
  </si>
  <si>
    <t>TraesCS2A01G026800;TraesCS6D01G359300;TraesCS5D01G233700;TraesCS4A01G311000;TraesCS6A01G033300;TraesCS7D01G142000;TraesCS2B01G040100;TraesCS5B01G224800;TraesCS4D01G195700;TraesCS4B01G374300;TraesCS7B01G474000;TraesCS4A01G109200;TraesCS6D01G038500;TraesCS5D01G460700;TraesCS6D01G300600;TraesCS5D01G565100;TraesCS4B01G195000;TraesCS7D01G536900</t>
  </si>
  <si>
    <t>TraesCS1B01G286800;TraesCS1A01G431300;TraesCS1D01G266000;TraesCS1A01G021000;TraesCS2D01G371800;TraesCS1A01G021400;TraesCS1D01G265900;TraesCS1A01G265600;TraesCS1A01G265700;TraesCS7A01G046600;TraesCS6D01G000200;TraesCS1D01G020600;TraesCS1B01G276800;TraesCS1B01G276500;TraesCS1A01G277900;TraesCS3A01G093900;TraesCS1B01G466100</t>
  </si>
  <si>
    <t>TraesCS7B01G325900;TraesCS2A01G217200;TraesCS2B01G208900;TraesCS1A01G383900;TraesCS2D01G509400;TraesCSU01G044100;TraesCS2A01G211900;TraesCS2D01G223000;TraesCS7D01G374700;TraesCS4B01G092400;TraesCS5D01G187700;TraesCS7B01G362800;TraesCS4A01G491600;TraesCS7D01G461900;TraesCS2B01G240800;TraesCS6D01G191400;TraesCS3B01G086900;TraesCS1D01G082200;TraesCS3D01G452300;TraesCS2A01G216400;TraesCS7D01G463700;TraesCS2B01G536600;TraesCS6B01G226000;TraesCS7A01G115400;TraesCS2A01G525300;TraesCS5B01G284400;TraesCS3A01G056300;TraesCS2B01G243000;TraesCS2D01G013200;TraesCS5D01G302000;TraesCS3A01G276200;TraesCS3D01G501400;TraesCS3D01G049000;TraesCS4D01G003300;TraesCS6B01G237600;TraesCS2B01G241900;TraesCS1B01G091900;TraesCS6D01G112200;TraesCS6D01G242000;TraesCS5D01G025500;TraesCS6D01G360900;TraesCS1B01G339100;TraesCS4D01G089200;TraesCS6B01G225700;TraesCSU01G009400;TraesCS1A01G073300;TraesCS4A01G207800;TraesCS3B01G395900;TraesCS5B01G526200;TraesCS1B01G251700;TraesCS2A01G503800;TraesCS3A01G034800;TraesCS2A01G532600;TraesCS2B01G565300;TraesCS1A01G273600;TraesCS7B01G378300;TraesCS2A01G182400;TraesCS4B01G328400;TraesCS3D01G072700;TraesCS2D01G539100;TraesCS3A01G049600;TraesCS2A01G214000;TraesCS6A01G122000;TraesCS2A01G216300;TraesCS2B01G477600;TraesCS4A01G384600;TraesCS2B01G536500;TraesCS3B01G141500;TraesCS7B01G326100;TraesCS2D01G222000;TraesCS3B01G544700;TraesCS7A01G042200;TraesCS6B01G231400;TraesCS2D01G019600;TraesCS7B01G333700;TraesCS2B01G241800;TraesCS2B01G241400;TraesCS7A01G460900;TraesCS2B01G096000;TraesCS3D01G104000;TraesCS7B01G356800;TraesCS3A01G096500;TraesCS4A01G171500;TraesCS5A01G048600;TraesCS7B01G071100;TraesCS1B01G355700;TraesCS6A01G276300;TraesCS3B01G310000;TraesCS2D01G217600;TraesCS6B01G225800;TraesCS7A01G359300;TraesCS4B01G343100;TraesCS1B01G006500;TraesCS3D01G500800;TraesCS2D01G190200;TraesCS3A01G034700;TraesCS5B01G455500;TraesCS3B01G474400;TraesCS5D01G059300;TraesCS6A01G168900;TraesCS3A01G261800;TraesCS1D01G344700;TraesCS2B01G242500;TraesCS2D01G025500;TraesCS3B01G084000;TraesCS4A01G474800;TraesCSU01G008200;TraesCS3A01G148300;TraesCS7D01G037700;TraesCS3D01G097000;TraesCS6B01G415100;TraesCS4A01G445500;TraesCS6B01G083500;TraesCS6B01G226200;TraesCS6D01G396900;TraesCS3A01G064400;TraesCS3B01G038900;TraesCS2D01G002600;TraesCS3B01G032400;TraesCS1B01G376000;TraesCS5A01G210300;TraesCS4B01G007400;TraesCS3A01G122300;TraesCS2D01G509500;TraesCS6B01G303800;TraesCS4B01G092500;TraesCS3B01G052600;TraesCS6B01G232400;TraesCS2D01G039400;TraesCS4B01G106000;TraesCS6B01G238900;TraesCS7B01G273000;TraesCS1D01G013800;TraesCS3D01G124200;TraesCS6D01G191500;TraesCS7B01G267900;TraesCS1D01G271500;TraesCS3A01G016500;TraesCS4D01G325500;TraesCS1D01G076200;TraesCS6B01G212700;TraesCS7D01G111600;TraesCS6B01G231200;TraesCS2D01G013300;TraesCS1A01G362900;TraesCS5B01G064400;TraesCS5D01G061700;TraesCS2B01G394700;TraesCS3B01G569900;TraesCS3D01G276200;TraesCS4D01G202300;TraesCS7D01G124900</t>
  </si>
  <si>
    <t>TraesCS1A01G362900</t>
  </si>
  <si>
    <t>TraesCS7B01G325900;TraesCS2A01G217200;TraesCS2B01G208900;TraesCS1A01G383900;TraesCS3A01G124700;TraesCS2D01G509400;TraesCS7D01G460300;TraesCSU01G044100;TraesCS2A01G211900;TraesCS2D01G223000;TraesCS5D01G293700;TraesCS7D01G374700;TraesCS4B01G092400;TraesCS3D01G493700;TraesCS5D01G187700;TraesCS7B01G362800;TraesCS4A01G491600;TraesCS7D01G461900;TraesCS1A01G070400;TraesCS2B01G240800;TraesCS4D01G027900;TraesCS6D01G281100;TraesCS6D01G191400;TraesCS3B01G086900;TraesCS1D01G082200;TraesCS3B01G547500;TraesCS3D01G452300;TraesCS6B01G224900;TraesCS2A01G216400;TraesCS7D01G463700;TraesCS2B01G536600;TraesCS4D01G069300;TraesCS6B01G226000;TraesCS7A01G115400;TraesCS2A01G525300;TraesCS5B01G284400;TraesCS3A01G056300;TraesCS2B01G243000;TraesCS2D01G013200;TraesCS5D01G302000;TraesCS3A01G276200;TraesCS3D01G501400;TraesCS3D01G049000;TraesCS4D01G003300;TraesCS6B01G237600;TraesCS2B01G241900;TraesCS1B01G091900;TraesCS6D01G112200;TraesCS6D01G242000;TraesCS5D01G025500;TraesCS6D01G360900;TraesCS1B01G339100;TraesCS4D01G089200;TraesCS6B01G225700;TraesCSU01G009400;TraesCS1A01G073300;TraesCS4A01G207800;TraesCS5B01G526200;TraesCS1D01G090000;TraesCS1B01G251700;TraesCS3A01G237800;TraesCS2A01G503800;TraesCS3A01G034800;TraesCS2A01G532600;TraesCS2B01G565300;TraesCS1B01G404000;TraesCS1A01G273600;TraesCS7B01G378300;TraesCS2A01G182400;TraesCS4B01G328400;TraesCS3D01G072700;TraesCS2D01G539100;TraesCS3A01G049600;TraesCS2A01G214000;TraesCS6A01G122000;TraesCS2A01G216300;TraesCS2B01G477600;TraesCS4A01G384600;TraesCS2B01G536500;TraesCS3B01G141500;TraesCS7B01G326100;TraesCS2D01G222000;TraesCS3B01G544700;TraesCS7A01G042200;TraesCS1A01G312400;TraesCS6B01G231400;TraesCS6B01G229600;TraesCS2D01G019600;TraesCS7B01G333700;TraesCS2B01G241800;TraesCS2B01G241400;TraesCS7A01G460900;TraesCS2B01G096000;TraesCS3D01G104000;TraesCS7B01G356800;TraesCS3A01G096500;TraesCS4A01G171500;TraesCS5A01G048600;TraesCS5D01G136700;TraesCS6B01G239000;TraesCS7B01G071100;TraesCS1B01G355700;TraesCS6A01G276300;TraesCS3B01G310000;TraesCS2D01G217600;TraesCS6B01G225800;TraesCS7D01G199900;TraesCS7A01G359300;TraesCS4B01G343100;TraesCS1B01G006500;TraesCS3D01G500800;TraesCS2D01G190200;TraesCS3A01G034700;TraesCS5B01G455500;TraesCS3B01G474400;TraesCS5D01G059300;TraesCS6A01G168900;TraesCS3A01G261800;TraesCS3B01G266200;TraesCS4A01G283100;TraesCS5A01G286100;TraesCS1D01G344700;TraesCS2B01G242500;TraesCS3B01G547300;TraesCS2D01G025500;TraesCS3B01G084000;TraesCS4A01G474800;TraesCSU01G008200;TraesCS3A01G148300;TraesCS7A01G492400;TraesCS7D01G037700;TraesCS3D01G097000;TraesCS6B01G415100;TraesCS4A01G445500;TraesCS6B01G226200;TraesCS6D01G396900;TraesCS3A01G064400;TraesCS3B01G038900;TraesCS2D01G002600;TraesCS3B01G032400;TraesCS1B01G376000;TraesCS5A01G210300;TraesCS4B01G007400;TraesCS3A01G122300;TraesCS2D01G509500;TraesCS6B01G303800;TraesCS4B01G092500;TraesCS3B01G052600;TraesCS6B01G232400;TraesCS2D01G039400;TraesCS4B01G106000;TraesCS6B01G238900;TraesCS7B01G273000;TraesCS1D01G013800;TraesCS3D01G124200;TraesCS6D01G191500;TraesCS7B01G267900;TraesCS1D01G271500;TraesCS1B01G107600;TraesCS3A01G016500;TraesCS4D01G325500;TraesCS1D01G076200;TraesCS6B01G212700;TraesCS1A01G244200;TraesCS6B01G231200;TraesCS2D01G013300;TraesCS1A01G362900;TraesCS5B01G064400;TraesCS5D01G061700;TraesCS6B01G227900;TraesCS2B01G394700;TraesCS3B01G569900;TraesCS3D01G238000;TraesCS3D01G276200;TraesCS4D01G202300;TraesCS7D01G124900</t>
  </si>
  <si>
    <t>TraesCS1A01G374400</t>
  </si>
  <si>
    <t>TraesCS2A01G350800;TraesCS2B01G369000;TraesCS2D01G348900;TraesCS2D01G348800;TraesCS2D01G033100;TraesCS2D01G349000;TraesCS2B01G369100;TraesCS4D01G326400;TraesCS7B01G493700;TraesCS2A01G350700</t>
  </si>
  <si>
    <t>TraesCS2B01G398200;TraesCS2B01G398300;TraesCS2D01G218700;TraesCS1A01G037800;TraesCS5B01G468300;TraesCS2B01G224000;TraesCS2D01G377500;TraesCS2A01G212900;TraesCS2D01G377400</t>
  </si>
  <si>
    <t>TraesCS1A01G383900</t>
  </si>
  <si>
    <t>TraesCS4A01G066100;TraesCS7B01G325900;TraesCS2A01G217200;TraesCS2B01G208900;TraesCS1A01G383900;TraesCS2D01G509400;TraesCSU01G044100;TraesCS2A01G211900;TraesCS2D01G223000;TraesCS7D01G374700;TraesCS4B01G092400;TraesCS5D01G187700;TraesCS7B01G362800;TraesCS4A01G491600;TraesCS7D01G461900;TraesCS2B01G240800;TraesCS4D01G027900;TraesCS5D01G452500;TraesCS6D01G191400;TraesCSU01G097600;TraesCS3B01G086900;TraesCS1D01G082200;TraesCS3D01G452300;TraesCS6D01G166100;TraesCS2A01G216400;TraesCS7D01G463700;TraesCS2B01G536600;TraesCS6B01G226000;TraesCS2A01G525300;TraesCS5B01G284400;TraesCS3A01G056300;TraesCS7A01G391100;TraesCS2B01G243000;TraesCS6B01G233800;TraesCS2D01G013200;TraesCS5D01G302000;TraesCS3A01G276200;TraesCS3D01G501400;TraesCS1A01G312300;TraesCS3D01G049000;TraesCS4D01G003300;TraesCS6B01G237600;TraesCS2B01G241900;TraesCS1B01G091900;TraesCS6D01G112200;TraesCS6D01G242000;TraesCS5D01G025500;TraesCS6D01G360900;TraesCS1B01G339100;TraesCS4D01G089200;TraesCS6B01G225700;TraesCSU01G009400;TraesCS1A01G073300;TraesCS4A01G207800;TraesCS5B01G526200;TraesCS6D01G402500;TraesCS1B01G251700;TraesCS2A01G503800;TraesCS3A01G034800;TraesCS6A01G178500;TraesCS2A01G532600;TraesCS2B01G565300;TraesCS4D01G268400;TraesCS1A01G273600;TraesCS7B01G378300;TraesCS4D01G134900;TraesCS2A01G182400;TraesCS4A01G130300;TraesCS4B01G328400;TraesCS3D01G072700;TraesCS2D01G539100;TraesCS3A01G049600;TraesCS2A01G214000;TraesCS6A01G122000;TraesCS2A01G216300;TraesCS4B01G140200;TraesCS2B01G477600;TraesCS4A01G384600;TraesCS2B01G536500;TraesCS3B01G141500;TraesCS7B01G326100;TraesCS2D01G222000;TraesCS5D01G564000;TraesCS6B01G231000;TraesCS3B01G544700;TraesCS7A01G042200;TraesCS6B01G231400;TraesCS2D01G019600;TraesCS7B01G333700;TraesCS2B01G241800;TraesCS4B01G174300;TraesCS2B01G241400;TraesCS7A01G460900;TraesCS1A01G343000;TraesCS2B01G096000;TraesCS3D01G104000;TraesCS7B01G356800;TraesCS7D01G386600;TraesCS3A01G096500;TraesCS4A01G171500;TraesCS5A01G048600;TraesCS7B01G071100;TraesCS1B01G355700;TraesCS6A01G276300;TraesCS3B01G310000;TraesCS4A01G177600;TraesCS2D01G217600;TraesCS6B01G225800;TraesCS7D01G313500;TraesCS7A01G359300;TraesCS4B01G343100;TraesCS4D01G243000;TraesCS1B01G006500;TraesCS3A01G230900;TraesCS3D01G500800;TraesCS4B01G095200;TraesCS4A01G331100;TraesCS2D01G190200;TraesCS3A01G034700;TraesCS5B01G449500;TraesCS5B01G455500;TraesCS3B01G474400;TraesCS5D01G059300;TraesCS6A01G168900;TraesCS3A01G261800;TraesCS4A01G283100;TraesCS4D01G092000;TraesCS1D01G344700;TraesCS2B01G242500;TraesCS2D01G025500;TraesCS3B01G084000;TraesCS4A01G474800;TraesCS7B01G292700;TraesCSU01G008200;TraesCS3A01G148300;TraesCS4A01G216900;TraesCS7D01G037700;TraesCS3D01G097000;TraesCS6B01G415100;TraesCS4A01G445500;TraesCS6B01G226200;TraesCS6D01G396900;TraesCS3A01G064400;TraesCS3B01G038900;TraesCS3A01G362500;TraesCS2D01G002600;TraesCS3B01G032400;TraesCS6B01G199700;TraesCS1B01G376000;TraesCS6B01G235900;TraesCS5A01G210300;TraesCS4B01G007400;TraesCS3A01G122300;TraesCS2D01G509500;TraesCS6B01G303800;TraesCS4B01G092500;TraesCS3B01G052600;TraesCS6B01G232400;TraesCS2D01G039400;TraesCS4A01G384800;TraesCS4B01G106000;TraesCS6B01G238900;TraesCS7B01G273000;TraesCS6B01G205900;TraesCS1D01G013800;TraesCS3D01G124200;TraesCS6D01G191500;TraesCS7B01G267900;TraesCS4D01G176300;TraesCS1D01G271500;TraesCS3A01G016500;TraesCS4D01G325500;TraesCS1D01G076200;TraesCS6B01G212700;TraesCS6B01G231200;TraesCS2D01G013300;TraesCS1A01G362900;TraesCS5B01G064400;TraesCS5D01G061700;TraesCS2B01G394700;TraesCS3B01G569900;TraesCS3D01G276200;TraesCS4D01G202300;TraesCS7D01G124900</t>
  </si>
  <si>
    <t>TraesCS7D01G164500;TraesCS2B01G208900;TraesCS6B01G116600;TraesCS2A01G477000;TraesCS4B01G187800;TraesCS4A01G389700;TraesCS4D01G238600;TraesCS4D01G326400;TraesCS4A01G389600;TraesCS5A01G090600;TraesCS7A01G259100;TraesCS3B01G350500;TraesCS1A01G070400;TraesCS4D01G142000;TraesCS7A01G209800;TraesCS1A01G277900;TraesCS7D01G211700;TraesCS7B01G156900;TraesCS2B01G500100;TraesCS2B01G500200;TraesCS2B01G500300;TraesCS7A01G226500;TraesCS2D01G476400;TraesCS7D01G551400;TraesCS1D01G261400;TraesCS2A01G476800;TraesCS4D01G321000;TraesCS2A01G476700;TraesCS1B01G216300;TraesCS3D01G435300;TraesCS2A01G476500;TraesCS2B01G442700;TraesCS2A01G083600;TraesCS1B01G439200;TraesCS5D01G183700;TraesCS7B01G068300;TraesCS3A01G442700;TraesCS4B01G237300;TraesCS2D01G317800;TraesCS1A01G309500;TraesCS7A01G162600;TraesCS7D01G436600;TraesCS3A01G209800;TraesCS4A01G116400;TraesCS4A01G175900;TraesCS4D01G189200</t>
  </si>
  <si>
    <t>TraesCS1A01G395100</t>
  </si>
  <si>
    <t>TraesCS1A01G431300;TraesCS1D01G266100;TraesCS1D01G266000;TraesCS1A01G021000;TraesCS3B01G037000;TraesCS3D01G094200;TraesCS1A01G021400;TraesCS1D01G265900;TraesCS1D01G265800;TraesCS1A01G265900;TraesCS1A01G265600;TraesCS1A01G265700;TraesCS1B01G276900;TraesCS6D01G000200;TraesCS1D01G020600;TraesCS1B01G276800;TraesCS1B01G276500;TraesCS3A01G093900;TraesCS1B01G466100</t>
  </si>
  <si>
    <t>TraesCS5A01G092800;TraesCS2B01G451700;TraesCS4A01G066100;TraesCS2B01G208900;TraesCS6B01G116600;TraesCS2A01G477000;TraesCS3D01G094200;TraesCS3A01G124700;TraesCS2A01G139100;TraesCS7A01G259100;TraesCS3B01G350500;TraesCS5B01G095800;TraesCS1A01G070400;TraesCS7A01G209800;TraesCS1A01G277900;TraesCS5A01G213600;TraesCS7B01G156900;TraesCS2A01G107800;TraesCS1D01G261400;TraesCS4D01G321000;TraesCS3D01G435300;TraesCS2B01G442700;TraesCS7A01G262000;TraesCS1A01G267800;TraesCS4B01G237300;TraesCS5D01G218400;TraesCS3D01G305300;TraesCS2D01G317800;TraesCS5D01G302000;TraesCS1B01G466100;TraesCS4A01G116400;TraesCS6D01G303600;TraesCS7B01G136000;TraesCS4D01G326400;TraesCS5A01G090600;TraesCS5B01G097600;TraesCS6A01G323800;TraesCS4D01G142000;TraesCS2B01G500100;TraesCS7D01G347300;TraesCS2A01G107500;TraesCS2D01G476400;TraesCS6B01G383800;TraesCS2A01G476700;TraesCS3D01G305400;TraesCS1B01G439200;TraesCS3A01G297100;TraesCS3A01G209800;TraesCS3A01G310200;TraesCS4D01G238600;TraesCS4A01G389600;TraesCS2D01G112300;TraesCS4D01G243000;TraesCS2A01G467000;TraesCS6B01G230200;TraesCS3A01G093900;TraesCS2A01G406000;TraesCS2B01G500200;TraesCS2B01G336100;TraesCS2B01G173500;TraesCS7A01G226500;TraesCS1A01G431300;TraesCS2A01G111700;TraesCS2B01G125300;TraesCS1B01G289700;TraesCS2A01G107600;TraesCS2A01G476800;TraesCS1B01G216300;TraesCS5D01G183700;TraesCS4D01G116700;TraesCS3A01G297200;TraesCS7B01G251200;TraesCS6B01G235900;TraesCS1A01G309500;TraesCS4B01G197500;TraesCS7B01G335500;TraesCS7D01G164500;TraesCS4B01G187800;TraesCS4A01G389700;TraesCS2B01G124800;TraesCS5D01G105100;TraesCS6A01G181700;TraesCS6B01G383200;TraesCS7D01G211700;TraesCS3B01G354000;TraesCS2B01G500300;TraesCS2B01G423700;TraesCS7D01G551400;TraesCS6B01G230900;TraesCS2A01G476500;TraesCS2A01G083600;TraesCS7B01G068300;TraesCS3A01G442700;TraesCS7B01G251100;TraesCS7A01G162600;TraesCS7D01G436600;TraesCS7B01G390200;TraesCS4A01G175900;TraesCS1A01G364000;TraesCS4D01G189200</t>
  </si>
  <si>
    <t>TraesCS1A01G444400</t>
  </si>
  <si>
    <t>TraesCS7B01G325900;TraesCS7B01G440900;TraesCS1A01G383900;TraesCS4D01G232700;TraesCS4A01G491600;TraesCS2D01G309500;TraesCS4A01G429100;TraesCS4D01G027900;TraesCS2A01G469900;TraesCS5A01G360700;TraesCS3D01G452300;TraesCS1D01G005400;TraesCS7A01G175400;TraesCS4A01G109200;TraesCS7B01G253300;TraesCS5A01G004600;TraesCS7A01G391100;TraesCS2B01G243000;TraesCS5D01G302000;TraesCS3A01G061600;TraesCS3A01G276200;TraesCS3D01G049000;TraesCS6B01G237600;TraesCS1B01G001700;TraesCS6D01G360900;TraesCS1B01G339100;TraesCS3D01G136900;TraesCS6B01G225700;TraesCSU01G009400;TraesCS6D01G354100;TraesCS2B01G279200;TraesCS5B01G526200;TraesCS6D01G402500;TraesCS3B01G421000;TraesCS1D01G403100;TraesCS2A01G546600;TraesCS7B01G136000;TraesCS5D01G499400;TraesCS4A01G033600;TraesCS2A01G503800;TraesCS2B01G565300;TraesCS7B01G378300;TraesCS2A01G467700;TraesCS5A01G360600;TraesCS7B01G286100;TraesCS7A01G381200;TraesCS3A01G049600;TraesCS2B01G177600;TraesCS7D01G142000;TraesCS2B01G477600;TraesCS3B01G128700;TraesCS5D01G238700;TraesCS5A01G239000;TraesCS1A01G394900;TraesCS3A01G136100;TraesCS5A01G004700;TraesCS5D01G488500;TraesCS1A01G343000;TraesCS3A01G096500;TraesCS5D01G136700;TraesCS6B01G407500;TraesCS1B01G355700;TraesCS7B01G092300;TraesCS2D01G217600;TraesCS6B01G225800;TraesCS3A01G287000;TraesCS1B01G251600;TraesCS7A01G359300;TraesCS3B01G321300;TraesCS3D01G500800;TraesCS6B01G238600;TraesCS5D01G464000;TraesCS4A01G283100;TraesCS7A01G085700;TraesCS7B01G292700;TraesCS4A01G216900;TraesCS2B01G066800;TraesCS4A01G445500;TraesCS5D01G183700;TraesCS2D01G002600;TraesCS3B01G032400;TraesCS1A01G309500;TraesCS3B01G353000;TraesCS4B01G374300;TraesCS5A01G513000;TraesCS4B01G106000;TraesCS6D01G382800;TraesCS4A01G249200;TraesCS6B01G238500;TraesCS3B01G354000;TraesCS1D01G271500;TraesCS4B01G312300;TraesCS6B01G212700;TraesCS6D01G038500;TraesCS7D01G111600;TraesCS5A01G004500;TraesCS1A01G362900;TraesCS7A01G277500;TraesCS5A01G382800;TraesCS7D01G124900;TraesCS2B01G040100;TraesCS2A01G152200;TraesCS2D01G223000;TraesCS5D01G293700;TraesCS7B01G013100;TraesCS7D01G461900;TraesCS2A01G425800;TraesCS2A01G052600;TraesCS2D01G423700;TraesCS5B01G476000;TraesCS7D01G368700;TraesCS5D01G012000;TraesCS2B01G536600;TraesCS7A01G262000;TraesCS7A01G115400;TraesCS3B01G596800;TraesCS2A01G525300;TraesCS6B01G231100;TraesCS3D01G305300;TraesCS2D01G013200;TraesCSU01G031600;TraesCS4D01G003300;TraesCS1B01G091900;TraesCS6D01G112200;TraesCS7B01G354400;TraesCS2B01G040000;TraesCS4A01G207800;TraesCS5B01G224800;TraesCS5B01G488200;TraesCS3A01G237800;TraesCS6B01G236800;TraesCS6A01G178500;TraesCS4D01G268400;TraesCS4D01G134900;TraesCS4A01G130300;TraesCS4B01G328400;TraesCS6A01G122000;TraesCS4B01G140200;TraesCS4A01G075600;TraesCS2B01G536500;TraesCS3B01G141500;TraesCS5D01G477100;TraesCS2D01G222000;TraesCS3A01G387800;TraesCS4D01G309900;TraesCS6B01G231000;TraesCS7B01G333700;TraesCSU01G008700;TraesCS4B01G174300;TraesCS2B01G096000;TraesCS3D01G104000;TraesCS7B01G356800;TraesCS7B01G071100;TraesCS7A01G523800;TraesCS1B01G368200;TraesCS3A01G109500;TraesCS4D01G238600;TraesCS4A01G389600;TraesCS3D01G084600;TraesCS5B01G455500;TraesCS3B01G474400;TraesCS3A01G261800;TraesCS4D01G092000;TraesCS2B01G242500;TraesCS2B01G173500;TraesCS2D01G025500;TraesCS7A01G354000;TraesCS4B01G037600;TraesCS2B01G125300;TraesCS7B01G349100;TraesCS3B01G462000;TraesCS5D01G310500;TraesCS3B01G038900;TraesCS6B01G199700;TraesCS1B01G376000;TraesCS3D01G061700;TraesCS7D01G157300;TraesCS5A01G318000;TraesCS4B01G271900;TraesCS4A01G389700;TraesCS4B01G092500;TraesCS3D01G061500;TraesCS5D01G460700;TraesCS6D01G300600;TraesCS6B01G238900;TraesCS1A01G095800;TraesCS6B01G205900;TraesCS6D01G191500;TraesCS4B01G270800;TraesCS2A01G539600;TraesCS4D01G176300;TraesCS3A01G016500;TraesCS7A01G136500;TraesCS2D01G013300;TraesCS6B01G227900;TraesCS2B01G394700;TraesCS4D01G202300;TraesCS2B01G445300;TraesCS2A01G217200;TraesCS2B01G208900;TraesCS6B01G116600;TraesCS2D01G509400;TraesCS2A01G211900;TraesCS4B01G092400;TraesCS2B01G414800;TraesCS5D01G187700;TraesCS6B01G230400;TraesCS6D01G191400;TraesCSU01G097600;TraesCS6B01G438800;TraesCS6D01G166100;TraesCS1A01G395100;TraesCS2A01G107800;TraesCS7D01G463700;TraesCS5A01G261400;TraesCS6B01G226000;TraesCS3D01G061900;TraesCS6B01G233800;TraesCS5D01G025500;TraesCS7B01G350200;TraesCS3A01G113700;TraesCS5D01G233700;TraesCS3A01G153000;TraesCS1D01G090000;TraesCS4A01G276100;TraesCS2A01G211800;TraesCS5B01G237600;TraesCS3A01G034800;TraesCS1A01G273600;TraesCS3D01G072700;TraesCS2D01G396300;TraesCS7D01G438700;TraesCS5D01G012300;TraesCS1B01G439200;TraesCS7B01G326100;TraesCS2A01G013400;TraesCS6B01G229200;TraesCS7A01G042200;TraesCS6B01G231400;TraesCS2D01G019600;TraesCS3B01G485000;TraesCS2B01G241400;TraesCS7A01G460900;TraesCS3B01G597000;TraesCS6A01G276300;TraesCS3B01G310000;TraesCS4A01G177600;TraesCS2D01G028600;TraesCS7D01G313500;TraesCS6B01G353200;TraesCS6B01G225000;TraesCS4B01G343100;TraesCS4D01G243000;TraesCS1B01G006500;TraesCS3A01G230900;TraesCS4A01G331100;TraesCS2A01G467000;TraesCS2B01G284300;TraesCS5D01G059300;TraesCS6A01G168900;TraesCS3B01G266200;TraesCS1D01G344700;TraesCS3B01G084000;TraesCS7A01G226500;TraesCS4A01G474800;TraesCS5D01G012200;TraesCS2A01G107600;TraesCS6B01G226200;TraesCS3A01G064400;TraesCS7B01G273600;TraesCS3A01G362500;TraesCS6B01G235900;TraesCSU01G048500;TraesCS5B01G366800;TraesCS7A01G069600;TraesCS4B01G231400;TraesCS2A01G026800;TraesCS4B01G172700;TraesCS3A01G122300;TraesCS5D01G487900;TraesCS6B01G232400;TraesCS7B01G441100;TraesCS2D01G039400;TraesCS4D01G270000;TraesCS1D01G013800;TraesCS5B01G363300;TraesCS5D01G012100;TraesCS1B01G107600;TraesCS3A01G062200;TraesCS1D01G076200;TraesCS2B01G100200;TraesCS4A01G244200;TraesCS6B01G231200;TraesCSU01G048600;TraesCS5D01G061700;TraesCS7D01G436600;TraesCS7B01G293100;TraesCS3B01G569900;TraesCS3D01G276200;TraesCS4A01G066100;TraesCS4A01G278900;TraesCSU01G044100;TraesCS7D01G374700;TraesCS5D01G565300;TraesCS7B01G362800;TraesCS5D01G324300;TraesCS2B01G240800;TraesCS5D01G452500;TraesCS2B01G416700;TraesCS3B01G086900;TraesCS1D01G082200;TraesCS5A01G303400;TraesCS6B01G224900;TraesCS2B01G446100;TraesCS2A01G216400;TraesCS5B01G303800;TraesCS4D01G195700;TraesCS1D01G189100;TraesCS2D01G021500;TraesCS5B01G284400;TraesCS3A01G056300;TraesCS4B01G237300;TraesCS2A01G438200;TraesCS4D01G242100;TraesCS3D01G501400;TraesCS1A01G312300;TraesCS2B01G241900;TraesCS6D01G242000;TraesCS7D01G080400;TraesCS1B01G423200;TraesCS4D01G089200;TraesCS6A01G033300;TraesCS1A01G073300;TraesCS1D01G356300;TraesCS1B01G251700;TraesCS5A01G464500;TraesCS2A01G532600;TraesCS6B01G236000;TraesCS1D01G239600;TraesCS7D01G347300;TraesCS2A01G182400;TraesCS3D01G032300;TraesCS3B01G166100;TraesCS7A01G549300;TraesCS2D01G539100;TraesCS2A01G214000;TraesCS5B01G439400;TraesCS2A01G216300;TraesCS4A01G384600;TraesCS6B01G230700;TraesCS3B01G154000;TraesCS4D01G032500;TraesCS5D01G564000;TraesCS3B01G544700;TraesCS2B01G241800;TraesCS6B01G239400;TraesCS7D01G386600;TraesCS4A01G171500;TraesCS5A01G048600;TraesCS1D01G356400;TraesCS7B01G253600;TraesCS4B01G095200;TraesCS5B01G285300;TraesCS4A01G384700;TraesCS2D01G190200;TraesCS3A01G034700;TraesCS5B01G449500;TraesCS5D01G565100;TraesCS2B01G565800;TraesCS5A01G286100;TraesCS4D01G174700;TraesCSU01G008200;TraesCS3A01G148300;TraesCS7D01G037700;TraesCS3D01G097000;TraesCS6B01G415100;TraesCS5B01G099700;TraesCS6D01G396900;TraesCS4D01G116700;TraesCS5A01G409700;TraesCS5A01G210300;TraesCS6B01G239300;TraesCS2A01G019400;TraesCS2D01G261100;TraesCS5A01G229000;TraesCS4B01G007400;TraesCS1D01G403300;TraesCS2D01G509500;TraesCS6B01G231700;TraesCS6B01G303800;TraesCS2B01G124800;TraesCS6D01G033100;TraesCS3B01G052600;TraesCS5B01G285400;TraesCS4A01G384800;TraesCS7B01G273000;TraesCS3D01G124200;TraesCS7B01G267900;TraesCS7D01G349400;TraesCS1A01G239400;TraesCS6D01G359300;TraesCS4A01G065100;TraesCS4D01G103300;TraesCS4A01G311000;TraesCS5D01G196600;TraesCS2D01G157300;TraesCS4D01G325500;TraesCS3A01G519000;TraesCS6B01G227100;TraesCS6B01G231600;TraesCS5B01G064400;TraesCS3B01G179600;TraesCS3D01G238000</t>
  </si>
  <si>
    <t>TraesCS2B01G398200;TraesCS2B01G398300;TraesCS2D01G218700;TraesCS2B01G196500;TraesCS2B01G196600;TraesCS1A01G037800;TraesCS2D01G177700;TraesCS5B01G468300;TraesCS2B01G224000;TraesCS2D01G377500;TraesCS2A01G212900;TraesCS2D01G377400</t>
  </si>
  <si>
    <t>TraesCS2B01G398200;TraesCS2B01G398300;TraesCS2D01G218700;TraesCS5A01G160800;TraesCS1A01G037800;TraesCS5B01G468300;TraesCS2B01G224000;TraesCS2D01G377500;TraesCS2A01G212900;TraesCS2D01G377400</t>
  </si>
  <si>
    <t>TraesCS2A01G026800;TraesCS6D01G359300;TraesCS5D01G233700;TraesCS4A01G311000;TraesCS6A01G033300;TraesCS7D01G142000;TraesCS2B01G040100;TraesCS5B01G224800;TraesCS4D01G195700;TraesCS4B01G374300;TraesCS7B01G474000;TraesCS4A01G109200;TraesCS5D01G183700;TraesCS6D01G038500;TraesCS5D01G460700;TraesCS6D01G300600;TraesCS5D01G565100;TraesCS4B01G195000;TraesCS7D01G536900</t>
  </si>
  <si>
    <t>TraesCS1B01G037000</t>
  </si>
  <si>
    <t>TraesCS1A01G431300;TraesCS1D01G266100;TraesCS1D01G266000;TraesCS1A01G021000;TraesCS3B01G037000;TraesCS2D01G371800;TraesCS3D01G094200;TraesCS1A01G021400;TraesCS1D01G265900;TraesCS1D01G265800;TraesCS1A01G265900;TraesCS1A01G265600;TraesCS1A01G265700;TraesCS1B01G276900;TraesCS6D01G000200;TraesCS1D01G020600;TraesCS1B01G276800;TraesCS1B01G276500;TraesCS3A01G093900;TraesCS1B01G466100</t>
  </si>
  <si>
    <t>TraesCS1B01G083100</t>
  </si>
  <si>
    <t>TraesCS4A01G066100;TraesCS7B01G325900;TraesCS2A01G217200;TraesCS2B01G208900;TraesCS1A01G383900;TraesCS2D01G509400;TraesCSU01G044100;TraesCS2A01G211900;TraesCS2D01G223000;TraesCS7D01G374700;TraesCS4B01G092400;TraesCS5D01G187700;TraesCS7B01G362800;TraesCS4A01G491600;TraesCS6B01G230400;TraesCS7D01G461900;TraesCS2B01G240800;TraesCS4D01G027900;TraesCS5D01G452500;TraesCS6D01G191400;TraesCSU01G097600;TraesCS3B01G086900;TraesCS1D01G082200;TraesCS3D01G452300;TraesCS6D01G166100;TraesCS2A01G216400;TraesCS7D01G463700;TraesCS2B01G536600;TraesCS6B01G226000;TraesCS2A01G525300;TraesCS5B01G284400;TraesCS3A01G056300;TraesCS7A01G391100;TraesCS2B01G243000;TraesCS6B01G233800;TraesCS2D01G013200;TraesCS5D01G302000;TraesCS3A01G276200;TraesCS3D01G501400;TraesCS1A01G312300;TraesCS3D01G049000;TraesCS4D01G003300;TraesCS6B01G237600;TraesCS2B01G241900;TraesCS1B01G091900;TraesCS6D01G112200;TraesCS6D01G242000;TraesCS5D01G025500;TraesCS6D01G360900;TraesCS1B01G339100;TraesCS4D01G089200;TraesCS6B01G225700;TraesCSU01G009400;TraesCS1A01G073300;TraesCS4A01G207800;TraesCS5B01G526200;TraesCS6D01G402500;TraesCS1B01G251700;TraesCS2A01G503800;TraesCS3A01G034800;TraesCS6A01G178500;TraesCS2A01G532600;TraesCS2B01G565300;TraesCS4D01G268400;TraesCS1A01G273600;TraesCS7B01G378300;TraesCS4D01G134900;TraesCS2A01G182400;TraesCS4A01G130300;TraesCS4B01G328400;TraesCS3D01G072700;TraesCS2D01G539100;TraesCS3A01G049600;TraesCS2A01G214000;TraesCS6A01G122000;TraesCS2A01G216300;TraesCS4B01G140200;TraesCS2B01G477600;TraesCS4A01G384600;TraesCS2B01G536500;TraesCS3B01G141500;TraesCS7B01G326100;TraesCS2D01G222000;TraesCS5D01G564000;TraesCS6B01G231000;TraesCS3B01G544700;TraesCS7A01G042200;TraesCS6B01G231400;TraesCS2D01G019600;TraesCS7B01G333700;TraesCS2B01G241800;TraesCS4B01G174300;TraesCS2B01G241400;TraesCS7A01G460900;TraesCS1A01G343000;TraesCS2B01G096000;TraesCS3D01G104000;TraesCS7B01G356800;TraesCS7D01G386600;TraesCS3A01G096500;TraesCS4A01G171500;TraesCS5A01G048600;TraesCS7B01G071100;TraesCS1B01G355700;TraesCS6A01G276300;TraesCS3B01G310000;TraesCS4A01G177600;TraesCS2D01G217600;TraesCS6B01G225800;TraesCS7D01G313500;TraesCS7A01G359300;TraesCS4B01G343100;TraesCS4D01G243000;TraesCS1B01G006500;TraesCS3A01G230900;TraesCS3D01G500800;TraesCS4B01G095200;TraesCS4A01G331100;TraesCS2D01G190200;TraesCS3A01G034700;TraesCS5B01G449500;TraesCS6B01G238600;TraesCS5B01G455500;TraesCS3B01G474400;TraesCS5D01G059300;TraesCS6A01G168900;TraesCS3A01G261800;TraesCS4A01G283100;TraesCS4D01G092000;TraesCS1D01G344700;TraesCS2B01G242500;TraesCS2D01G025500;TraesCS3B01G084000;TraesCS4A01G474800;TraesCS7B01G292700;TraesCSU01G008200;TraesCS3A01G148300;TraesCS4A01G216900;TraesCS7D01G037700;TraesCS3D01G097000;TraesCS6B01G415100;TraesCS4A01G445500;TraesCS6B01G226200;TraesCS6D01G396900;TraesCS3A01G064400;TraesCS3B01G038900;TraesCS3A01G362500;TraesCS2D01G002600;TraesCS3B01G032400;TraesCS6B01G199700;TraesCS1B01G376000;TraesCS6B01G235900;TraesCS5A01G210300;TraesCS4B01G007400;TraesCS3A01G122300;TraesCS2D01G509500;TraesCS6B01G303800;TraesCS4B01G092500;TraesCS3B01G052600;TraesCS6B01G232400;TraesCS2D01G039400;TraesCS4A01G384800;TraesCS4B01G106000;TraesCS6B01G238900;TraesCS7B01G273000;TraesCS6B01G205900;TraesCS1D01G013800;TraesCS3D01G124200;TraesCS6D01G191500;TraesCS7B01G267900;TraesCS4D01G176300;TraesCS1D01G271500;TraesCS3A01G016500;TraesCS4D01G325500;TraesCS1D01G076200;TraesCS6B01G212700;TraesCS6B01G231200;TraesCS2D01G013300;TraesCS1A01G362900;TraesCS5B01G064400;TraesCS5D01G061700;TraesCS2B01G394700;TraesCS3B01G569900;TraesCS3D01G276200;TraesCS4D01G202300;TraesCS7D01G124900</t>
  </si>
  <si>
    <t>TraesCS7B01G325900;TraesCS2A01G217200;TraesCS2B01G208900;TraesCS1A01G383900;TraesCS2D01G509400;TraesCSU01G044100;TraesCS2A01G211900;TraesCS2D01G223000;TraesCS7D01G374700;TraesCS4B01G092400;TraesCS5D01G187700;TraesCS7B01G362800;TraesCS4A01G491600;TraesCS7D01G461900;TraesCS1A01G070400;TraesCS2B01G240800;TraesCS6B01G238000;TraesCS6D01G191400;TraesCS3B01G086900;TraesCS1D01G082200;TraesCS3D01G452300;TraesCS6B01G224900;TraesCS2A01G216400;TraesCS7D01G463700;TraesCS2B01G536600;TraesCS6B01G226000;TraesCS2A01G525300;TraesCS5B01G284400;TraesCS3A01G056300;TraesCS2B01G243000;TraesCS2D01G013200;TraesCS5D01G302000;TraesCS3A01G276200;TraesCS3D01G501400;TraesCS3D01G049000;TraesCS4D01G003300;TraesCS6B01G237600;TraesCS2B01G241900;TraesCS1B01G091900;TraesCS6D01G112200;TraesCS6D01G242000;TraesCS5D01G025500;TraesCS6D01G360900;TraesCS4D01G089200;TraesCS6B01G225700;TraesCSU01G009400;TraesCS1A01G073300;TraesCS4A01G207800;TraesCS5B01G526200;TraesCS1B01G251700;TraesCS3A01G237800;TraesCS2A01G503800;TraesCS3A01G034800;TraesCS2A01G532600;TraesCS2B01G565300;TraesCS1A01G273600;TraesCS7B01G378300;TraesCS2A01G182400;TraesCS4B01G328400;TraesCS3D01G072700;TraesCS2D01G539100;TraesCS3A01G049600;TraesCS2A01G214000;TraesCS6A01G122000;TraesCS2A01G216300;TraesCS2B01G477600;TraesCS4A01G384600;TraesCS2B01G536500;TraesCS3B01G141500;TraesCS7B01G326100;TraesCS2D01G222000;TraesCS3B01G544700;TraesCS7A01G042200;TraesCS6B01G227300;TraesCS6B01G231400;TraesCS6B01G229600;TraesCS2D01G019600;TraesCS7B01G333700;TraesCS2B01G241800;TraesCS2B01G241400;TraesCS7A01G460900;TraesCS2B01G096000;TraesCS3D01G104000;TraesCS7B01G356800;TraesCS3A01G096500;TraesCS4A01G171500;TraesCS5A01G048600;TraesCS7B01G071100;TraesCS1B01G355700;TraesCS6A01G276300;TraesCS3B01G310000;TraesCS2D01G217600;TraesCS6B01G225800;TraesCS7D01G189700;TraesCS7A01G359300;TraesCS4B01G343100;TraesCS1B01G006500;TraesCS3D01G500800;TraesCS2D01G190200;TraesCS3A01G034700;TraesCS5B01G455500;TraesCS3B01G474400;TraesCS5D01G059300;TraesCS6A01G168900;TraesCS3A01G261800;TraesCS3B01G266200;TraesCS1D01G344700;TraesCS2B01G242500;TraesCS2D01G025500;TraesCS3B01G084000;TraesCS4A01G474800;TraesCSU01G008200;TraesCS3A01G148300;TraesCS7D01G037700;TraesCS3D01G097000;TraesCS6B01G415100;TraesCS4A01G445500;TraesCS6B01G226200;TraesCS6D01G396900;TraesCS3A01G064400;TraesCS3B01G038900;TraesCS2D01G002600;TraesCS3B01G032400;TraesCS1B01G376000;TraesCS5A01G210300;TraesCS4B01G007400;TraesCS3A01G122300;TraesCS2D01G509500;TraesCS6B01G231700;TraesCS6B01G303800;TraesCS4B01G092500;TraesCS3B01G052600;TraesCS6B01G232400;TraesCS2D01G039400;TraesCS4B01G106000;TraesCS6B01G238900;TraesCS7B01G273000;TraesCS4A01G249200;TraesCS1D01G013800;TraesCS3D01G124200;TraesCS6D01G191500;TraesCS7B01G267900;TraesCS1D01G271500;TraesCS3A01G016500;TraesCS4D01G325500;TraesCS1D01G076200;TraesCS6B01G212700;TraesCS4A01G244200;TraesCS6B01G231200;TraesCS2D01G013300;TraesCS1A01G362900;TraesCS5B01G064400;TraesCS5D01G061700;TraesCS2B01G394700;TraesCS3B01G569900;TraesCS3D01G238000;TraesCS3D01G276200;TraesCS4D01G202300;TraesCS7D01G124900</t>
  </si>
  <si>
    <t>TraesCS1B01G286800;TraesCS1A01G431300;TraesCS1D01G266000;TraesCS1A01G021000;TraesCS2D01G371800;TraesCS1A01G021400;TraesCS1D01G265900;TraesCS1A01G265600;TraesCS1A01G265700;TraesCS7A01G046600;TraesCS6D01G000200;TraesCS1D01G020600;TraesCS1B01G276800;TraesCS1B01G276500;TraesCS1A01G277900;TraesCS3A01G093900;TraesCS2B01G284300;TraesCS3B01G353000;TraesCS1B01G466100;TraesCS2B01G096000</t>
  </si>
  <si>
    <t>TraesCS1B01G107600</t>
  </si>
  <si>
    <t>TraesCS3D01G493700;TraesCS3B01G547300;TraesCS3B01G547500</t>
  </si>
  <si>
    <t>TraesCS2B01G398200;TraesCS2B01G398300;TraesCS1A01G037800;TraesCS5B01G468300;TraesCS2D01G377400</t>
  </si>
  <si>
    <t>TraesCS1A01G374400;TraesCS5A01G554400;TraesCS4D01G176300;TraesCSU01G033800;TraesCS4D01G118900;TraesCS5B01G531200;TraesCS4B01G095200;TraesCS5B01G531100;TraesCSU01G032900;TraesCS4A01G194400;TraesCS4B01G174300;TraesCS4D01G092000;TraesCS4A01G130300;TraesCS4B01G120900</t>
  </si>
  <si>
    <t>TraesCS1B01G183100</t>
  </si>
  <si>
    <t>TraesCS1B01G190000</t>
  </si>
  <si>
    <t>TraesCS7A01G330000;TraesCS1A01G383900;TraesCS2B01G369100;TraesCS4D01G326400;TraesCS7A01G427300;TraesCS2B01G369000;TraesCS2D01G033100;TraesCS2A01G467000;TraesCS6A01G266100;TraesCS4D01G142000;TraesCS2D01G349000;TraesCSU01G020500;TraesCS2D01G349400;TraesCS4B01G328400;TraesCS2A01G350700;TraesCS2A01G350800;TraesCS2A01G350900;TraesCS2D01G348900;TraesCS2D01G348800;TraesCS7A01G492400;TraesCS4D01G325500;TraesCS7B01G493700;TraesCS5D01G183700;TraesCS3B01G258100;TraesCS4D01G325400;TraesCS5D01G408200;TraesCS3D01G467600;TraesCS1A01G203600;TraesCS2B01G117500;TraesCS3A01G226400;TraesCS2A01G405100</t>
  </si>
  <si>
    <t>TraesCS1A01G383900;TraesCS3A01G124700;TraesCS2B01G369100;TraesCS2B01G124800;TraesCS2B01G369000;TraesCS2D01G033100;TraesCS2A01G467000;TraesCS1A01G070400;TraesCS2D01G349000;TraesCS4D01G027900;TraesCS6B01G238500;TraesCSU01G020500;TraesCS3B01G354000;TraesCS4A01G283100;TraesCS2D01G349400;TraesCS4B01G328400;TraesCS2A01G350700;TraesCS2A01G350800;TraesCS2A01G350900;TraesCS2B01G125300;TraesCS2D01G218700;TraesCS2D01G348900;TraesCS2A01G107800;TraesCS2D01G348800;TraesCS2A01G107600;TraesCS4D01G325500;TraesCS5B01G468300;TraesCS6B01G230600;TraesCS7A01G262000;TraesCS7B01G493700;TraesCS2D01G377500;TraesCS3B01G258100;TraesCS4D01G325400;TraesCS2A01G212900;TraesCS2D01G377400;TraesCS2B01G398200;TraesCS5D01G408200;TraesCS2B01G398300;TraesCS1A01G203600;TraesCS2B01G117500;TraesCS1A01G037800;TraesCS2B01G224000;TraesCS3A01G226400</t>
  </si>
  <si>
    <t>TraesCS5A01G506900;TraesCS7D01G189700;TraesCS3A01G122300;TraesCS2D01G509500;TraesCS2D01G509400;TraesCS5D01G460700;TraesCS2D01G039400;TraesCS3A01G034800;TraesCS4B01G106000;TraesCS3A01G034700;TraesCS5B01G455500;TraesCS3B01G474400;TraesCS3A01G261800;TraesCS6D01G191400;TraesCS7A01G276300;TraesCS3D01G124200;TraesCS6D01G191500;TraesCS2B01G341400;TraesCS3A01G049600;TraesCS2A01G214000;TraesCS2B01G580300;TraesCS2B01G580200;TraesCS6B01G415100;TraesCS2B01G477600;TraesCS2B01G536600;TraesCS4A01G384600;TraesCS2B01G536500;TraesCS3B01G141500;TraesCS2D01G002600;TraesCS7B01G231700;TraesCS4A01G187200;TraesCS3A01G310200;TraesCS2D01G550700;TraesCS2B01G394700;TraesCS3D01G104000;TraesCS2D01G550600</t>
  </si>
  <si>
    <t>TraesCS1B01G223100</t>
  </si>
  <si>
    <t>TraesCS1B01G225300</t>
  </si>
  <si>
    <t>TraesCS7B01G325900;TraesCS2A01G217200;TraesCS2B01G208900;TraesCS6B01G116600;TraesCS1A01G383900;TraesCS2D01G509400;TraesCS2B01G369100;TraesCS2A01G211900;TraesCS4B01G092400;TraesCS5D01G187700;TraesCS4A01G491600;TraesCS6B01G230400;TraesCS2D01G309500;TraesCS4D01G027900;TraesCS6D01G191400;TraesCSU01G097600;TraesCS3D01G452300;TraesCS6D01G166100;TraesCS1D01G005400;TraesCS7D01G463700;TraesCS6B01G226000;TraesCS7A01G391100;TraesCS2B01G243000;TraesCS6B01G233800;TraesCS5D01G302000;TraesCS3A01G276200;TraesCS3D01G049000;TraesCS6B01G237600;TraesCS5D01G025500;TraesCS6D01G360900;TraesCS1B01G339100;TraesCS6B01G225700;TraesCSU01G009400;TraesCS5B01G526200;TraesCS6D01G402500;TraesCS4D01G326400;TraesCS5D01G499400;TraesCS2A01G503800;TraesCS3A01G034800;TraesCS2D01G033100;TraesCS2B01G565300;TraesCS1A01G273600;TraesCS7B01G378300;TraesCS2A01G467700;TraesCS3D01G072700;TraesCS3A01G049600;TraesCS2B01G477600;TraesCS1B01G439200;TraesCS7B01G326100;TraesCS7A01G042200;TraesCS6B01G231400;TraesCS2D01G019600;TraesCS3A01G310200;TraesCS2B01G241400;TraesCS7A01G460900;TraesCS1A01G343000;TraesCS3A01G096500;TraesCS1B01G355700;TraesCS6A01G276300;TraesCS3B01G310000;TraesCS4A01G177600;TraesCS2D01G217600;TraesCS6B01G225800;TraesCS2D01G028600;TraesCS7D01G313500;TraesCS6B01G353200;TraesCS3A01G287000;TraesCS7A01G359300;TraesCS4B01G343100;TraesCS4D01G243000;TraesCS1B01G006500;TraesCS3A01G230900;TraesCS3B01G321300;TraesCS3D01G500800;TraesCS4A01G331100;TraesCS6B01G238600;TraesCS2B01G284300;TraesCS5D01G059300;TraesCS6A01G168900;TraesCS4A01G283100;TraesCS1D01G344700;TraesCS2A01G350800;TraesCS3B01G084000;TraesCS7A01G226500;TraesCS4A01G474800;TraesCS7B01G292700;TraesCS4A01G216900;TraesCS4A01G445500;TraesCS6B01G226200;TraesCS3A01G064400;TraesCS3A01G362500;TraesCS2D01G002600;TraesCS3B01G032400;TraesCS6B01G235900;TraesCS7A01G069600;TraesCS1A01G309500;TraesCS3B01G353000;TraesCS3A01G122300;TraesCS6B01G232400;TraesCS2B01G369000;TraesCS2D01G039400;TraesCS4B01G106000;TraesCS1D01G013800;TraesCS2A01G350700;TraesCS1D01G271500;TraesCS1D01G076200;TraesCS6B01G212700;TraesCS2B01G100200;TraesCS6B01G231200;TraesCS1A01G362900;TraesCS5D01G061700;TraesCS7D01G436600;TraesCS3B01G569900;TraesCS3D01G276200;TraesCS7D01G124900;TraesCS4A01G066100;TraesCSU01G044100;TraesCS2D01G223000;TraesCS7D01G374700;TraesCS7B01G362800;TraesCS7D01G461900;TraesCS2B01G240800;TraesCS2D01G349000;TraesCS5D01G452500;TraesCS3B01G086900;TraesCS1D01G082200;TraesCS2A01G216400;TraesCS2B01G536600;TraesCS7B01G493700;TraesCS2A01G525300;TraesCS5B01G284400;TraesCS3A01G056300;TraesCS2D01G013200;TraesCS3D01G501400;TraesCS1A01G312300;TraesCS4D01G003300;TraesCS2B01G241900;TraesCS1B01G091900;TraesCS6D01G112200;TraesCS6D01G242000;TraesCS4D01G089200;TraesCS2B01G040000;TraesCS1A01G073300;TraesCS4A01G207800;TraesCS1D01G356300;TraesCS1B01G251700;TraesCS6A01G178500;TraesCS2A01G532600;TraesCS4D01G268400;TraesCS4D01G134900;TraesCS2A01G182400;TraesCS4A01G130300;TraesCS4B01G328400;TraesCS3D01G032300;TraesCS2D01G539100;TraesCS2A01G214000;TraesCS6A01G122000;TraesCS2A01G216300;TraesCS4B01G140200;TraesCS4A01G384600;TraesCS2B01G536500;TraesCS3B01G141500;TraesCS2D01G222000;TraesCS5D01G564000;TraesCS6B01G231000;TraesCS3B01G544700;TraesCS7B01G333700;TraesCS2B01G241800;TraesCS4B01G174300;TraesCS2B01G096000;TraesCS3D01G104000;TraesCS7B01G356800;TraesCS7D01G386600;TraesCS4A01G171500;TraesCS5A01G048600;TraesCS7B01G071100;TraesCS1B01G368200;TraesCS1D01G356400;TraesCS4A01G389600;TraesCS4B01G095200;TraesCS2D01G190200;TraesCS3A01G034700;TraesCS5B01G449500;TraesCS5B01G455500;TraesCS3B01G474400;TraesCS3A01G261800;TraesCS4D01G092000;TraesCS2B01G242500;TraesCS2D01G025500;TraesCSU01G008200;TraesCS2D01G348800;TraesCS3A01G148300;TraesCS7D01G037700;TraesCS3D01G097000;TraesCS6B01G415100;TraesCS6D01G396900;TraesCS3B01G038900;TraesCS6B01G199700;TraesCS1B01G376000;TraesCS5A01G409700;TraesCS5A01G210300;TraesCS4B01G007400;TraesCS2D01G509500;TraesCS4A01G389700;TraesCS6B01G303800;TraesCS4B01G092500;TraesCS3B01G052600;TraesCS4A01G384800;TraesCS6B01G238900;TraesCS7B01G273000;TraesCS6B01G205900;TraesCS3D01G124200;TraesCS6D01G191500;TraesCS7B01G267900;TraesCS4D01G176300;TraesCS2D01G348900;TraesCS3A01G016500;TraesCS4D01G325500;TraesCS2D01G013300;TraesCS5B01G064400;TraesCS2B01G394700;TraesCS4D01G202300</t>
  </si>
  <si>
    <t>TraesCS1B01G251600</t>
  </si>
  <si>
    <t>TraesCS1B01G251700</t>
  </si>
  <si>
    <t>TraesCS2A01G438200;TraesCS2A01G438300;TraesCS2B01G459100;TraesCS2B01G459000</t>
  </si>
  <si>
    <t>TraesCS2B01G451700;TraesCS4D01G068800;TraesCS3B01G366800;TraesCS3D01G315000;TraesCS6B01G231800;TraesCS2D01G318300;TraesCS2A01G205500;TraesCS3B01G350500;TraesCS4B01G095200;TraesCS7A01G209800;TraesCS7A01G230200;TraesCS4D01G027900;TraesCS4A01G283100;TraesCS4D01G092000;TraesCS1B01G037000;TraesCS1A01G239300;TraesCS4D01G262900;TraesCS7A01G085900;TraesCS7A01G492400;TraesCS4B01G243500;TraesCS3A01G362500;TraesCS6B01G199700;TraesCS1A01G312300;TraesCS3B01G485100;TraesCS5B01G219600;TraesCS5D01G228400;TraesCS4A01G066200;TraesCS3D01G373700;TraesCS2B01G451600;TraesCS7B01G398100;TraesCS3A01G300400;TraesCS3B01G532300;TraesCS3D01G294000;TraesCS4D01G243100;TraesCS1A01G197200;TraesCS6B01G236600;TraesCS2A01G259500;TraesCS7D01G211700;TraesCS3D01G105000;TraesCS4A01G130300;TraesCSU01G003900;TraesCS3B01G120300;TraesCS2B01G282400;TraesCS2D01G264200;TraesCS4D01G176300;TraesCS1D01G030400;TraesCS3B01G336100;TraesCS5B01G355700;TraesCS1A01G380900;TraesCS1D01G032700;TraesCS4A01G042000;TraesCS3A01G102800;TraesCS5A01G501500;TraesCS3A01G380600;TraesCS3D01G328900;TraesCS3D01G439200;TraesCS3B01G328800;TraesCS5A01G220400;TraesCS7D01G478800</t>
  </si>
  <si>
    <t>TraesCS4D01G068800;TraesCS1D01G030400;TraesCS3B01G336100;TraesCS5B01G355700;TraesCS1A01G380900;TraesCS3A01G300400;TraesCS4D01G238600;TraesCS4B01G237300;TraesCS7A01G230200;TraesCS3B01G485100;TraesCS7D01G211700;TraesCS1B01G037000;TraesCSU01G003900</t>
  </si>
  <si>
    <t>TraesCS5A01G092800;TraesCS5B01G108900;TraesCS5A01G104600;TraesCS1A01G312300;TraesCS5B01G095800;TraesCS1D01G261400;TraesCS6B01G230900;TraesCS1B01G216300;TraesCS2A01G083600;TraesCS5D01G105100</t>
  </si>
  <si>
    <t>TraesCS1B01G289700</t>
  </si>
  <si>
    <t>TraesCS1B01G335500</t>
  </si>
  <si>
    <t>TraesCS1B01G339100</t>
  </si>
  <si>
    <t>TraesCS1B01G350300</t>
  </si>
  <si>
    <t>TraesCS1B01G352000</t>
  </si>
  <si>
    <t>TraesCS1B01G374900</t>
  </si>
  <si>
    <t>TraesCS4B01G237300;TraesCS2B01G208900;TraesCS1A01G070400;TraesCS7A01G209800;TraesCS7D01G211700;TraesCS4D01G238600;TraesCS4D01G326400;TraesCS5D01G183700</t>
  </si>
  <si>
    <t>TraesCS1B01G376000</t>
  </si>
  <si>
    <t>TraesCS7B01G325900;TraesCS2A01G217200;TraesCS2B01G208900;TraesCS6B01G116600;TraesCS1A01G383900;TraesCS2D01G509400;TraesCS2A01G211900;TraesCS4B01G092400;TraesCS5D01G187700;TraesCS4A01G491600;TraesCS4D01G027900;TraesCS6D01G191400;TraesCSU01G097600;TraesCS3D01G452300;TraesCS6D01G166100;TraesCS1D01G005400;TraesCS7D01G463700;TraesCS6B01G226000;TraesCS7A01G391100;TraesCS2B01G243000;TraesCS6B01G233800;TraesCS5D01G302000;TraesCS3A01G276200;TraesCS3D01G049000;TraesCS6B01G237600;TraesCS5D01G025500;TraesCS6D01G360900;TraesCS1B01G339100;TraesCS6B01G225700;TraesCSU01G009400;TraesCS5B01G526200;TraesCS6D01G402500;TraesCS5D01G499400;TraesCS2A01G503800;TraesCS3A01G034800;TraesCS2B01G565300;TraesCS1A01G273600;TraesCS7B01G378300;TraesCS3D01G072700;TraesCS3A01G049600;TraesCS2B01G477600;TraesCS1B01G439200;TraesCS7B01G326100;TraesCS7A01G042200;TraesCS6B01G231400;TraesCS2D01G019600;TraesCS2B01G241400;TraesCS7A01G460900;TraesCS1A01G343000;TraesCS3A01G096500;TraesCS1B01G355700;TraesCS6A01G276300;TraesCS3B01G310000;TraesCS4A01G177600;TraesCS2D01G217600;TraesCS6B01G225800;TraesCS7D01G313500;TraesCS3A01G287000;TraesCS7A01G359300;TraesCS4B01G343100;TraesCS4D01G243000;TraesCS1B01G006500;TraesCS3A01G230900;TraesCS3B01G321300;TraesCS3D01G500800;TraesCS4A01G331100;TraesCS5D01G059300;TraesCS6A01G168900;TraesCS4A01G283100;TraesCS1D01G344700;TraesCS3B01G084000;TraesCS7A01G226500;TraesCS4A01G474800;TraesCS7B01G292700;TraesCS4A01G216900;TraesCS4A01G445500;TraesCS6B01G226200;TraesCS3A01G064400;TraesCS3A01G362500;TraesCS2D01G002600;TraesCS3B01G032400;TraesCS6B01G235900;TraesCS7A01G069600;TraesCS1A01G309500;TraesCS3A01G122300;TraesCS6B01G232400;TraesCS2D01G039400;TraesCS4B01G106000;TraesCS1D01G013800;TraesCS1D01G271500;TraesCS1D01G076200;TraesCS6B01G212700;TraesCS2B01G100200;TraesCS6B01G231200;TraesCS1A01G362900;TraesCS5D01G061700;TraesCS7D01G436600;TraesCS3B01G569900;TraesCS3D01G276200;TraesCS7D01G124900;TraesCS4A01G066100;TraesCSU01G044100;TraesCS2D01G223000;TraesCS7D01G374700;TraesCS7B01G362800;TraesCS7D01G461900;TraesCS2B01G240800;TraesCS5D01G452500;TraesCS3B01G086900;TraesCS1D01G082200;TraesCS2A01G216400;TraesCS2B01G536600;TraesCS2A01G525300;TraesCS5B01G284400;TraesCS3A01G056300;TraesCS2D01G013200;TraesCS3D01G501400;TraesCS1A01G312300;TraesCS4D01G003300;TraesCS2B01G241900;TraesCS1B01G091900;TraesCS6D01G112200;TraesCS6D01G242000;TraesCS4D01G089200;TraesCS1A01G073300;TraesCS4A01G207800;TraesCS1D01G356300;TraesCS1B01G251700;TraesCS6A01G178500;TraesCS2A01G532600;TraesCS4D01G268400;TraesCS4D01G134900;TraesCS2A01G182400;TraesCS4A01G130300;TraesCS4B01G328400;TraesCS3D01G032300;TraesCS2D01G539100;TraesCS2A01G214000;TraesCS6A01G122000;TraesCS2A01G216300;TraesCS4B01G140200;TraesCS4A01G384600;TraesCS2B01G536500;TraesCS3B01G141500;TraesCS2D01G222000;TraesCS5D01G564000;TraesCS6B01G231000;TraesCS3B01G544700;TraesCS7B01G333700;TraesCS2B01G241800;TraesCS4B01G174300;TraesCS2B01G096000;TraesCS3D01G104000;TraesCS7B01G356800;TraesCS7D01G386600;TraesCS4A01G171500;TraesCS5A01G048600;TraesCS7B01G071100;TraesCS1B01G368200;TraesCS1D01G356400;TraesCS4A01G389600;TraesCS4B01G095200;TraesCS2D01G190200;TraesCS3A01G034700;TraesCS5B01G449500;TraesCS5B01G455500;TraesCS3B01G474400;TraesCS3A01G261800;TraesCS4D01G092000;TraesCS2B01G242500;TraesCS2D01G025500;TraesCSU01G008200;TraesCS3A01G148300;TraesCS7D01G037700;TraesCS3D01G097000;TraesCS6B01G415100;TraesCS6D01G396900;TraesCS3B01G038900;TraesCS6B01G199700;TraesCS1B01G376000;TraesCS5A01G409700;TraesCS5A01G210300;TraesCS4B01G007400;TraesCS2D01G509500;TraesCS4A01G389700;TraesCS6B01G303800;TraesCS4B01G092500;TraesCS3B01G052600;TraesCS4A01G384800;TraesCS6B01G238900;TraesCS7B01G273000;TraesCS6B01G205900;TraesCS3D01G124200;TraesCS6D01G191500;TraesCS7B01G267900;TraesCS4D01G176300;TraesCS3A01G016500;TraesCS4D01G325500;TraesCS2D01G013300;TraesCS5B01G064400;TraesCS2B01G394700;TraesCS4D01G202300</t>
  </si>
  <si>
    <t>TraesCS1B01G394700</t>
  </si>
  <si>
    <t>TraesCS2B01G398200;TraesCS2B01G398300;TraesCS1A01G037800;TraesCS5B01G468300;TraesCS7B01G136000;TraesCS2D01G377400</t>
  </si>
  <si>
    <t>TraesCS3D01G085800;TraesCS3A01G085700;TraesCS1B01G107600;TraesCS6D01G281100;TraesCS1D01G090000;TraesCS1B01G083100</t>
  </si>
  <si>
    <t>TraesCS4A01G066200;TraesCS2B01G423700;TraesCS4D01G176300;TraesCS3B01G532300;TraesCS6B01G231800;TraesCS4D01G243100;TraesCS4B01G095200;TraesCS7D01G211700;TraesCS4B01G174300;TraesCS4D01G092000;TraesCS2A01G406000;TraesCS4A01G130300;TraesCS2B01G336100</t>
  </si>
  <si>
    <t>TraesCS1B01G286800;TraesCS1A01G431300;TraesCS1D01G266000;TraesCS1A01G021000;TraesCS2B01G208900;TraesCS2D01G371800;TraesCS1A01G021400;TraesCS1D01G265900;TraesCS1A01G265600;TraesCS1A01G265700;TraesCS7A01G046600;TraesCS6D01G000200;TraesCS1D01G020600;TraesCS1B01G276800;TraesCS1B01G276500;TraesCS1A01G070400;TraesCS1A01G277900;TraesCS3A01G093900;TraesCS2B01G284300;TraesCS3B01G353000;TraesCS1B01G466100;TraesCS2B01G096000</t>
  </si>
  <si>
    <t>TraesCS1B01G423200</t>
  </si>
  <si>
    <t>TraesCS7B01G325900;TraesCS2A01G217200;TraesCS2B01G208900;TraesCS6B01G116600;TraesCS1A01G383900;TraesCS2D01G509400;TraesCS2A01G211900;TraesCS4D01G232700;TraesCS4B01G092400;TraesCS2B01G414800;TraesCS5D01G187700;TraesCS4A01G491600;TraesCS6B01G230400;TraesCS2D01G309500;TraesCS4D01G027900;TraesCS6D01G191400;TraesCSU01G097600;TraesCS3D01G452300;TraesCS6D01G166100;TraesCS1D01G005400;TraesCS7D01G463700;TraesCS5A01G261400;TraesCS6B01G226000;TraesCS7A01G391100;TraesCS2B01G243000;TraesCS6B01G233800;TraesCS5D01G302000;TraesCS3A01G276200;TraesCS3D01G049000;TraesCS6B01G237600;TraesCS5D01G025500;TraesCS6D01G360900;TraesCS1B01G339100;TraesCS6B01G225700;TraesCSU01G009400;TraesCS6D01G354100;TraesCS5B01G526200;TraesCS6D01G402500;TraesCS5D01G499400;TraesCS2A01G503800;TraesCS3A01G034800;TraesCS2B01G565300;TraesCS1A01G273600;TraesCS7B01G378300;TraesCS2A01G467700;TraesCS3D01G072700;TraesCS3A01G049600;TraesCS2B01G477600;TraesCS3B01G128700;TraesCS1B01G439200;TraesCS7B01G326100;TraesCS7A01G042200;TraesCS6B01G231400;TraesCS2D01G019600;TraesCS2B01G241400;TraesCS7A01G460900;TraesCS1A01G343000;TraesCS3A01G096500;TraesCS6B01G407500;TraesCS1B01G355700;TraesCS6A01G276300;TraesCS3B01G310000;TraesCS4A01G177600;TraesCS2D01G217600;TraesCS6B01G225800;TraesCS2D01G028600;TraesCS7D01G313500;TraesCS6B01G353200;TraesCS3A01G287000;TraesCS7A01G359300;TraesCS4B01G343100;TraesCS4D01G243000;TraesCS1B01G006500;TraesCS3A01G230900;TraesCS3B01G321300;TraesCS3D01G500800;TraesCS4A01G331100;TraesCS6B01G238600;TraesCS2B01G284300;TraesCS5D01G059300;TraesCS6A01G168900;TraesCS4A01G283100;TraesCS1D01G344700;TraesCS3B01G084000;TraesCS7A01G226500;TraesCS4A01G474800;TraesCS7B01G292700;TraesCS4A01G216900;TraesCS2B01G066800;TraesCS4A01G445500;TraesCS6B01G226200;TraesCS3A01G064400;TraesCS7B01G273600;TraesCS3A01G362500;TraesCS2D01G002600;TraesCS3B01G032400;TraesCS6B01G235900;TraesCS5B01G366800;TraesCS7A01G069600;TraesCS1A01G309500;TraesCS4B01G231400;TraesCS3B01G353000;TraesCS3A01G122300;TraesCS6B01G232400;TraesCS2D01G039400;TraesCS4B01G106000;TraesCS4D01G270000;TraesCS1D01G013800;TraesCS1D01G271500;TraesCS1D01G076200;TraesCS6B01G212700;TraesCS2B01G100200;TraesCS7D01G111600;TraesCS6B01G231200;TraesCS1A01G362900;TraesCS5D01G061700;TraesCS7D01G436600;TraesCS3B01G569900;TraesCS3D01G276200;TraesCS7D01G124900;TraesCS4A01G066100;TraesCSU01G044100;TraesCS2D01G223000;TraesCS7D01G374700;TraesCS5D01G565300;TraesCS7B01G013100;TraesCS7B01G362800;TraesCS7D01G461900;TraesCS2B01G240800;TraesCS5D01G452500;TraesCS2A01G052600;TraesCS3B01G086900;TraesCS1D01G082200;TraesCS7D01G368700;TraesCS2A01G216400;TraesCS2B01G536600;TraesCS7A01G115400;TraesCS2A01G525300;TraesCS5B01G284400;TraesCS3A01G056300;TraesCS2D01G013200;TraesCS3D01G501400;TraesCS1A01G312300;TraesCS4D01G003300;TraesCS2B01G241900;TraesCS1B01G091900;TraesCS6D01G112200;TraesCS6D01G242000;TraesCS4D01G089200;TraesCS2B01G040000;TraesCS1A01G073300;TraesCS4A01G207800;TraesCS1D01G356300;TraesCS1B01G251700;TraesCS6A01G178500;TraesCS2A01G532600;TraesCS4D01G268400;TraesCS4D01G134900;TraesCS2A01G182400;TraesCS4A01G130300;TraesCS4B01G328400;TraesCS3D01G032300;TraesCS2D01G539100;TraesCS2A01G214000;TraesCS5B01G439400;TraesCS6A01G122000;TraesCS2A01G216300;TraesCS4B01G140200;TraesCS4A01G075600;TraesCS4A01G384600;TraesCS2B01G536500;TraesCS3B01G141500;TraesCS2D01G222000;TraesCS5D01G564000;TraesCS6B01G231000;TraesCS3B01G544700;TraesCS7B01G333700;TraesCS2B01G241800;TraesCS4B01G174300;TraesCS2B01G096000;TraesCS3D01G104000;TraesCS7B01G356800;TraesCS7D01G386600;TraesCS4A01G171500;TraesCS5A01G048600;TraesCS7B01G071100;TraesCS1B01G368200;TraesCS1D01G356400;TraesCS3A01G109500;TraesCS4A01G389600;TraesCS7B01G253600;TraesCS4B01G095200;TraesCS2D01G190200;TraesCS3A01G034700;TraesCS5B01G449500;TraesCS5B01G455500;TraesCS3B01G474400;TraesCS3A01G261800;TraesCS4D01G092000;TraesCS2B01G242500;TraesCS2D01G025500;TraesCS7A01G354000;TraesCSU01G008200;TraesCS3A01G148300;TraesCS7D01G037700;TraesCS3D01G097000;TraesCS6B01G415100;TraesCS6D01G396900;TraesCS3B01G038900;TraesCS6B01G199700;TraesCS1B01G376000;TraesCS5A01G409700;TraesCS5A01G210300;TraesCS4B01G007400;TraesCS2D01G509500;TraesCS4A01G389700;TraesCS6B01G303800;TraesCS4B01G092500;TraesCS3B01G052600;TraesCS5D01G460700;TraesCS4A01G384800;TraesCS6B01G238900;TraesCS7B01G273000;TraesCS6B01G205900;TraesCS3D01G124200;TraesCS6D01G191500;TraesCS7B01G267900;TraesCS4B01G270800;TraesCS4D01G176300;TraesCS3A01G016500;TraesCS4D01G325500;TraesCS2D01G013300;TraesCS5B01G064400;TraesCS2B01G394700;TraesCS4D01G202300</t>
  </si>
  <si>
    <t>TraesCS1B01G286800;TraesCS1A01G431300;TraesCS1D01G266000;TraesCS1A01G021000;TraesCS2D01G371800;TraesCS1A01G021400;TraesCS1D01G265900;TraesCS1A01G265600;TraesCS1A01G265700;TraesCS7A01G046600;TraesCS6D01G000200;TraesCS1D01G020600;TraesCS1B01G276800;TraesCS6B01G238900;TraesCS1B01G276500;TraesCS1A01G277900;TraesCS3A01G093900;TraesCS4A01G249200;TraesCS1B01G466100</t>
  </si>
  <si>
    <t>TraesCS4D01G176300;TraesCS7A01G209800;TraesCS6B01G231800;TraesCS7D01G211700;TraesCS4B01G174300;TraesCS4A01G130300</t>
  </si>
  <si>
    <t>drug transmembrane transporter activity</t>
  </si>
  <si>
    <t>TraesCS4D01G068800;TraesCS1D01G030400;TraesCS3B01G336100;TraesCS5B01G355700;TraesCS1A01G380900;TraesCS3A01G300400;TraesCS7A01G209800;TraesCS7A01G230200;TraesCS3B01G485100;TraesCS7D01G211700;TraesCS1B01G037000;TraesCSU01G003900</t>
  </si>
  <si>
    <t>TraesCS1B01G466100</t>
  </si>
  <si>
    <t>TraesCS4B01G095200;TraesCS4D01G092000</t>
  </si>
  <si>
    <t>TraesCS1B01G466200</t>
  </si>
  <si>
    <t>TraesCS1B01G479200</t>
  </si>
  <si>
    <t>TraesCS2B01G040500;TraesCS7B01G325900;TraesCS2A01G217200;TraesCS2B01G208900;TraesCS1A01G383900;TraesCS3A01G124700;TraesCS2D01G509400;TraesCS2A01G211900;TraesCS4B01G092400;TraesCS5D01G187700;TraesCS4A01G491600;TraesCS4A01G436200;TraesCS6B01G238000;TraesCS6D01G191400;TraesCS2D01G270400;TraesCS3D01G452300;TraesCS7D01G463700;TraesCS6B01G226000;TraesCS2B01G243000;TraesCS2D01G055000;TraesCS5D01G302000;TraesCS3A01G276200;TraesCS3D01G049000;TraesCS6B01G237600;TraesCS5D01G025500;TraesCS7A01G160600;TraesCS6D01G360900;TraesCS1B01G339100;TraesCS6B01G225700;TraesCSU01G009400;TraesCS2D01G047500;TraesCS4A01G442300;TraesCS5B01G526200;TraesCS5D01G342100;TraesCS7B01G136000;TraesCS7A01G427300;TraesCS2A01G503800;TraesCS3A01G034800;TraesCS2B01G565300;TraesCS1D01G214700;TraesCS1A01G273600;TraesCS7B01G378300;TraesCS3D01G072700;TraesCS3A01G049600;TraesCS1B01G107400;TraesCS2B01G477600;TraesCS7B01G326100;TraesCS1D01G255100;TraesCS7A01G042200;TraesCS6B01G231400;TraesCS2D01G019600;TraesCS3B01G485000;TraesCS2B01G241400;TraesCS7A01G460900;TraesCS3A01G096500;TraesCS1B01G355700;TraesCS6A01G276300;TraesCS3B01G310000;TraesCS2D01G217600;TraesCS6B01G225800;TraesCS7D01G189700;TraesCS4B01G059100;TraesCS7A01G359300;TraesCS4B01G343100;TraesCS1B01G006500;TraesCS3D01G500800;TraesCS5D01G059300;TraesCS6A01G168900;TraesCS1D01G344700;TraesCS3B01G547300;TraesCS3B01G084000;TraesCS4A01G474800;TraesCS3B01G034700;TraesCS4A01G445500;TraesCS6B01G226200;TraesCS7B01G307700;TraesCS3A01G064400;TraesCS3B01G145200;TraesCS4B01G226700;TraesCS2D01G002600;TraesCS3B01G032400;TraesCS5A01G149600;TraesCS3A01G122300;TraesCS1A01G186100;TraesCS3A01G279600;TraesCS4B01G055400;TraesCS1B01G080400;TraesCS6B01G232400;TraesCS2D01G039400;TraesCS4B01G106000;TraesCS2D01G031000;TraesCS4A01G249200;TraesCS1D01G013800;TraesCS1D01G191100;TraesCS1D01G271500;TraesCS4D01G256400;TraesCS1D01G076200;TraesCS6B01G212700;TraesCS7D01G111600;TraesCS4A01G244200;TraesCS6B01G231200;TraesCS7A01G370400;TraesCS1A01G362900;TraesCS5B01G148300;TraesCS5D01G061700;TraesCS4D01G311500;TraesCS6B01G240700;TraesCS3B01G569900;TraesCS3D01G276200;TraesCS7D01G124900;TraesCS2D01G093100;TraesCSU01G044100;TraesCS2D01G223000;TraesCS4B01G059300;TraesCS7D01G374700;TraesCS3D01G493700;TraesCS7B01G362800;TraesCS7B01G093800;TraesCS7D01G461900;TraesCS2B01G240800;TraesCS3B01G086900;TraesCS1D01G082200;TraesCS3B01G547500;TraesCS5A01G393900;TraesCS2A01G216400;TraesCS5B01G303800;TraesCS2B01G536600;TraesCS7A01G115400;TraesCS2A01G525300;TraesCS5B01G284400;TraesCS3A01G056300;TraesCS7B01G312200;TraesCS2D01G013200;TraesCS4D01G242100;TraesCS3D01G501400;TraesCS4D01G003300;TraesCS5D01G488800;TraesCS2B01G241900;TraesCS1B01G091900;TraesCS6D01G112200;TraesCS6D01G242000;TraesCSU01G009000;TraesCS4D01G089200;TraesCS1A01G073300;TraesCS4A01G207800;TraesCS1D01G394500;TraesCS3B01G395900;TraesCS1B01G251700;TraesCS5D01G140900;TraesCS2A01G532600;TraesCS4D01G268400;TraesCS2A01G182400;TraesCS4B01G328400;TraesCS2D01G029800;TraesCS2D01G539100;TraesCS2A01G214000;TraesCS5B01G439400;TraesCS6A01G122000;TraesCS2A01G216300;TraesCS4A01G384600;TraesCS2B01G536500;TraesCS3A01G125500;TraesCS3B01G141500;TraesCS5B01G116300;TraesCS2D01G222000;TraesCS3B01G544700;TraesCS1B01G225300;TraesCS6B01G227300;TraesCS1A01G211500;TraesCS5D01G488900;TraesCS7B01G333700;TraesCS2B01G241800;TraesCS2B01G096000;TraesCS3D01G104000;TraesCS7B01G356800;TraesCS4A01G171500;TraesCS5A01G048600;TraesCS7B01G071100;TraesCS7A01G407600;TraesCS7B01G253600;TraesCS2B01G554900;TraesCS2D01G190200;TraesCS3A01G034700;TraesCS5B01G455500;TraesCS6A01G266100;TraesCS3B01G474400;TraesCS3A01G261800;TraesCS2B01G242500;TraesCS6D01G021100;TraesCS2D01G025500;TraesCSU01G008200;TraesCS3A01G148300;TraesCS7D01G037700;TraesCS3D01G097000;TraesCS6B01G415100;TraesCS6B01G083500;TraesCS6D01G396900;TraesCS5D01G310500;TraesCS3B01G038900;TraesCS1B01G376000;TraesCS5A01G210300;TraesCS5B01G475000;TraesCS6B01G217200;TraesCS2B01G040600;TraesCS4B01G007400;TraesCS7A01G189000;TraesCS2D01G509500;TraesCS4D01G008200;TraesCS6B01G303800;TraesCS2A01G028700;TraesCS4B01G092500;TraesCS3B01G052600;TraesCS6B01G238900;TraesCS7B01G273000;TraesCS3D01G126500;TraesCS3D01G124200;TraesCS6D01G191500;TraesCS7B01G267900;TraesCS4A01G065100;TraesCS3A01G016500;TraesCS4D01G325500;TraesCS2D01G013300;TraesCS5B01G064400;TraesCS2B01G394700;TraesCS4D01G202300</t>
  </si>
  <si>
    <t>TraesCS4A01G066200;TraesCS4D01G068800;TraesCS1D01G030400;TraesCS3B01G336100;TraesCS5B01G355700;TraesCS1A01G380900;TraesCS3A01G300400;TraesCS1D01G032700;TraesCS5A01G501500;TraesCS4D01G243100;TraesCS6B01G236600;TraesCS7A01G209800;TraesCS7A01G230200;TraesCS3B01G485100;TraesCS7D01G211700;TraesCS1B01G037000;TraesCS1A01G239300;TraesCSU01G003900</t>
  </si>
  <si>
    <t>TraesCS1D01G030400</t>
  </si>
  <si>
    <t>TraesCS1D01G032700</t>
  </si>
  <si>
    <t>TraesCS1D01G035600</t>
  </si>
  <si>
    <t>TraesCS1A01G383900;TraesCS2B01G369100;TraesCS6B01G231700;TraesCS7B01G136000;TraesCS2B01G369000;TraesCS2D01G033100;TraesCS2D01G349000;TraesCS5A01G213600;TraesCSU01G020500;TraesCS2D01G349400;TraesCS4B01G328400;TraesCS2A01G350700;TraesCS2A01G350800;TraesCS2A01G350900;TraesCS2D01G218700;TraesCS2D01G348900;TraesCS2D01G348800;TraesCS4D01G325500;TraesCS5B01G468300;TraesCS7B01G493700;TraesCS2D01G377500;TraesCS4D01G325400;TraesCS2A01G212900;TraesCS2D01G377400;TraesCS2B01G398200;TraesCS5D01G408200;TraesCS5D01G218400;TraesCS6B01G231000;TraesCS2B01G398300;TraesCS5A01G160800;TraesCS1A01G203600;TraesCS1A01G037800;TraesCS2B01G224000</t>
  </si>
  <si>
    <t>TraesCS2A01G590900;TraesCS6D01G033000;TraesCS7B01G325900;TraesCS7D01G009700;TraesCS2A01G217200;TraesCS2B01G208900;TraesCS6B01G225600;TraesCS1A01G383900;TraesCS4D01G175700;TraesCS3A01G124700;TraesCS2D01G509400;TraesCS1B01G083100;TraesCS2B01G369100;TraesCS2A01G211900;TraesCS4D01G232700;TraesCS2A01G588700;TraesCS4B01G092400;TraesCS7A01G259100;TraesCS5D01G187700;TraesCS4A01G491600;TraesCS1A01G070400;TraesCS4B01G026100;TraesCS4B01G031800;TraesCS4D01G027900;TraesCS6D01G281100;TraesCS6B01G238000;TraesCS6D01G191400;TraesCS2D01G349400;TraesCS6B01G186700;TraesCS3D01G452300;TraesCS3D01G475200;TraesCS5A01G526000;TraesCS7D01G440000;TraesCS7D01G463700;TraesCS4D01G069300;TraesCS6B01G226000;TraesCS3B01G481300;TraesCS2B01G243000;TraesCS6B01G233800;TraesCS5D01G302000;TraesCS3A01G276200;TraesCS3D01G049000;TraesCS6B01G237600;TraesCS5D01G025500;TraesCS7A01G160600;TraesCS2A01G405100;TraesCS6D01G360900;TraesCS6B01G225700;TraesCSU01G009400;TraesCS5B01G526200;TraesCS2A01G412300;TraesCS1D01G090000;TraesCS5D01G011900;TraesCS7B01G136000;TraesCS7A01G427300;TraesCS2A01G503800;TraesCS2B01G219900;TraesCS3A01G034800;TraesCS2D01G033100;TraesCS6B01G230300;TraesCS2B01G565300;TraesCS4D01G142000;TraesCS1A01G273600;TraesCS7B01G378300;TraesCS3D01G072700;TraesCS2A01G350900;TraesCS7B01G286100;TraesCS2D01G218700;TraesCS5B01G187000;TraesCS3A01G049600;TraesCS7D01G516100;TraesCS2B01G477600;TraesCS7B01G326100;TraesCS6A01G332100;TraesCS2A01G212900;TraesCS2D01G377400;TraesCS6D01G311400;TraesCS3D01G467600;TraesCS5D01G375500;TraesCS6B01G229200;TraesCS1D01G255100;TraesCS5A01G160800;TraesCS7A01G042200;TraesCS2B01G404200;TraesCS6B01G231400;TraesCS1A01G203600;TraesCS7B01G444800;TraesCS2D01G019600;TraesCS1A01G037800;TraesCS4A01G131000;TraesCS2B01G241400;TraesCS7A01G460900;TraesCS2B01G224000;TraesCS3A01G226400;TraesCS3A01G096500;TraesCS6B01G239000;TraesCS1B01G355700;TraesCS7B01G092300;TraesCS6A01G276300;TraesCS3A01G044100;TraesCS3B01G310000;TraesCS5A01G365800;TraesCS2D01G217600;TraesCS6B01G225800;TraesCS7D01G313500;TraesCS7D01G189700;TraesCS4B01G227000;TraesCS6B01G370100;TraesCS2B01G182900;TraesCS3B01G597800;TraesCS4B01G074100;TraesCS7A01G359300;TraesCS1D01G056500;TraesCS2A01G588900;TraesCS4B01G343100;TraesCS1B01G006500;TraesCS3D01G500800;TraesCS6A01G074900;TraesCS6B01G238600;TraesCS2A01G467000;TraesCS6B01G230200;TraesCS4D01G350500;TraesCS5D01G059300;TraesCS6A01G168900;TraesCS3B01G266200;TraesCS4A01G283100;TraesCS5A01G196800;TraesCS1D01G344700;TraesCS3B01G547300;TraesCS2A01G350800;TraesCS3B01G084000;TraesCS5A01G526200;TraesCS4A01G474800;TraesCS1D01G412300;TraesCS4A01G241700;TraesCS7A01G492400;TraesCS1D01G162000;TraesCS4A01G445500;TraesCS6B01G226200;TraesCS3A01G064400;TraesCS5D01G183700;TraesCS2D01G377500;TraesCS2D01G002600;TraesCS3B01G032400;TraesCS2B01G398200;TraesCS6B01G235900;TraesCS5D01G321100;TraesCS6D01G215000;TraesCS1D01G402500;TraesCS3D01G039400;TraesCS4B01G231400;TraesCS3A01G446200;TraesCS4A01G485000;TraesCS3D01G476500;TraesCS4B01G172700;TraesCS4D01G072800;TraesCS3A01G122300;TraesCS3A01G348300;TraesCS3B01G597900;TraesCS6B01G232400;TraesCS3D01G036700;TraesCS4A01G186500;TraesCS2B01G369000;TraesCS2D01G039400;TraesCS4B01G106000;TraesCS4D01G136600;TraesCS4A01G249200;TraesCS5B01G315700;TraesCS6B01G238500;TraesCS1D01G013800;TraesCS3D01G478000;TraesCS7A01G276300;TraesCS7D01G251900;TraesCS1B01G182000;TraesCS2A01G350700;TraesCS3D01G534200;TraesCS1D01G271500;TraesCS1B01G107600;TraesCS1B01G422700;TraesCS5B01G468300;TraesCS1D01G076200;TraesCS6B01G212700;TraesCS3D01G341900;TraesCS4A01G244200;TraesCS6B01G231200;TraesCS1A01G362900;TraesCS1B01G133300;TraesCS3A01G406000;TraesCS5D01G061700;TraesCS3D01G039300;TraesCS3B01G569900;TraesCS3D01G276200;TraesCS7D01G124900;TraesCS7A01G330000;TraesCS6B01G410400;TraesCS2A01G588300;TraesCSU01G044100;TraesCS2A01G139100;TraesCS2D01G223000;TraesCS7D01G374700;TraesCS1A01G168100;TraesCS5D01G565300;TraesCS3D01G493700;TraesCS7B01G362800;TraesCS7B01G093800;TraesCS7D01G461900;TraesCS6B01G058000;TraesCS2B01G240800;TraesCS2D01G349000;TraesCS1B01G090700;TraesCS6D01G048900;TraesCS7B01G156900;TraesCS3B01G086900;TraesCS3B01G526000;TraesCS1D01G082200;TraesCS5B01G476000;TraesCS3B01G547500;TraesCS6B01G224900;TraesCS2B01G318600;TraesCS3B01G380200;TraesCS2A01G216400;TraesCS2B01G580200;TraesCS6B01G362900;TraesCS2B01G536600;TraesCS7B01G493700;TraesCS6D01G147400;TraesCS2A01G525300;TraesCS5B01G284400;TraesCS5D01G408200;TraesCS3A01G056300;TraesCS6B01G231100;TraesCS3A01G528800;TraesCS2D01G013200;TraesCS4D01G242100;TraesCS3D01G501400;TraesCS1B01G133400;TraesCS4D01G003300;TraesCS6B01G233400;TraesCS2B01G241900;TraesCS1B01G091900;TraesCS6D01G112200;TraesCS6D01G242000;TraesCS2D01G550700;TraesCS2D01G382400;TraesCS4D01G089200;TraesCS7A01G487400;TraesCS1A01G073300;TraesCS4A01G207800;TraesCS3B01G395900;TraesCS1B01G251700;TraesCS5A01G464500;TraesCS3A01G237800;TraesCS2B01G594700;TraesCS2A01G532600;TraesCS4D01G268400;TraesCS1B01G404000;TraesCS5D01G019100;TraesCS1A01G235000;TraesCS2A01G182400;TraesCS4B01G328400;TraesCS7D01G276600;TraesCS1A01G072100;TraesCS7A01G549300;TraesCS2D01G539100;TraesCS4D01G285300;TraesCS2A01G214000;TraesCS2D01G409500;TraesCS2B01G580300;TraesCS6A01G122000;TraesCS2A01G216300;TraesCS7D01G318900;TraesCS4A01G075600;TraesCS4A01G384600;TraesCS2B01G536500;TraesCS3B01G141500;TraesCS5D01G477100;TraesCS4B01G356800;TraesCS2D01G222000;TraesCS6B01G231000;TraesCS6B01G237900;TraesCS2B01G398300;TraesCS3B01G544700;TraesCS6B01G227300;TraesCS1A01G312400;TraesCS6B01G229600;TraesCS3D01G230200;TraesCS7B01G333700;TraesCS2B01G117500;TraesCS2B01G241800;TraesCS2A01G592700;TraesCS7A01G537200;TraesCS2B01G096000;TraesCS3D01G104000;TraesCS7B01G356800;TraesCS4A01G171500;TraesCS5A01G048600;TraesCS7B01G071100;TraesCS2D01G402000;TraesCS7D01G199900;TraesCS6B01G041200;TraesCS1A01G113300;TraesCS1D01G283900;TraesCS7B01G420700;TraesCS2D01G190200;TraesCS3A01G034700;TraesCS5B01G455500;TraesCS6A01G266100;TraesCS3B01G474400;TraesCS4A01G071100;TraesCS3A01G261800;TraesCS3A01G483100;TraesCS2B01G242500;TraesCS2D01G383400;TraesCS5D01G150500;TraesCS2D01G025500;TraesCS7D01G524300;TraesCS2B01G341400;TraesCS1D01G114600;TraesCS4A01G017400;TraesCS4D01G174700;TraesCSU01G008200;TraesCS2D01G348800;TraesCS3A01G148300;TraesCS4D01G023500;TraesCS7D01G037700;TraesCS3D01G097000;TraesCS6B01G415100;TraesCS6B01G083500;TraesCS6D01G396900;TraesCS3B01G038900;TraesCS2D01G564900;TraesCS1B01G376000;TraesCS2A01G386700;TraesCS2B01G304800;TraesCS5A01G004800;TraesCS4B01G197500;TraesCS3A01G040800;TraesCS5A01G210300;TraesCS6B01G217200;TraesCS1A01G266100;TraesCS3B01G526700;TraesCS4A01G240900;TraesCS4B01G007400;TraesCS2D01G509500;TraesCS3B01G356700;TraesCS4D01G008200;TraesCS6B01G231700;TraesCS6B01G303800;TraesCS4B01G092500;TraesCS3B01G052600;TraesCS2A01G253600;TraesCS2B01G594900;TraesCS3A01G085700;TraesCS6B01G230500;TraesCS6B01G238900;TraesCS7B01G273000;TraesCS1A01G095800;TraesCS3D01G124200;TraesCS6D01G191500;TraesCS7B01G267900;TraesCS4A01G065100;TraesCS2D01G348900;TraesCS5D01G196600;TraesCS6B01G226700;TraesCS3A01G016500;TraesCS4D01G325500;TraesCS3D01G320700;TraesCS3B01G258100;TraesCS3D01G085800;TraesCS2D01G013300;TraesCS5B01G064400;TraesCS4A01G187200;TraesCS6B01G227900;TraesCS7B01G390200;TraesCS4A01G175900;TraesCS4D01G227700;TraesCS2B01G394700;TraesCS3D01G238000;TraesCS2D01G550600;TraesCS4D01G202300</t>
  </si>
  <si>
    <t>TraesCS1D01G042500</t>
  </si>
  <si>
    <t>TraesCS7B01G325900;TraesCS2A01G217200;TraesCS2B01G208900;TraesCS6B01G116600;TraesCS1A01G383900;TraesCS2D01G509400;TraesCS2A01G211900;TraesCS4B01G092400;TraesCS5D01G187700;TraesCS4A01G491600;TraesCS6B01G230400;TraesCS2D01G309500;TraesCS4D01G027900;TraesCS6D01G191400;TraesCSU01G097600;TraesCS3D01G452300;TraesCS6D01G166100;TraesCS1D01G005400;TraesCS7D01G463700;TraesCS6B01G226000;TraesCS7A01G391100;TraesCS2B01G243000;TraesCS6B01G233800;TraesCS5D01G302000;TraesCS3A01G276200;TraesCS3D01G049000;TraesCS6B01G237600;TraesCS5D01G025500;TraesCS6D01G360900;TraesCS1B01G339100;TraesCS6B01G225700;TraesCSU01G009400;TraesCS5B01G526200;TraesCS6D01G402500;TraesCS5D01G499400;TraesCS2A01G503800;TraesCS3A01G034800;TraesCS2B01G565300;TraesCS1A01G273600;TraesCS7B01G378300;TraesCS2A01G467700;TraesCS3D01G072700;TraesCS3A01G049600;TraesCS2B01G477600;TraesCS1B01G439200;TraesCS7B01G326100;TraesCS7A01G042200;TraesCS6B01G231400;TraesCS2D01G019600;TraesCS2B01G241400;TraesCS7A01G460900;TraesCS1A01G343000;TraesCS3A01G096500;TraesCS1B01G355700;TraesCS6A01G276300;TraesCS3B01G310000;TraesCS4A01G177600;TraesCS2D01G217600;TraesCS6B01G225800;TraesCS2D01G028600;TraesCS7D01G313500;TraesCS6B01G353200;TraesCS3A01G287000;TraesCS7A01G359300;TraesCS4B01G343100;TraesCS4D01G243000;TraesCS1B01G006500;TraesCS3A01G230900;TraesCS3B01G321300;TraesCS3D01G500800;TraesCS4A01G331100;TraesCS6B01G238600;TraesCS2B01G284300;TraesCS5D01G059300;TraesCS6A01G168900;TraesCS4A01G283100;TraesCS1D01G344700;TraesCS3B01G084000;TraesCS7A01G226500;TraesCS4A01G474800;TraesCS7B01G292700;TraesCS4A01G216900;TraesCS4A01G445500;TraesCS6B01G226200;TraesCS3A01G064400;TraesCS3A01G362500;TraesCS2D01G002600;TraesCS3B01G032400;TraesCS6B01G235900;TraesCS7A01G069600;TraesCS1A01G309500;TraesCS3B01G353000;TraesCS3A01G122300;TraesCS6B01G232400;TraesCS2D01G039400;TraesCS4B01G106000;TraesCS1D01G013800;TraesCS1D01G271500;TraesCS1D01G076200;TraesCS6B01G212700;TraesCS2B01G100200;TraesCS6B01G231200;TraesCS1A01G362900;TraesCS5D01G061700;TraesCS7D01G436600;TraesCS3B01G569900;TraesCS3D01G276200;TraesCS7D01G124900;TraesCS4A01G066100;TraesCSU01G044100;TraesCS2D01G223000;TraesCS7D01G374700;TraesCS7B01G362800;TraesCS7D01G461900;TraesCS2B01G240800;TraesCS5D01G452500;TraesCS3B01G086900;TraesCS1D01G082200;TraesCS2A01G216400;TraesCS2B01G536600;TraesCS2A01G525300;TraesCS5B01G284400;TraesCS3A01G056300;TraesCS2D01G013200;TraesCS3D01G501400;TraesCS1A01G312300;TraesCS4D01G003300;TraesCS2B01G241900;TraesCS1B01G091900;TraesCS6D01G112200;TraesCS6D01G242000;TraesCS4D01G089200;TraesCS2B01G040000;TraesCS1A01G073300;TraesCS4A01G207800;TraesCS1D01G356300;TraesCS1B01G251700;TraesCS6A01G178500;TraesCS2A01G532600;TraesCS4D01G268400;TraesCS4D01G134900;TraesCS2A01G182400;TraesCS4A01G130300;TraesCS4B01G328400;TraesCS3D01G032300;TraesCS2D01G539100;TraesCS2A01G214000;TraesCS6A01G122000;TraesCS2A01G216300;TraesCS4B01G140200;TraesCS4A01G384600;TraesCS2B01G536500;TraesCS3B01G141500;TraesCS2D01G222000;TraesCS5D01G564000;TraesCS6B01G231000;TraesCS3B01G544700;TraesCS7B01G333700;TraesCS2B01G241800;TraesCS4B01G174300;TraesCS2B01G096000;TraesCS3D01G104000;TraesCS7B01G356800;TraesCS7D01G386600;TraesCS4A01G171500;TraesCS5A01G048600;TraesCS7B01G071100;TraesCS1B01G368200;TraesCS1D01G356400;TraesCS4A01G389600;TraesCS4B01G095200;TraesCS2D01G190200;TraesCS3A01G034700;TraesCS5B01G449500;TraesCS5B01G455500;TraesCS3B01G474400;TraesCS3A01G261800;TraesCS4D01G092000;TraesCS2B01G242500;TraesCS2D01G025500;TraesCSU01G008200;TraesCS3A01G148300;TraesCS7D01G037700;TraesCS3D01G097000;TraesCS6B01G415100;TraesCS6D01G396900;TraesCS3B01G038900;TraesCS6B01G199700;TraesCS1B01G376000;TraesCS5A01G409700;TraesCS5A01G210300;TraesCS4B01G007400;TraesCS2D01G509500;TraesCS4A01G389700;TraesCS6B01G303800;TraesCS4B01G092500;TraesCS3B01G052600;TraesCS4A01G384800;TraesCS6B01G238900;TraesCS7B01G273000;TraesCS6B01G205900;TraesCS3D01G124200;TraesCS6D01G191500;TraesCS7B01G267900;TraesCS4D01G176300;TraesCS3A01G016500;TraesCS4D01G325500;TraesCS2D01G013300;TraesCS5B01G064400;TraesCS2B01G394700;TraesCS4D01G202300</t>
  </si>
  <si>
    <t>response to external biotic stimulus</t>
  </si>
  <si>
    <t>TraesCS2B01G208900;TraesCS7A01G492400;TraesCS4D01G321000;TraesCS4D01G238600;TraesCS4D01G326400;TraesCS5D01G183700;TraesCS7A01G259100;TraesCS4B01G237300;TraesCS5B01G097600;TraesCS6A01G323800;TraesCS1A01G070400;TraesCS7A01G209800;TraesCS3A01G209800;TraesCS7D01G211700;TraesCS3A01G310200;TraesCS7B01G156900;TraesCS7B01G335500;TraesCS2B01G336100</t>
  </si>
  <si>
    <t>response to other organism</t>
  </si>
  <si>
    <t>TraesCS3A01G044100;TraesCS1A01G383900;TraesCS3A01G124700;TraesCS2B01G369100;TraesCS7A01G259100;TraesCS2A01G467000;TraesCS2D01G349000;TraesCS5A01G213600;TraesCSU01G020500;TraesCS1B01G090700;TraesCS2D01G349400;TraesCS2A01G350800;TraesCS7D01G440000;TraesCS2B01G125300;TraesCS4A01G017400;TraesCS4D01G174700;TraesCS2A01G107800;TraesCS2D01G348800;TraesCS2A01G107600;TraesCS7A01G262000;TraesCS7B01G493700;TraesCS5D01G183700;TraesCS2D01G377500;TraesCS4D01G325400;TraesCS2B01G398200;TraesCS5D01G408200;TraesCS5D01G218400;TraesCS4B01G172700;TraesCS6B01G231700;TraesCS7B01G136000;TraesCS4D01G326400;TraesCS2B01G124800;TraesCS3D01G036700;TraesCS2B01G369000;TraesCS2D01G033100;TraesCS4D01G142000;TraesCS3B01G354000;TraesCS4B01G328400;TraesCS2A01G350700;TraesCS2A01G350900;TraesCS2D01G218700;TraesCS2D01G348900;TraesCS4D01G285300;TraesCS4D01G325500;TraesCS5B01G468300;TraesCS3B01G258100;TraesCS2A01G212900;TraesCS2D01G377400;TraesCS3D01G467600;TraesCS6B01G231000;TraesCS2B01G398300;TraesCS5A01G160800;TraesCS1A01G312400;TraesCS1A01G203600;TraesCS2B01G117500;TraesCS1A01G037800;TraesCS2B01G224000;TraesCS3A01G226400</t>
  </si>
  <si>
    <t>TraesCS6D01G033000;TraesCS7B01G325900;TraesCS2A01G217200;TraesCS2B01G208900;TraesCS6B01G225600;TraesCS1A01G383900;TraesCS5D01G342000;TraesCS3A01G124700;TraesCS2D01G509400;TraesCS2B01G369100;TraesCS2A01G211900;TraesCS4D01G232700;TraesCS4B01G092400;TraesCS5D01G187700;TraesCS4A01G491600;TraesCS1A01G070400;TraesCS4D01G027900;TraesCS6B01G238000;TraesCS6D01G191400;TraesCS2D01G349400;TraesCS3D01G452300;TraesCS5A01G526000;TraesCS7D01G463700;TraesCS6B01G226000;TraesCS3B01G481300;TraesCS5D01G218400;TraesCS2B01G243000;TraesCS6B01G233800;TraesCS5D01G302000;TraesCS3A01G276200;TraesCS3D01G049000;TraesCS6B01G237600;TraesCS5D01G025500;TraesCS6D01G360900;TraesCS6B01G225700;TraesCSU01G009400;TraesCS5B01G526200;TraesCS2A01G412300;TraesCS7B01G136000;TraesCS2A01G503800;TraesCS2B01G219900;TraesCS3A01G034800;TraesCS2D01G033100;TraesCS6B01G230300;TraesCS2B01G565300;TraesCS1A01G273600;TraesCS7B01G378300;TraesCS3D01G072700;TraesCS2A01G350900;TraesCS2D01G218700;TraesCS5B01G187000;TraesCS3A01G049600;TraesCS7D01G516100;TraesCS2B01G477600;TraesCS3B01G128700;TraesCS7B01G326100;TraesCS2A01G212900;TraesCS2D01G377400;TraesCS3D01G467600;TraesCS5D01G375500;TraesCS6B01G229200;TraesCS5A01G160800;TraesCS7A01G042200;TraesCS2B01G404200;TraesCS6B01G231400;TraesCS1A01G203600;TraesCS7B01G444800;TraesCS2D01G019600;TraesCS1A01G037800;TraesCS2B01G241400;TraesCS7A01G460900;TraesCS2B01G224000;TraesCS3A01G096500;TraesCS1B01G355700;TraesCS6A01G276300;TraesCS3B01G310000;TraesCS5A01G365800;TraesCS2D01G217600;TraesCS6B01G225800;TraesCS7D01G189700;TraesCS6B01G370100;TraesCS3B01G597800;TraesCS7A01G359300;TraesCS4B01G343100;TraesCS1B01G006500;TraesCS3D01G500800;TraesCS6A01G074900;TraesCS6B01G238600;TraesCS6B01G230200;TraesCSU01G020500;TraesCS5D01G059300;TraesCS6A01G168900;TraesCS3B01G266200;TraesCS4A01G283100;TraesCS5A01G196800;TraesCS1D01G344700;TraesCS3B01G547300;TraesCS2A01G350800;TraesCS3B01G084000;TraesCS4A01G474800;TraesCS1D01G412300;TraesCS4A01G241700;TraesCS4A01G445500;TraesCS6B01G226200;TraesCS3A01G064400;TraesCS2D01G377500;TraesCS2D01G002600;TraesCS3B01G032400;TraesCS2B01G398200;TraesCS6D01G215000;TraesCS3D01G039400;TraesCS4B01G231400;TraesCS3A01G446200;TraesCS3A01G122300;TraesCS3B01G597900;TraesCS6B01G232400;TraesCS2B01G369000;TraesCS2D01G039400;TraesCS4B01G106000;TraesCS4D01G136600;TraesCS4A01G249200;TraesCS1D01G013800;TraesCS7D01G251900;TraesCS2A01G350700;TraesCS3D01G534200;TraesCS1D01G271500;TraesCS5B01G468300;TraesCS1D01G076200;TraesCS6B01G212700;TraesCS4A01G244200;TraesCS6B01G231200;TraesCS1A01G362900;TraesCS5D01G061700;TraesCS3D01G039300;TraesCS3B01G569900;TraesCS3D01G276200;TraesCS7D01G124900;TraesCS6B01G410400;TraesCSU01G044100;TraesCS2D01G223000;TraesCS7D01G374700;TraesCS1A01G168100;TraesCS3D01G493700;TraesCS7B01G362800;TraesCS7D01G461900;TraesCS2B01G240800;TraesCS2D01G349000;TraesCS5A01G213600;TraesCS3B01G086900;TraesCS1D01G082200;TraesCS3B01G547500;TraesCS6B01G224900;TraesCS2A01G216400;TraesCS2B01G536600;TraesCS7B01G493700;TraesCS2A01G525300;TraesCS5B01G284400;TraesCS5D01G408200;TraesCS3A01G056300;TraesCS3A01G528800;TraesCS2D01G013200;TraesCS4D01G242100;TraesCS3D01G501400;TraesCS4D01G003300;TraesCS2B01G241900;TraesCS1B01G091900;TraesCS6D01G112200;TraesCS6D01G242000;TraesCS2D01G382400;TraesCS4D01G089200;TraesCS1A01G073300;TraesCS4A01G207800;TraesCS3B01G395900;TraesCS1B01G251700;TraesCS3A01G237800;TraesCS2A01G532600;TraesCS1B01G404000;TraesCS1A01G235000;TraesCS2A01G182400;TraesCS4B01G328400;TraesCS2D01G539100;TraesCS2A01G214000;TraesCS2D01G409500;TraesCS6A01G122000;TraesCS2A01G216300;TraesCS4A01G075600;TraesCS4A01G384600;TraesCS2B01G536500;TraesCS3B01G141500;TraesCS2D01G222000;TraesCS6B01G231000;TraesCS2B01G398300;TraesCS3B01G544700;TraesCS6B01G227300;TraesCS6B01G229600;TraesCS7B01G333700;TraesCS2B01G241800;TraesCS7A01G537200;TraesCS2B01G096000;TraesCS3D01G104000;TraesCS7B01G356800;TraesCS4A01G171500;TraesCS5A01G048600;TraesCS7B01G071100;TraesCS7D01G199900;TraesCS3A01G109500;TraesCS6B01G041200;TraesCS7B01G420700;TraesCS2D01G190200;TraesCS3A01G034700;TraesCS5B01G455500;TraesCS3B01G474400;TraesCS3A01G261800;TraesCS2B01G242500;TraesCS2D01G383400;TraesCS2D01G025500;TraesCS7D01G524300;TraesCSU01G008200;TraesCS2D01G348800;TraesCS3A01G148300;TraesCS7D01G037700;TraesCS3D01G097000;TraesCS6B01G415100;TraesCS6D01G396900;TraesCS6B01G230600;TraesCS3B01G038900;TraesCS4D01G325400;TraesCS1B01G376000;TraesCS2A01G386700;TraesCS3A01G040800;TraesCS5A01G210300;TraesCS6B01G217200;TraesCS4B01G007400;TraesCS2D01G509500;TraesCS3B01G356700;TraesCS6B01G231700;TraesCS6B01G303800;TraesCS4B01G092500;TraesCS3B01G052600;TraesCS2A01G253600;TraesCS6B01G238900;TraesCS7B01G273000;TraesCS1A01G095800;TraesCS3D01G124200;TraesCS6D01G191500;TraesCS7B01G267900;TraesCS4A01G065100;TraesCS5A01G337400;TraesCS2D01G348900;TraesCS5D01G196600;TraesCS3A01G016500;TraesCS4D01G325500;TraesCS3D01G320700;TraesCS2D01G013300;TraesCS5B01G064400;TraesCS6B01G227900;TraesCS2B01G394700;TraesCS3D01G238000;TraesCS4D01G202300</t>
  </si>
  <si>
    <t>TraesCS3D01G534200;TraesCS3A01G528800;TraesCS2B01G404200;TraesCS2D01G382400;TraesCS2D01G383400</t>
  </si>
  <si>
    <t>TraesCS6D01G033000;TraesCS7B01G325900;TraesCS7D01G009700;TraesCS6B01G225600;TraesCS1A01G383900;TraesCS4D01G175700;TraesCS2B01G369100;TraesCS4D01G232700;TraesCS4A01G491600;TraesCS1A01G070400;TraesCS4B01G026100;TraesCS4B01G031800;TraesCS4D01G027900;TraesCS3D01G452300;TraesCS3D01G475200;TraesCS5A01G526000;TraesCS7D01G440000;TraesCS4D01G069300;TraesCS3B01G481300;TraesCS2B01G243000;TraesCS5D01G302000;TraesCS3A01G276200;TraesCS3D01G049000;TraesCS6B01G237600;TraesCS2A01G405100;TraesCS6D01G360900;TraesCS6B01G225700;TraesCSU01G009400;TraesCS5B01G526200;TraesCS5D01G011900;TraesCS7B01G136000;TraesCS7A01G427300;TraesCS2A01G503800;TraesCS2D01G033100;TraesCS2B01G565300;TraesCS7B01G378300;TraesCS7B01G286100;TraesCS2D01G218700;TraesCS3A01G049600;TraesCS2B01G477600;TraesCS3B01G128700;TraesCS2D01G377400;TraesCS6D01G311400;TraesCS3D01G467600;TraesCS5D01G375500;TraesCS1D01G255100;TraesCS2B01G404200;TraesCS1A01G037800;TraesCS4A01G131000;TraesCS3A01G096500;TraesCS1B01G355700;TraesCS7B01G092300;TraesCS3A01G044100;TraesCS2D01G217600;TraesCS6B01G225800;TraesCS6B01G370100;TraesCS2B01G182900;TraesCS3B01G597800;TraesCS4B01G074100;TraesCS7A01G359300;TraesCS3D01G500800;TraesCS6B01G238600;TraesCSU01G020500;TraesCS4A01G283100;TraesCS3B01G547300;TraesCS2B01G336100;TraesCS5A01G526200;TraesCS4A01G241700;TraesCS1D01G162000;TraesCS4A01G445500;TraesCS5D01G183700;TraesCS2D01G377500;TraesCS2D01G002600;TraesCS3B01G032400;TraesCS6D01G215000;TraesCS3D01G039400;TraesCS3A01G446200;TraesCS4A01G485000;TraesCS3D01G476500;TraesCS4D01G072800;TraesCS3B01G597900;TraesCS2B01G369000;TraesCS4B01G106000;TraesCS4A01G249200;TraesCS6B01G238500;TraesCS7A01G276300;TraesCS7D01G251900;TraesCS1B01G182000;TraesCS3D01G534200;TraesCS1D01G271500;TraesCS1B01G422700;TraesCS5B01G468300;TraesCS6B01G212700;TraesCS3D01G341900;TraesCS1A01G362900;TraesCS1B01G133300;TraesCS3D01G039300;TraesCS7D01G124900;TraesCS7A01G330000;TraesCS6B01G410400;TraesCS2A01G139100;TraesCS2D01G223000;TraesCS3D01G493700;TraesCS7D01G461900;TraesCS6B01G058000;TraesCS2D01G349000;TraesCS1B01G090700;TraesCS7B01G156900;TraesCS5B01G476000;TraesCS3B01G547500;TraesCS3B01G380200;TraesCS2B01G580200;TraesCS2B01G536600;TraesCS7B01G493700;TraesCS6D01G147400;TraesCS2A01G525300;TraesCS6B01G231100;TraesCS3A01G528800;TraesCS2D01G013200;TraesCS4D01G003300;TraesCS6B01G233400;TraesCS1B01G091900;TraesCS6D01G112200;TraesCS2D01G550700;TraesCS2D01G382400;TraesCS4A01G207800;TraesCS3B01G395900;TraesCS3A01G237800;TraesCS2B01G594700;TraesCS4D01G268400;TraesCS1B01G404000;TraesCS4B01G328400;TraesCS7D01G276600;TraesCS2D01G409500;TraesCS2B01G580300;TraesCS6A01G122000;TraesCS4A01G075600;TraesCS2B01G536500;TraesCS3B01G141500;TraesCS5D01G477100;TraesCS2D01G222000;TraesCS6B01G231000;TraesCS6B01G237900;TraesCS7B01G333700;TraesCS2B01G117500;TraesCS2B01G096000;TraesCS3D01G104000;TraesCS7B01G356800;TraesCS7B01G071100;TraesCS3A01G109500;TraesCS1D01G283900;TraesCS5B01G455500;TraesCS3B01G474400;TraesCS4A01G071100;TraesCS3A01G261800;TraesCS2B01G242500;TraesCS2D01G383400;TraesCS2D01G025500;TraesCS4A01G017400;TraesCS6B01G083500;TraesCS3B01G038900;TraesCS2D01G564900;TraesCS1B01G376000;TraesCS2A01G386700;TraesCS2B01G304800;TraesCS4B01G197500;TraesCS3A01G040800;TraesCS1A01G266100;TraesCS3B01G526700;TraesCS4A01G240900;TraesCS4B01G092500;TraesCS2B01G594900;TraesCS3A01G085700;TraesCS6B01G238900;TraesCS1A01G095800;TraesCS6D01G191500;TraesCS6B01G226700;TraesCS3A01G016500;TraesCS3D01G320700;TraesCS3D01G085800;TraesCS2D01G013300;TraesCS4A01G187200;TraesCS6B01G227900;TraesCS4D01G227700;TraesCS2B01G394700;TraesCS2D01G550600;TraesCS4D01G202300;TraesCS2A01G590900;TraesCS2A01G217200;TraesCS2B01G208900;TraesCS5D01G342000;TraesCS3A01G124700;TraesCS2D01G509400;TraesCS1B01G083100;TraesCS2A01G211900;TraesCS2A01G588700;TraesCS4B01G092400;TraesCS7A01G259100;TraesCS5D01G187700;TraesCS6D01G281100;TraesCS6B01G238000;TraesCS6D01G191400;TraesCS2D01G349400;TraesCS6B01G186700;TraesCS7D01G463700;TraesCS6B01G226000;TraesCS5D01G218400;TraesCS6B01G233800;TraesCS5D01G025500;TraesCS6B01G239100;TraesCS7A01G160600;TraesCS2A01G412300;TraesCS1D01G090000;TraesCS4D01G326400;TraesCS2B01G219900;TraesCS3A01G034800;TraesCS6B01G230300;TraesCS4D01G142000;TraesCS1A01G273600;TraesCS3D01G072700;TraesCS2A01G350900;TraesCS5B01G187000;TraesCS7D01G516100;TraesCS7B01G326100;TraesCS6A01G332100;TraesCS2A01G212900;TraesCS6B01G229200;TraesCS5A01G160800;TraesCS7A01G042200;TraesCS6B01G231400;TraesCS1A01G203600;TraesCS7B01G444800;TraesCS2D01G019600;TraesCS2B01G241400;TraesCS7A01G460900;TraesCS2B01G224000;TraesCS3A01G226400;TraesCS6B01G239000;TraesCS6A01G276300;TraesCS3B01G310000;TraesCS5A01G365800;TraesCS7D01G313500;TraesCS7D01G189700;TraesCS4B01G227000;TraesCS1D01G056500;TraesCS2A01G588900;TraesCS4B01G343100;TraesCS1B01G006500;TraesCS6A01G074900;TraesCS2A01G467000;TraesCS6B01G230200;TraesCS4D01G350500;TraesCS5D01G059300;TraesCS6A01G168900;TraesCS3B01G266200;TraesCS5A01G196800;TraesCS1D01G344700;TraesCS2A01G350800;TraesCS3B01G084000;TraesCS4A01G474800;TraesCS1D01G412300;TraesCS7A01G492400;TraesCS6B01G226200;TraesCS3A01G064400;TraesCS2B01G398200;TraesCS6B01G235900;TraesCS5D01G321100;TraesCS1D01G402500;TraesCS4B01G231400;TraesCS4B01G172700;TraesCS3A01G122300;TraesCS3A01G348300;TraesCS6B01G232400;TraesCS3D01G036700;TraesCS4A01G186500;TraesCS2D01G039400;TraesCS4D01G136600;TraesCS5B01G315700;TraesCS1D01G013800;TraesCS3D01G478000;TraesCS2A01G350700;TraesCS1B01G107600;TraesCS1D01G076200;TraesCS4A01G244200;TraesCS6B01G231200;TraesCS3A01G406000;TraesCS5D01G061700;TraesCS3B01G569900;TraesCS3D01G276200;TraesCS2A01G588300;TraesCSU01G044100;TraesCS7D01G374700;TraesCS1A01G168100;TraesCS5D01G565300;TraesCS7B01G362800;TraesCS7B01G093800;TraesCS2B01G240800;TraesCS5A01G213600;TraesCS6D01G048900;TraesCS3B01G086900;TraesCS3B01G526000;TraesCS1D01G082200;TraesCS6B01G224900;TraesCS2B01G318600;TraesCS2A01G216400;TraesCS6B01G362900;TraesCS5B01G284400;TraesCS5D01G408200;TraesCS3A01G056300;TraesCS4D01G242100;TraesCS3D01G501400;TraesCS1B01G133400;TraesCS2B01G241900;TraesCS6D01G242000;TraesCS4D01G089200;TraesCS7A01G487400;TraesCS1A01G073300;TraesCS1B01G251700;TraesCS5A01G464500;TraesCS2A01G532600;TraesCS5D01G019100;TraesCS1A01G235000;TraesCS2A01G182400;TraesCS1A01G072100;TraesCS7A01G549300;TraesCS2D01G539100;TraesCS4D01G285300;TraesCS2A01G214000;TraesCS2A01G216300;TraesCS7D01G318900;TraesCS4A01G384600;TraesCS4B01G356800;TraesCS2B01G398300;TraesCS3B01G544700;TraesCS6B01G227300;TraesCS1A01G312400;TraesCS6B01G229600;TraesCS3D01G230200;TraesCS2B01G241800;TraesCS2A01G592700;TraesCS7A01G537200;TraesCS4A01G171500;TraesCS5A01G048600;TraesCS2D01G402000;TraesCS7D01G199900;TraesCS6B01G041200;TraesCS1A01G113300;TraesCS7B01G420700;TraesCS2D01G190200;TraesCS3A01G034700;TraesCS6A01G266100;TraesCS3A01G483100;TraesCS5D01G150500;TraesCS7D01G524300;TraesCS2B01G341400;TraesCS1D01G114600;TraesCS4D01G174700;TraesCSU01G008200;TraesCS2D01G348800;TraesCS3A01G148300;TraesCS4D01G023500;TraesCS7D01G037700;TraesCS3D01G097000;TraesCS6B01G415100;TraesCS6D01G396900;TraesCS6B01G230600;TraesCS4D01G325400;TraesCS5A01G004800;TraesCS5A01G210300;TraesCS7B01G335500;TraesCS6B01G217200;TraesCS4B01G007400;TraesCS2D01G509500;TraesCS3B01G356700;TraesCS4D01G008200;TraesCS6B01G231700;TraesCS6B01G303800;TraesCS3B01G052600;TraesCS2A01G253600;TraesCS6B01G230500;TraesCS7B01G273000;TraesCS3D01G124200;TraesCS7B01G267900;TraesCS4A01G065100;TraesCS5A01G337400;TraesCS2D01G348900;TraesCS5D01G196600;TraesCS1D01G032700;TraesCS4D01G325500;TraesCS3B01G258100;TraesCS5B01G064400;TraesCS7B01G390200;TraesCS4A01G175900;TraesCS3D01G238000</t>
  </si>
  <si>
    <t>TraesCS1D01G090000</t>
  </si>
  <si>
    <t>TraesCS1D01G094200</t>
  </si>
  <si>
    <t>purine nucleotide transport</t>
  </si>
  <si>
    <t>TraesCS7A01G209800;TraesCS6B01G231800;TraesCS7D01G211700</t>
  </si>
  <si>
    <t>TraesCS4A01G066200;TraesCS4D01G068800;TraesCS3A01G300400;TraesCS4D01G243100;TraesCS4B01G095200;TraesCS6B01G236600;TraesCS7A01G209800;TraesCS7A01G230200;TraesCS4D01G027900;TraesCS7D01G211700;TraesCS4A01G283100;TraesCS4D01G092000;TraesCS1B01G037000;TraesCS1A01G239300;TraesCS4A01G130300;TraesCSU01G003900;TraesCS4D01G176300;TraesCS1D01G030400;TraesCS3B01G336100;TraesCS5B01G355700;TraesCS1A01G380900;TraesCS1D01G032700;TraesCS5A01G501500;TraesCS3A01G362500;TraesCS6B01G199700;TraesCS1A01G312300;TraesCS3B01G485100</t>
  </si>
  <si>
    <t>TraesCS7B01G286100;TraesCS5D01G477100;TraesCS5A01G464500;TraesCS5B01G476000</t>
  </si>
  <si>
    <t>positive regulation of flavonoid biosynthetic process</t>
  </si>
  <si>
    <t>TraesCS4D01G176300;TraesCS3A01G310200;TraesCS7B01G136000</t>
  </si>
  <si>
    <t>purine nucleotide transmembrane transporter activity</t>
  </si>
  <si>
    <t>adenine nucleotide transmembrane transporter activity</t>
  </si>
  <si>
    <t>TraesCS1D01G189100</t>
  </si>
  <si>
    <t>purine ribonucleotide transmembrane transporter activity</t>
  </si>
  <si>
    <t>TraesCS2B01G451700;TraesCS3B01G366800;TraesCS2B01G208900;TraesCS5D01G361600;TraesCS1D01G035600;TraesCS2B01G182700;TraesCS7D01G374700;TraesCS2A01G205500;TraesCS3B01G350500;TraesCS7B01G362800;TraesCS5D01G349600;TraesCS6B01G228600;TraesCS6B01G236100;TraesCS7A01G209800;TraesCS3B01G413200;TraesCS4D01G027900;TraesCS6B01G238000;TraesCS6D01G191400;TraesCS3B01G086900;TraesCS4D01G262900;TraesCS5A01G526000;TraesCS2B01G446100;TraesCS7A01G085900;TraesCS2D01G348600;TraesCS1D01G261400;TraesCS4D01G063200;TraesCS5B01G284400;TraesCS5A01G004600;TraesCS6B01G227000;TraesCS6B01G229300;TraesCS2A01G438200;TraesCS2B01G243000;TraesCS1A01G312300;TraesCS2B01G241900;TraesCS1B01G091900;TraesCS5B01G219600;TraesCS7D01G080400;TraesCS5A01G342900;TraesCS4A01G207800;TraesCS5B01G526200;TraesCS4D01G326400;TraesCS4A01G033600;TraesCS1A01G197200;TraesCS2A01G259500;TraesCS2D01G106400;TraesCS4A01G130300;TraesCS3B01G120300;TraesCS2B01G177600;TraesCS3B01G336100;TraesCS1A01G380900;TraesCS2A01G216300;TraesCS3A01G102800;TraesCS5A01G501500;TraesCS4A01G384600;TraesCS2B01G536500;TraesCS7D01G339700;TraesCS3D01G328900;TraesCS5D01G564000;TraesCS3D01G439200;TraesCS5A01G220400;TraesCS7D01G478800;TraesCS3B01G163900;TraesCS5D01G488500;TraesCS4B01G174300;TraesCS5B01G255800;TraesCS2B01G241400;TraesCS1A01G343000;TraesCS3A01G226400;TraesCS6B01G240900;TraesCS6A01G276300;TraesCS1A01G073200;TraesCS4D01G068800;TraesCS6B01G225800;TraesCS7D01G189700;TraesCS6B01G231800;TraesCS2D01G318300;TraesCS6B01G225000;TraesCS1B01G190000;TraesCS4B01G095200;TraesCS2A01G593300;TraesCS6A01G168900;TraesCS4A01G283100;TraesCS4D01G092000;TraesCS6A01G271800;TraesCS1B01G037000;TraesCS2A01G406000;TraesCS2B01G242500;TraesCS1A01G239300;TraesCS1D01G076100;TraesCS1B01G092000;TraesCS3A01G148300;TraesCS7A01G492400;TraesCS5D01G347600;TraesCS1B01G216300;TraesCS4B01G243500;TraesCS5B01G099700;TraesCS3A01G362500;TraesCS2D01G002600;TraesCS6B01G199700;TraesCS5D01G228400;TraesCS5B01G383400;TraesCS4B01G271900;TraesCS4A01G066200;TraesCS7B01G398100;TraesCS6B01G303800;TraesCS3B01G052600;TraesCS4D01G243100;TraesCS4A01G384800;TraesCS4B01G106000;TraesCS4D01G136600;TraesCS7B01G273000;TraesCS5D01G437200;TraesCS7D01G211700;TraesCS2D01G402900;TraesCS3D01G105000;TraesCS6D01G191500;TraesCS6D01G172700;TraesCS2B01G282400;TraesCS2B01G423700;TraesCS2D01G264200;TraesCS4D01G176300;TraesCS5B01G193700;TraesCS1D01G030400;TraesCS1D01G032700;TraesCS4A01G042000;TraesCS5B01G431200;TraesCS4D01G325500;TraesCS5D01G236600;TraesCS2A01G083600;TraesCS1D01G076200;TraesCS5D01G389300;TraesCS6B01G229000;TraesCS3B01G328800;TraesCS5B01G064400;TraesCS5B01G236300</t>
  </si>
  <si>
    <t>TraesCS6B01G224900;TraesCS1D01G114600;TraesCS1B01G107600;TraesCS2B01G318600;TraesCS6B01G226700;TraesCS1D01G090000;TraesCS7D01G460300;TraesCS4D01G069300;TraesCS5D01G293700;TraesCS1A01G113300;TraesCS1A01G244200;TraesCS3A01G237800;TraesCS5B01G285400;TraesCS5B01G285300;TraesCS1B01G133300;TraesCS1B01G133400;TraesCS6B01G229600;TraesCS6D01G281100;TraesCS7B01G072600;TraesCS3B01G266200;TraesCS5A01G286100;TraesCS3D01G238000;TraesCS5D01G136700</t>
  </si>
  <si>
    <t>TraesCS1D01G214700</t>
  </si>
  <si>
    <t>TraesCS2B01G398200;TraesCS2B01G398300;TraesCS5A01G160800;TraesCS1A01G070400;TraesCS1A01G037800;TraesCS5B01G468300;TraesCS2D01G377400</t>
  </si>
  <si>
    <t>TraesCS4D01G068800;TraesCS1D01G030400;TraesCS3B01G336100;TraesCS5B01G355700;TraesCS1A01G380900;TraesCS3A01G300400;TraesCS7A01G209800;TraesCS7A01G230200;TraesCS3B01G485100;TraesCS7D01G211700;TraesCS1B01G037000;TraesCS1A01G239300;TraesCSU01G003900</t>
  </si>
  <si>
    <t>TraesCS1D01G255100</t>
  </si>
  <si>
    <t>heat acclimation</t>
  </si>
  <si>
    <t>TraesCS4D01G243000;TraesCS4A01G066100;TraesCS6A01G181700;TraesCS1A01G070400</t>
  </si>
  <si>
    <t>drug transmembrane transport</t>
  </si>
  <si>
    <t>TraesCS4D01G068800;TraesCS1D01G030400;TraesCS3B01G336100;TraesCS5B01G355700;TraesCS1A01G380900;TraesCS3A01G300400;TraesCS7A01G230200;TraesCS3B01G485100;TraesCS1B01G037000;TraesCSU01G003900</t>
  </si>
  <si>
    <t>TraesCS2B01G451700;TraesCS3B01G366800;TraesCS2B01G208900;TraesCS5D01G361600;TraesCS1D01G035600;TraesCS2B01G182700;TraesCS7D01G374700;TraesCS2A01G205500;TraesCS3B01G350500;TraesCS7B01G362800;TraesCS5D01G349600;TraesCS6B01G228600;TraesCS6B01G236100;TraesCS7A01G209800;TraesCS3B01G413200;TraesCS4D01G027900;TraesCS6B01G238000;TraesCS6D01G191400;TraesCS3B01G086900;TraesCS4D01G262900;TraesCS5A01G526000;TraesCS2B01G446100;TraesCS7A01G085900;TraesCS2D01G348600;TraesCS1D01G261400;TraesCS4D01G063200;TraesCS5B01G284400;TraesCS5A01G004600;TraesCS6B01G227000;TraesCS6B01G229300;TraesCS2A01G438200;TraesCS2B01G243000;TraesCS1A01G312300;TraesCS2B01G241900;TraesCS1B01G091900;TraesCS5B01G219600;TraesCS7D01G080400;TraesCS5A01G342900;TraesCS4A01G207800;TraesCS5B01G526200;TraesCS4A01G033600;TraesCS1A01G197200;TraesCS2A01G259500;TraesCS2D01G106400;TraesCS4A01G130300;TraesCS3B01G120300;TraesCS2B01G177600;TraesCS3B01G336100;TraesCS1A01G380900;TraesCS2A01G216300;TraesCS3A01G102800;TraesCS5A01G501500;TraesCS4A01G384600;TraesCS2B01G536500;TraesCS3D01G328900;TraesCS5D01G564000;TraesCS3D01G439200;TraesCS5A01G220400;TraesCS7D01G478800;TraesCS3B01G163900;TraesCS5D01G488500;TraesCS4B01G174300;TraesCS5B01G255800;TraesCS2B01G241400;TraesCS1A01G343000;TraesCS3A01G226400;TraesCS6B01G240900;TraesCS6A01G276300;TraesCS1A01G073200;TraesCS4D01G068800;TraesCS6B01G225800;TraesCS7D01G189700;TraesCS6B01G231800;TraesCS2D01G318300;TraesCS6B01G225000;TraesCS1B01G190000;TraesCS4B01G095200;TraesCS2A01G593300;TraesCS6A01G168900;TraesCS4A01G283100;TraesCS4D01G092000;TraesCS6A01G271800;TraesCS1B01G037000;TraesCS2A01G406000;TraesCS2B01G242500;TraesCS1A01G239300;TraesCS1D01G076100;TraesCS1B01G092000;TraesCS3A01G148300;TraesCS7A01G492400;TraesCS5D01G347600;TraesCS1B01G216300;TraesCS4B01G243500;TraesCS5B01G099700;TraesCS3A01G362500;TraesCS2D01G002600;TraesCS6B01G199700;TraesCS5D01G228400;TraesCS5B01G383400;TraesCS4B01G271900;TraesCS4A01G066200;TraesCS7B01G398100;TraesCS6B01G303800;TraesCS3B01G052600;TraesCS4D01G243100;TraesCS4A01G384800;TraesCS4B01G106000;TraesCS4D01G136600;TraesCS7B01G273000;TraesCS5D01G437200;TraesCS7D01G211700;TraesCS2D01G402900;TraesCS3D01G105000;TraesCS6D01G191500;TraesCS6D01G172700;TraesCS2B01G282400;TraesCS2B01G423700;TraesCS2D01G264200;TraesCS4D01G176300;TraesCS5B01G193700;TraesCS1D01G030400;TraesCS1D01G032700;TraesCS4A01G042000;TraesCS5B01G431200;TraesCS4D01G325500;TraesCS5D01G236600;TraesCS2A01G083600;TraesCS1D01G076200;TraesCS5D01G389300;TraesCS6B01G229000;TraesCS3B01G328800;TraesCS5B01G064400;TraesCS5B01G236300</t>
  </si>
  <si>
    <t>sucrose-phosphate phosphatase activity</t>
  </si>
  <si>
    <t>TraesCS1B01G107600;TraesCS1D01G090000</t>
  </si>
  <si>
    <t>TraesCS1D01G283900</t>
  </si>
  <si>
    <t>TraesCS3A01G044100;TraesCS1A01G383900;TraesCS3A01G124700;TraesCS2B01G369100;TraesCS7A01G259100;TraesCS2D01G349000;TraesCS5A01G213600;TraesCSU01G020500;TraesCS1B01G090700;TraesCS2D01G349400;TraesCS2A01G350800;TraesCS7D01G440000;TraesCS4A01G017400;TraesCS4D01G174700;TraesCS2D01G348800;TraesCS7B01G493700;TraesCS5D01G183700;TraesCS2D01G377500;TraesCS4D01G325400;TraesCS2B01G398200;TraesCS5D01G408200;TraesCS5D01G218400;TraesCS4B01G172700;TraesCS6B01G231700;TraesCS7B01G136000;TraesCS3D01G036700;TraesCS2B01G369000;TraesCS2D01G033100;TraesCS4D01G142000;TraesCS4B01G328400;TraesCS2A01G350700;TraesCS2A01G350900;TraesCS2D01G218700;TraesCS2D01G348900;TraesCS4D01G285300;TraesCS4D01G325500;TraesCS5B01G468300;TraesCS3B01G258100;TraesCS2A01G212900;TraesCS2D01G377400;TraesCS3D01G467600;TraesCS6B01G231000;TraesCS2B01G398300;TraesCS5A01G160800;TraesCS1A01G312400;TraesCS1A01G203600;TraesCS2B01G117500;TraesCS1A01G037800;TraesCS2B01G224000;TraesCS3A01G226400</t>
  </si>
  <si>
    <t>TraesCS1D01G356300</t>
  </si>
  <si>
    <t>TraesCS7B01G325900;TraesCS2A01G217200;TraesCS2B01G208900;TraesCS6B01G116600;TraesCS1A01G383900;TraesCS2D01G509400;TraesCS2A01G211900;TraesCS4B01G092400;TraesCS5D01G187700;TraesCS4A01G491600;TraesCS6B01G230400;TraesCS4D01G027900;TraesCS6D01G191400;TraesCSU01G097600;TraesCS3D01G452300;TraesCS6D01G166100;TraesCS1D01G005400;TraesCS7D01G463700;TraesCS6B01G226000;TraesCS7A01G391100;TraesCS2B01G243000;TraesCS6B01G233800;TraesCS5D01G302000;TraesCS3A01G276200;TraesCS3D01G049000;TraesCS6B01G237600;TraesCS5D01G025500;TraesCS6D01G360900;TraesCS1B01G339100;TraesCS6B01G225700;TraesCSU01G009400;TraesCS5B01G526200;TraesCS6D01G402500;TraesCS5D01G499400;TraesCS2A01G503800;TraesCS3A01G034800;TraesCS2B01G565300;TraesCS1A01G273600;TraesCS7B01G378300;TraesCS3D01G072700;TraesCS3A01G049600;TraesCS2B01G477600;TraesCS1B01G439200;TraesCS7B01G326100;TraesCS7A01G042200;TraesCS6B01G231400;TraesCS2D01G019600;TraesCS2B01G241400;TraesCS7A01G460900;TraesCS1A01G343000;TraesCS3A01G096500;TraesCS1B01G355700;TraesCS6A01G276300;TraesCS3B01G310000;TraesCS4A01G177600;TraesCS2D01G217600;TraesCS6B01G225800;TraesCS7D01G313500;TraesCS3A01G287000;TraesCS7A01G359300;TraesCS4B01G343100;TraesCS4D01G243000;TraesCS1B01G006500;TraesCS3A01G230900;TraesCS3B01G321300;TraesCS3D01G500800;TraesCS4A01G331100;TraesCS6B01G238600;TraesCS5D01G059300;TraesCS6A01G168900;TraesCS4A01G283100;TraesCS1D01G344700;TraesCS3B01G084000;TraesCS7A01G226500;TraesCS4A01G474800;TraesCS7B01G292700;TraesCS4A01G216900;TraesCS4A01G445500;TraesCS6B01G226200;TraesCS3A01G064400;TraesCS3A01G362500;TraesCS2D01G002600;TraesCS3B01G032400;TraesCS6B01G235900;TraesCS7A01G069600;TraesCS1A01G309500;TraesCS3A01G122300;TraesCS6B01G232400;TraesCS2D01G039400;TraesCS4B01G106000;TraesCS1D01G013800;TraesCS1D01G271500;TraesCS1D01G076200;TraesCS6B01G212700;TraesCS2B01G100200;TraesCS6B01G231200;TraesCS1A01G362900;TraesCS5D01G061700;TraesCS7D01G436600;TraesCS3B01G569900;TraesCS3D01G276200;TraesCS7D01G124900;TraesCS4A01G066100;TraesCSU01G044100;TraesCS2D01G223000;TraesCS7D01G374700;TraesCS7B01G362800;TraesCS7D01G461900;TraesCS2B01G240800;TraesCS5D01G452500;TraesCS3B01G086900;TraesCS1D01G082200;TraesCS2A01G216400;TraesCS2B01G536600;TraesCS2A01G525300;TraesCS5B01G284400;TraesCS3A01G056300;TraesCS2D01G013200;TraesCS3D01G501400;TraesCS1A01G312300;TraesCS4D01G003300;TraesCS2B01G241900;TraesCS1B01G091900;TraesCS6D01G112200;TraesCS6D01G242000;TraesCS4D01G089200;TraesCS1A01G073300;TraesCS4A01G207800;TraesCS1D01G356300;TraesCS1B01G251700;TraesCS6A01G178500;TraesCS2A01G532600;TraesCS4D01G268400;TraesCS4D01G134900;TraesCS2A01G182400;TraesCS4A01G130300;TraesCS4B01G328400;TraesCS3D01G032300;TraesCS2D01G539100;TraesCS2A01G214000;TraesCS6A01G122000;TraesCS2A01G216300;TraesCS4B01G140200;TraesCS4A01G384600;TraesCS2B01G536500;TraesCS3B01G141500;TraesCS2D01G222000;TraesCS5D01G564000;TraesCS6B01G231000;TraesCS3B01G544700;TraesCS7B01G333700;TraesCS2B01G241800;TraesCS4B01G174300;TraesCS2B01G096000;TraesCS3D01G104000;TraesCS7B01G356800;TraesCS7D01G386600;TraesCS4A01G171500;TraesCS5A01G048600;TraesCS7B01G071100;TraesCS1B01G368200;TraesCS1D01G356400;TraesCS4A01G389600;TraesCS4B01G095200;TraesCS2D01G190200;TraesCS3A01G034700;TraesCS5B01G449500;TraesCS5B01G455500;TraesCS3B01G474400;TraesCS3A01G261800;TraesCS4D01G092000;TraesCS2B01G242500;TraesCS2D01G025500;TraesCSU01G008200;TraesCS3A01G148300;TraesCS7D01G037700;TraesCS3D01G097000;TraesCS6B01G415100;TraesCS6D01G396900;TraesCS3B01G038900;TraesCS6B01G199700;TraesCS1B01G376000;TraesCS5A01G409700;TraesCS5A01G210300;TraesCS4B01G007400;TraesCS2D01G509500;TraesCS4A01G389700;TraesCS6B01G303800;TraesCS4B01G092500;TraesCS3B01G052600;TraesCS4A01G384800;TraesCS6B01G238900;TraesCS7B01G273000;TraesCS6B01G205900;TraesCS3D01G124200;TraesCS6D01G191500;TraesCS7B01G267900;TraesCS4D01G176300;TraesCS3A01G016500;TraesCS4D01G325500;TraesCS2D01G013300;TraesCS5B01G064400;TraesCS2B01G394700;TraesCS4D01G202300</t>
  </si>
  <si>
    <t>TraesCS1D01G356400</t>
  </si>
  <si>
    <t>regulation of flavonoid biosynthetic process</t>
  </si>
  <si>
    <t>TraesCS1D01G394500</t>
  </si>
  <si>
    <t>TraesCS4A01G066200;TraesCS2B01G423700;TraesCS4D01G176300;TraesCS3B01G532300;TraesCS5A01G501500;TraesCS6B01G231800;TraesCS5D01G183700;TraesCS4D01G243100;TraesCS4B01G095200;TraesCS6B01G236600;TraesCS7D01G211700;TraesCS4B01G174300;TraesCS4D01G092000;TraesCS2A01G406000;TraesCS4A01G130300;TraesCS2B01G336100</t>
  </si>
  <si>
    <t>TraesCS1D01G403100</t>
  </si>
  <si>
    <t>TraesCS7D01G440000;TraesCS2D01G218700;TraesCS5B01G468300;TraesCS5D01G183700;TraesCS2D01G377500;TraesCS2A01G212900;TraesCS2D01G377400;TraesCS2B01G398200;TraesCS7A01G259100;TraesCS2B01G398300;TraesCS5A01G160800;TraesCS1A01G037800;TraesCS2B01G224000</t>
  </si>
  <si>
    <t>TraesCS1D01G403300</t>
  </si>
  <si>
    <t>nucleotide transmembrane transporter activity</t>
  </si>
  <si>
    <t>TraesCS3A01G044100;TraesCS1A01G383900;TraesCS3A01G124700;TraesCS2B01G369100;TraesCS7A01G259100;TraesCS2A01G467000;TraesCS2D01G349000;TraesCS5A01G213600;TraesCSU01G020500;TraesCS1B01G090700;TraesCS2D01G349400;TraesCS2A01G350800;TraesCS7D01G440000;TraesCS2B01G125300;TraesCS2A01G107800;TraesCS2D01G348800;TraesCS2A01G107600;TraesCS7A01G262000;TraesCS7B01G493700;TraesCS5D01G183700;TraesCS2D01G377500;TraesCS4D01G325400;TraesCS2B01G398200;TraesCS5D01G408200;TraesCS5D01G218400;TraesCS6B01G231700;TraesCS4D01G326400;TraesCS2B01G124800;TraesCS3D01G036700;TraesCS2B01G369000;TraesCS2D01G033100;TraesCS3B01G354000;TraesCS4B01G328400;TraesCS2A01G350700;TraesCS2A01G350900;TraesCS2D01G218700;TraesCS2D01G348900;TraesCS4D01G325500;TraesCS5B01G468300;TraesCS3B01G258100;TraesCS2A01G212900;TraesCS2D01G377400;TraesCS6B01G231000;TraesCS2B01G398300;TraesCS5A01G160800;TraesCS1A01G203600;TraesCS2B01G117500;TraesCS1A01G037800;TraesCS2B01G224000;TraesCS3A01G226400</t>
  </si>
  <si>
    <t>TraesCS1D01G452600</t>
  </si>
  <si>
    <t>aldehyde dehydrogenase (NAD) activity</t>
  </si>
  <si>
    <t>TraesCS5D01G218400;TraesCS5A01G213600</t>
  </si>
  <si>
    <t>organophosphate ester transmembrane transporter activity</t>
  </si>
  <si>
    <t>TraesCS7D01G440000;TraesCS6B01G383800;TraesCS2B01G208900;TraesCS7A01G229400;TraesCS4D01G238600;TraesCS5D01G183700;TraesCS4B01G237300;TraesCS4B01G095200;TraesCS6B01G233400;TraesCS1A01G070400;TraesCS3A01G209800;TraesCS4B01G197500;TraesCS6B01G383200;TraesCS4D01G092000;TraesCS7B01G335500;TraesCS2B01G336100</t>
  </si>
  <si>
    <t>TraesCS2A01G026800</t>
  </si>
  <si>
    <t>TraesCS1D01G114600;TraesCS2B01G318600;TraesCS6B01G226700;TraesCS1B01G133300;TraesCS1B01G133400;TraesCS7B01G072600;TraesCS1A01G113300</t>
  </si>
  <si>
    <t>TraesCS6D01G215000;TraesCS2A01G467000;TraesCS7A01G492400;TraesCS1D01G162000;TraesCS1B01G182000</t>
  </si>
  <si>
    <t>TraesCS2B01G423700;TraesCS7D01G440000;TraesCS2B01G208900;TraesCS7A01G492400;TraesCS7D01G318900;TraesCS4D01G238600;TraesCS4B01G237300;TraesCS5D01G218400;TraesCS7D01G478800;TraesCS1A01G070400;TraesCS3A01G209800;TraesCS5A01G213600;TraesCS2A01G592700;TraesCS2A01G406000;TraesCS6B01G240900</t>
  </si>
  <si>
    <t>TraesCS2A01G083600</t>
  </si>
  <si>
    <t>response to drug</t>
  </si>
  <si>
    <t>TraesCS4D01G068800;TraesCS1D01G030400;TraesCS2B01G208900;TraesCS3B01G336100;TraesCS5B01G355700;TraesCS1A01G380900;TraesCS3A01G300400;TraesCS4D01G238600;TraesCS4B01G237300;TraesCS1A01G070400;TraesCS7A01G230200;TraesCS3B01G485100;TraesCS7D01G211700;TraesCS1B01G037000;TraesCSU01G003900</t>
  </si>
  <si>
    <t>TraesCS2A01G101800</t>
  </si>
  <si>
    <t>'de novo' pyrimidine nucleobase biosynthetic process</t>
  </si>
  <si>
    <t>TraesCS2A01G107500</t>
  </si>
  <si>
    <t>sucrose biosynthetic process</t>
  </si>
  <si>
    <t>TraesCS7D01G440000;TraesCS2B01G208900;TraesCS7A01G492400;TraesCS7D01G318900;TraesCS4D01G238600;TraesCS4B01G237300;TraesCS5D01G218400;TraesCS7D01G478800;TraesCS1A01G070400;TraesCS3A01G209800;TraesCS5A01G213600;TraesCS2A01G592700;TraesCS6B01G240900</t>
  </si>
  <si>
    <t>TraesCS2A01G123000</t>
  </si>
  <si>
    <t>TraesCS6D01G033000;TraesCS7B01G325900;TraesCS2A01G217200;TraesCS2B01G208900;TraesCS6B01G225600;TraesCS1A01G383900;TraesCS2D01G509400;TraesCS2A01G211900;TraesCS4B01G092400;TraesCS5D01G187700;TraesCS4A01G491600;TraesCS1A01G070400;TraesCS6B01G238000;TraesCS6D01G191400;TraesCS3D01G452300;TraesCS5A01G526000;TraesCS7D01G463700;TraesCS6B01G226000;TraesCS3B01G481300;TraesCS2B01G243000;TraesCS6B01G233800;TraesCS5D01G302000;TraesCS3A01G276200;TraesCS3D01G049000;TraesCS6B01G237600;TraesCS5D01G025500;TraesCS6D01G360900;TraesCS6B01G225700;TraesCSU01G009400;TraesCS5B01G526200;TraesCS2A01G412300;TraesCS2A01G503800;TraesCS2B01G219900;TraesCS3A01G034800;TraesCS6B01G230300;TraesCS2B01G565300;TraesCS1A01G273600;TraesCS7B01G378300;TraesCS3D01G072700;TraesCS5B01G187000;TraesCS3A01G049600;TraesCS7D01G516100;TraesCS2B01G477600;TraesCS7B01G326100;TraesCS3D01G467600;TraesCS5D01G375500;TraesCS6B01G229200;TraesCS7A01G042200;TraesCS2B01G404200;TraesCS6B01G231400;TraesCS7B01G444800;TraesCS2D01G019600;TraesCS2B01G241400;TraesCS7A01G460900;TraesCS3A01G096500;TraesCS1B01G355700;TraesCS6A01G276300;TraesCS3B01G310000;TraesCS5A01G365800;TraesCS2D01G217600;TraesCS6B01G225800;TraesCS7D01G189700;TraesCS6B01G370100;TraesCS3B01G597800;TraesCS7A01G359300;TraesCS4B01G343100;TraesCS1B01G006500;TraesCS3D01G500800;TraesCS6A01G074900;TraesCS6B01G238600;TraesCS5D01G059300;TraesCS6A01G168900;TraesCS3B01G266200;TraesCS5A01G196800;TraesCS1D01G344700;TraesCS3B01G084000;TraesCS4A01G474800;TraesCS1D01G412300;TraesCS4A01G241700;TraesCS4A01G445500;TraesCS6B01G226200;TraesCS3A01G064400;TraesCS2D01G002600;TraesCS3B01G032400;TraesCS6D01G215000;TraesCS3D01G039400;TraesCS3A01G446200;TraesCS3A01G122300;TraesCS3B01G597900;TraesCS6B01G232400;TraesCS2D01G039400;TraesCS4B01G106000;TraesCS4D01G136600;TraesCS4A01G249200;TraesCS1D01G013800;TraesCS3D01G534200;TraesCS1D01G271500;TraesCS1D01G076200;TraesCS6B01G212700;TraesCS4A01G244200;TraesCS6B01G231200;TraesCS1A01G362900;TraesCS5D01G061700;TraesCS3D01G039300;TraesCS3B01G569900;TraesCS3D01G276200;TraesCS7D01G124900;TraesCS6B01G410400;TraesCSU01G044100;TraesCS2D01G223000;TraesCS7D01G374700;TraesCS1A01G168100;TraesCS7B01G362800;TraesCS7D01G461900;TraesCS2B01G240800;TraesCS3B01G086900;TraesCS1D01G082200;TraesCS6B01G224900;TraesCS2A01G216400;TraesCS2B01G536600;TraesCS2A01G525300;TraesCS5B01G284400;TraesCS3A01G056300;TraesCS3A01G528800;TraesCS2D01G013200;TraesCS3D01G501400;TraesCS4D01G003300;TraesCS2B01G241900;TraesCS1B01G091900;TraesCS6D01G112200;TraesCS6D01G242000;TraesCS2D01G382400;TraesCS4D01G089200;TraesCS1A01G073300;TraesCS4A01G207800;TraesCS1B01G251700;TraesCS3A01G237800;TraesCS2A01G532600;TraesCS1A01G235000;TraesCS2A01G182400;TraesCS4B01G328400;TraesCS2D01G539100;TraesCS2A01G214000;TraesCS2D01G409500;TraesCS6A01G122000;TraesCS2A01G216300;TraesCS4A01G384600;TraesCS2B01G536500;TraesCS3B01G141500;TraesCS2D01G222000;TraesCS6B01G231000;TraesCS3B01G544700;TraesCS6B01G227300;TraesCS6B01G229600;TraesCS7B01G333700;TraesCS2B01G241800;TraesCS7A01G537200;TraesCS2B01G096000;TraesCS3D01G104000;TraesCS7B01G356800;TraesCS4A01G171500;TraesCS5A01G048600;TraesCS7B01G071100;TraesCS6B01G041200;TraesCS7B01G420700;TraesCS2D01G190200;TraesCS3A01G034700;TraesCS5B01G455500;TraesCS3B01G474400;TraesCS3A01G261800;TraesCS2B01G242500;TraesCS2D01G383400;TraesCS2D01G025500;TraesCS7D01G524300;TraesCSU01G008200;TraesCS3A01G148300;TraesCS7D01G037700;TraesCS3D01G097000;TraesCS6B01G415100;TraesCS6D01G396900;TraesCS3B01G038900;TraesCS1B01G376000;TraesCS2A01G386700;TraesCS3A01G040800;TraesCS5A01G210300;TraesCS4B01G007400;TraesCS2D01G509500;TraesCS3B01G356700;TraesCS6B01G231700;TraesCS6B01G303800;TraesCS4B01G092500;TraesCS3B01G052600;TraesCS2A01G253600;TraesCS6B01G238900;TraesCS7B01G273000;TraesCS1A01G095800;TraesCS3D01G124200;TraesCS6D01G191500;TraesCS7B01G267900;TraesCS5D01G196600;TraesCS3A01G016500;TraesCS4D01G325500;TraesCS3D01G320700;TraesCS2D01G013300;TraesCS5B01G064400;TraesCS2B01G394700;TraesCS3D01G238000;TraesCS4D01G202300</t>
  </si>
  <si>
    <t>TraesCS2D01G028600;TraesCS2B01G040000;TraesCS7B01G297700;TraesCS2D01G481600;TraesCS6B01G353200;TraesCS3A01G109500;TraesCS7B01G253600;TraesCS4D01G232700;TraesCS2B01G414800;TraesCS5D01G460700;TraesCS2D01G309500;TraesCS4D01G270000;TraesCS2A01G482000;TraesCS3B01G380600;TraesCS5B01G315700;TraesCS6B01G238500;TraesCS2B01G284300;TraesCS3D01G514300;TraesCS2A01G052600;TraesCS2A01G467700;TraesCS4B01G270800;TraesCS7D01G368700;TraesCS7A01G354000;TraesCS7D01G440000;TraesCS2B01G066800;TraesCS5B01G439400;TraesCS5A01G261400;TraesCS4A01G075600;TraesCS3B01G128700;TraesCS7B01G273600;TraesCS7D01G391400;TraesCS6B01G302400;TraesCS7A01G395700;TraesCS5B01G366800;TraesCS5D01G321100;TraesCS1A01G312400;TraesCS6A01G381700;TraesCS4B01G231400;TraesCS3B01G353000</t>
  </si>
  <si>
    <t>TraesCS2B01G423700;TraesCS2B01G208900;TraesCS1A01G070400;TraesCS4A01G249200;TraesCS2A01G406000</t>
  </si>
  <si>
    <t>TraesCS2A01G152200</t>
  </si>
  <si>
    <t>TraesCS2B01G445300;TraesCS7B01G440900;TraesCS2D01G509400;TraesCS4A01G491600;TraesCS4A01G429100;TraesCS4D01G027900;TraesCS2A01G469900;TraesCS5A01G360700;TraesCS6B01G438800;TraesCS1A01G395100;TraesCS2A01G107800;TraesCS7A01G175400;TraesCS4A01G109200;TraesCS7B01G253300;TraesCS5A01G004600;TraesCS3D01G061900;TraesCS3A01G061600;TraesCS1B01G001700;TraesCS7B01G350200;TraesCS3A01G113700;TraesCS5D01G233700;TraesCS3A01G153000;TraesCS3D01G136900;TraesCS2B01G279200;TraesCS1D01G090000;TraesCS3B01G421000;TraesCS1D01G403100;TraesCS2A01G546600;TraesCS4A01G276100;TraesCS7B01G136000;TraesCS4A01G033600;TraesCS2A01G211800;TraesCS5B01G237600;TraesCS5A01G360600;TraesCS2D01G396300;TraesCS7B01G286100;TraesCS7A01G381200;TraesCS2B01G177600;TraesCS7D01G142000;TraesCS7D01G438700;TraesCS5D01G238700;TraesCS5D01G012300;TraesCS5A01G239000;TraesCS2A01G013400;TraesCS6B01G229200;TraesCS1A01G394900;TraesCS3A01G136100;TraesCS5A01G004700;TraesCS6B01G231400;TraesCS3B01G485000;TraesCS5D01G488500;TraesCS5D01G136700;TraesCS7B01G092300;TraesCS3B01G597000;TraesCS6B01G225000;TraesCS1B01G251600;TraesCS2A01G467000;TraesCS5D01G464000;TraesCS3B01G266200;TraesCS4A01G283100;TraesCS7A01G085700;TraesCS5D01G012200;TraesCS2A01G107600;TraesCS5D01G183700;TraesCS2D01G002600;TraesCSU01G048500;TraesCS5B01G366800;TraesCS2A01G026800;TraesCS4B01G172700;TraesCS4B01G374300;TraesCS5D01G487900;TraesCS5A01G513000;TraesCS7B01G441100;TraesCS6D01G382800;TraesCS4A01G249200;TraesCS6B01G238500;TraesCS3B01G354000;TraesCS5B01G363300;TraesCS5D01G012100;TraesCS1B01G107600;TraesCS3A01G062200;TraesCS4B01G312300;TraesCS6D01G038500;TraesCS4A01G244200;TraesCS5A01G004500;TraesCSU01G048600;TraesCS7B01G293100;TraesCS7A01G277500;TraesCS5A01G382800;TraesCS2B01G040100;TraesCS4A01G278900;TraesCS2A01G152200;TraesCS5D01G293700;TraesCS5D01G324300;TraesCS2A01G425800;TraesCS2B01G416700;TraesCS2D01G423700;TraesCS5A01G303400;TraesCS5B01G476000;TraesCS5D01G012000;TraesCS6B01G224900;TraesCS2B01G446100;TraesCS5B01G303800;TraesCS4D01G195700;TraesCS2B01G536600;TraesCS7A01G262000;TraesCS1D01G189100;TraesCS2D01G021500;TraesCS3B01G596800;TraesCS4B01G237300;TraesCS6B01G231100;TraesCS2A01G438200;TraesCS3D01G305300;TraesCS4D01G242100;TraesCSU01G031600;TraesCS1A01G312300;TraesCS6D01G242000;TraesCS7D01G080400;TraesCS7B01G354400;TraesCS1B01G423200;TraesCS6A01G033300;TraesCS5B01G224800;TraesCS5B01G488200;TraesCS5A01G464500;TraesCS3A01G237800;TraesCS6B01G236800;TraesCS6B01G236000;TraesCS1D01G239600;TraesCS7D01G347300;TraesCS4A01G130300;TraesCS3B01G166100;TraesCS7A01G549300;TraesCS6B01G230700;TraesCS2B01G536500;TraesCS5D01G477100;TraesCS3A01G387800;TraesCS3B01G154000;TraesCS4D01G032500;TraesCS4D01G309900;TraesCSU01G008700;TraesCS6B01G239400;TraesCS4B01G174300;TraesCS7A01G523800;TraesCS4D01G238600;TraesCS3D01G084600;TraesCS5B01G285300;TraesCS4A01G384700;TraesCS5B01G455500;TraesCS5D01G565100;TraesCS3B01G474400;TraesCS2B01G565800;TraesCS5A01G286100;TraesCS2B01G173500;TraesCS4B01G037600;TraesCS2B01G125300;TraesCS4D01G174700;TraesCS7B01G349100;TraesCS3B01G462000;TraesCS6B01G415100;TraesCS5B01G099700;TraesCS5D01G310500;TraesCS4D01G116700;TraesCS3D01G061700;TraesCS7D01G157300;TraesCS5A01G318000;TraesCS6B01G239300;TraesCS4B01G271900;TraesCS2A01G019400;TraesCS2D01G261100;TraesCS5A01G229000;TraesCS1D01G403300;TraesCS2D01G509500;TraesCS6B01G231700;TraesCS2B01G124800;TraesCS6D01G033100;TraesCS3D01G061500;TraesCS5B01G285400;TraesCS5D01G460700;TraesCS6D01G300600;TraesCS1A01G095800;TraesCS7D01G349400;TraesCS1A01G239400;TraesCS2A01G539600;TraesCS6D01G359300;TraesCS4A01G065100;TraesCS4D01G103300;TraesCS4D01G176300;TraesCS4A01G311000;TraesCS5D01G196600;TraesCS2D01G157300;TraesCS7A01G136500;TraesCS3A01G519000;TraesCS6B01G227100;TraesCS6B01G231600;TraesCS6B01G227900;TraesCS2B01G394700;TraesCS3B01G179600;TraesCS3D01G238000</t>
  </si>
  <si>
    <t>TraesCS2A01G157100</t>
  </si>
  <si>
    <t>TraesCS2A01G161500</t>
  </si>
  <si>
    <t>TraesCS2A01G205500</t>
  </si>
  <si>
    <t>TraesCS3D01G085800;TraesCS3A01G085700;TraesCS6D01G281100;TraesCS1B01G083100</t>
  </si>
  <si>
    <t>TraesCS2A01G216300</t>
  </si>
  <si>
    <t>TraesCS2D01G028600;TraesCS2B01G040000;TraesCS2D01G309500;TraesCS6B01G353200;TraesCS2B01G284300;TraesCS3B01G353000;TraesCS2A01G467700</t>
  </si>
  <si>
    <t>TraesCS2A01G216400</t>
  </si>
  <si>
    <t>negative regulation of biological process</t>
  </si>
  <si>
    <t>TraesCS1B01G286800;TraesCS1D01G266000;TraesCS1A01G021000;TraesCS2B01G208900;TraesCS1A01G021400;TraesCS6D01G000200;TraesCS1B01G276800;TraesCS1B01G276500;TraesCS1A01G070400;TraesCS1A01G277900;TraesCS3A01G093900;TraesCS4A01G249200;TraesCS2B01G284300;TraesCS2A01G406000;TraesCS1A01G431300;TraesCS2B01G423700;TraesCS2D01G371800;TraesCS7A01G492400;TraesCS1D01G265900;TraesCS1A01G265600;TraesCS1A01G265700;TraesCS7A01G046600;TraesCS1D01G020600;TraesCS3B01G353000;TraesCS1B01G466100;TraesCS2B01G096000</t>
  </si>
  <si>
    <t>TraesCS2A01G217200</t>
  </si>
  <si>
    <t>TraesCS2A01G253600</t>
  </si>
  <si>
    <t>TraesCS7B01G325900;TraesCS2A01G217200;TraesCS2B01G208900;TraesCS6B01G116600;TraesCS1A01G383900;TraesCS2D01G509400;TraesCS2A01G211900;TraesCS4D01G232700;TraesCS4B01G092400;TraesCS2B01G414800;TraesCS5D01G187700;TraesCS4A01G491600;TraesCS6B01G230400;TraesCS2D01G309500;TraesCS4D01G027900;TraesCS6D01G191400;TraesCSU01G097600;TraesCS3D01G452300;TraesCS6D01G166100;TraesCS1D01G005400;TraesCS7D01G463700;TraesCS5A01G261400;TraesCS6B01G226000;TraesCS7A01G391100;TraesCS2B01G243000;TraesCS6B01G233800;TraesCS5D01G302000;TraesCS3A01G276200;TraesCS3D01G049000;TraesCS6B01G237600;TraesCS5D01G025500;TraesCS6D01G360900;TraesCS1B01G339100;TraesCS6B01G225700;TraesCSU01G009400;TraesCS5B01G526200;TraesCS6D01G402500;TraesCS5D01G499400;TraesCS2A01G503800;TraesCS6B01G228100;TraesCS3A01G034800;TraesCS2B01G565300;TraesCS1A01G273600;TraesCS7B01G378300;TraesCS2A01G467700;TraesCS3D01G072700;TraesCS3A01G049600;TraesCS2B01G477600;TraesCS3B01G128700;TraesCS1B01G439200;TraesCS7B01G326100;TraesCS7A01G042200;TraesCS6B01G231400;TraesCS2D01G019600;TraesCS2B01G241400;TraesCS7A01G460900;TraesCS1A01G343000;TraesCS3A01G096500;TraesCS1B01G355700;TraesCS6A01G276300;TraesCS3B01G310000;TraesCS4A01G177600;TraesCS2D01G217600;TraesCS6B01G225800;TraesCS2D01G028600;TraesCS7D01G313500;TraesCS6B01G353200;TraesCS3A01G287000;TraesCS7A01G359300;TraesCS4B01G343100;TraesCS4D01G243000;TraesCS1B01G006500;TraesCS3A01G230900;TraesCS3B01G321300;TraesCS3D01G500800;TraesCS4A01G331100;TraesCS6B01G238600;TraesCS2B01G284300;TraesCS5D01G059300;TraesCS6A01G168900;TraesCS4A01G283100;TraesCS1D01G344700;TraesCS3B01G084000;TraesCS7A01G226500;TraesCS4A01G474800;TraesCS7B01G292700;TraesCS4A01G216900;TraesCS2B01G066800;TraesCS4A01G445500;TraesCS6B01G226200;TraesCS3A01G064400;TraesCS7B01G273600;TraesCS3A01G362500;TraesCS2D01G002600;TraesCS3B01G032400;TraesCS6B01G235900;TraesCS5B01G366800;TraesCS7A01G069600;TraesCS1A01G309500;TraesCS4B01G231400;TraesCS3B01G353000;TraesCS3A01G122300;TraesCS6B01G232400;TraesCS2D01G039400;TraesCS4B01G106000;TraesCS4D01G270000;TraesCS6B01G238500;TraesCS1D01G013800;TraesCS1D01G271500;TraesCS1D01G076200;TraesCS6B01G212700;TraesCS2B01G100200;TraesCS6B01G231200;TraesCS1A01G362900;TraesCS5D01G061700;TraesCS7D01G436600;TraesCS3B01G569900;TraesCS3D01G276200;TraesCS7D01G124900;TraesCS4A01G066100;TraesCSU01G044100;TraesCS2D01G223000;TraesCS7D01G374700;TraesCS5D01G565300;TraesCS7B01G362800;TraesCS7D01G461900;TraesCS2B01G240800;TraesCS5D01G452500;TraesCS2A01G052600;TraesCS3B01G086900;TraesCS1D01G082200;TraesCS7D01G368700;TraesCS2A01G216400;TraesCS2B01G536600;TraesCS2A01G525300;TraesCS5B01G284400;TraesCS3A01G056300;TraesCS4B01G237300;TraesCS2D01G013200;TraesCS3D01G501400;TraesCS1A01G312300;TraesCS4D01G003300;TraesCS2B01G241900;TraesCS1B01G091900;TraesCS6D01G112200;TraesCS6D01G242000;TraesCS4D01G089200;TraesCS2B01G040000;TraesCS1A01G073300;TraesCS4A01G207800;TraesCS1D01G356300;TraesCS1B01G251700;TraesCS6A01G178500;TraesCS2A01G532600;TraesCS4D01G268400;TraesCS4D01G134900;TraesCS2A01G182400;TraesCS4A01G130300;TraesCS4B01G328400;TraesCS3D01G032300;TraesCS2D01G539100;TraesCS2A01G214000;TraesCS5B01G439400;TraesCS6A01G122000;TraesCS2A01G216300;TraesCS4B01G140200;TraesCS4A01G075600;TraesCS4A01G384600;TraesCS2B01G536500;TraesCS3B01G141500;TraesCS6B01G302400;TraesCS2D01G222000;TraesCS5D01G564000;TraesCS6B01G231000;TraesCS3B01G544700;TraesCS1A01G312400;TraesCS7B01G333700;TraesCS2B01G241800;TraesCS4B01G174300;TraesCS2B01G096000;TraesCS3D01G104000;TraesCS7B01G356800;TraesCS7D01G386600;TraesCS4A01G171500;TraesCS5A01G048600;TraesCS7B01G071100;TraesCS1B01G368200;TraesCS1D01G356400;TraesCS3A01G109500;TraesCS4D01G238600;TraesCS4A01G389600;TraesCS7B01G253600;TraesCS4B01G095200;TraesCS2D01G190200;TraesCS3A01G034700;TraesCS5B01G449500;TraesCS5B01G455500;TraesCS3B01G474400;TraesCS3A01G261800;TraesCS4D01G092000;TraesCS2B01G242500;TraesCS2D01G025500;TraesCS7A01G354000;TraesCSU01G008200;TraesCS3A01G148300;TraesCS7D01G037700;TraesCS3D01G097000;TraesCS6B01G415100;TraesCS6B01G083500;TraesCS6D01G396900;TraesCS3B01G038900;TraesCS6B01G199700;TraesCS1B01G376000;TraesCS5A01G409700;TraesCS4B01G197500;TraesCS5A01G210300;TraesCS4B01G007400;TraesCS2D01G509500;TraesCS4A01G389700;TraesCS6B01G303800;TraesCS4B01G092500;TraesCS3B01G052600;TraesCS5D01G460700;TraesCS4A01G384800;TraesCS6B01G238900;TraesCS7B01G273000;TraesCS6B01G205900;TraesCS3D01G124200;TraesCS6D01G191500;TraesCS7B01G267900;TraesCS4B01G270800;TraesCS4D01G176300;TraesCS3A01G016500;TraesCS4D01G325500;TraesCS2D01G013300;TraesCS5B01G064400;TraesCS2B01G394700;TraesCS4D01G202300</t>
  </si>
  <si>
    <t>TraesCS3D01G467600;TraesCS4D01G142000;TraesCS2B01G117500;TraesCS1B01G090700;TraesCS3A01G226400;TraesCS3B01G258100</t>
  </si>
  <si>
    <t>TraesCS2B01G117500;TraesCS3A01G226400;TraesCS3B01G258100</t>
  </si>
  <si>
    <t>pyrimidine nucleobase biosynthetic process</t>
  </si>
  <si>
    <t>innate immune response</t>
  </si>
  <si>
    <t>TraesCS4B01G237300;TraesCS3B01G350500;TraesCS2B01G208900;TraesCS1A01G070400;TraesCS7A01G209800;TraesCS7D01G211700;TraesCS4D01G238600;TraesCS4D01G326400;TraesCS5D01G183700</t>
  </si>
  <si>
    <t>TraesCS4B01G095200;TraesCS4A01G384800;TraesCS6A01G074900;TraesCS4A01G331100;TraesCS6A01G178500;TraesCS5B01G449500;TraesCS6B01G205900;TraesCS4D01G027900;TraesCS5D01G452500;TraesCS4A01G283100;TraesCS4D01G092000;TraesCSU01G097600;TraesCS4A01G130300;TraesCS6D01G166100;TraesCS4D01G176300;TraesCS7B01G292700;TraesCS4A01G216900;TraesCS3A01G362500;TraesCS5D01G564000;TraesCS6B01G199700;TraesCS7A01G391100;TraesCS1A01G312300;TraesCS4B01G174300;TraesCS1A01G343000;TraesCS7D01G386600</t>
  </si>
  <si>
    <t>negative regulation of metabolic process</t>
  </si>
  <si>
    <t>immune response</t>
  </si>
  <si>
    <t>TraesCS2A01G386700</t>
  </si>
  <si>
    <t>TraesCS2A01G412300</t>
  </si>
  <si>
    <t>TraesCS2B01G398200;TraesCS2B01G398300;TraesCS1A01G070400;TraesCS1A01G037800;TraesCS5B01G468300;TraesCS7B01G136000;TraesCS2D01G377400</t>
  </si>
  <si>
    <t>TraesCS7D01G440000;TraesCS2D01G218700;TraesCS4B01G172700;TraesCS4D01G174700;TraesCS5B01G468300;TraesCS5D01G183700;TraesCS2D01G377500;TraesCS2A01G212900;TraesCS2D01G377400;TraesCS2B01G398200;TraesCS7A01G259100;TraesCS2B01G398300;TraesCS5A01G160800;TraesCS1A01G037800;TraesCS2B01G224000</t>
  </si>
  <si>
    <t>response to fungus</t>
  </si>
  <si>
    <t>TraesCS5B01G097600;TraesCS2B01G208900;TraesCS6A01G323800;TraesCS1A01G070400;TraesCS4D01G321000;TraesCS3A01G209800;TraesCS5D01G183700;TraesCS7B01G335500;TraesCS2B01G336100</t>
  </si>
  <si>
    <t>TraesCS2A01G427700</t>
  </si>
  <si>
    <t>TraesCS1A01G431300;TraesCS1D01G266100;TraesCS1D01G266000;TraesCS1A01G021000;TraesCS3B01G037000;TraesCS2D01G371800;TraesCS3D01G094200;TraesCS1A01G021400;TraesCS1D01G265900;TraesCS1D01G265800;TraesCS1A01G265900;TraesCS1A01G265600;TraesCS1A01G265700;TraesCS1B01G276900;TraesCS6D01G000200;TraesCS1D01G020600;TraesCS1B01G276800;TraesCS1B01G276500;TraesCS3A01G093900;TraesCS1B01G466100;TraesCS1D01G232800</t>
  </si>
  <si>
    <t>TraesCS2A01G438200</t>
  </si>
  <si>
    <t>positive regulation of cellular catabolic process</t>
  </si>
  <si>
    <t>TraesCS1A01G070400;TraesCS4A01G249200</t>
  </si>
  <si>
    <t>purine ribonucleotide transport</t>
  </si>
  <si>
    <t>TraesCS6B01G231800;TraesCS7D01G211700</t>
  </si>
  <si>
    <t>TraesCS2A01G467700</t>
  </si>
  <si>
    <t>proteoglycan binding</t>
  </si>
  <si>
    <t>TraesCS3A01G310200</t>
  </si>
  <si>
    <t>regulation of transcription factor catabolic process</t>
  </si>
  <si>
    <t>TraesCS4A01G249200</t>
  </si>
  <si>
    <t>positive regulation of transcription factor catabolic process</t>
  </si>
  <si>
    <t>TraesCS2A01G505000</t>
  </si>
  <si>
    <t>regulation of proanthocyanidin biosynthetic process</t>
  </si>
  <si>
    <t>TraesCS6D01G147400</t>
  </si>
  <si>
    <t>TraesCS2A01G525300</t>
  </si>
  <si>
    <t>caffeoyl-CoA O-methyltransferase activity</t>
  </si>
  <si>
    <t>TraesCS7B01G136000</t>
  </si>
  <si>
    <t>TraesCS2B01G398200;TraesCS2B01G398300;TraesCS2D01G218700;TraesCS5A01G160800;TraesCS1A01G037800;TraesCS5B01G468300;TraesCS7D01G251900;TraesCS2B01G224000;TraesCS2D01G377500;TraesCS2A01G212900;TraesCS2D01G377400</t>
  </si>
  <si>
    <t>TraesCS2A01G532600</t>
  </si>
  <si>
    <t>response to jasmonic acid</t>
  </si>
  <si>
    <t>TraesCS2B01G208900;TraesCS1A01G070400;TraesCS3A01G209800;TraesCS7B01G335500;TraesCS2B01G336100</t>
  </si>
  <si>
    <t>TraesCS2B01G445300;TraesCS7B01G440900;TraesCS2D01G509400;TraesCS4A01G491600;TraesCS4A01G429100;TraesCS4D01G027900;TraesCS2A01G469900;TraesCS5A01G360700;TraesCS6B01G438800;TraesCS1A01G395100;TraesCS2A01G107800;TraesCS7A01G175400;TraesCS4A01G109200;TraesCS7B01G253300;TraesCS5A01G004600;TraesCS3D01G061900;TraesCS3A01G061600;TraesCS1B01G001700;TraesCS7B01G350200;TraesCS3A01G113700;TraesCS5D01G233700;TraesCS3A01G153000;TraesCS3D01G136900;TraesCS2B01G279200;TraesCS1D01G090000;TraesCS3B01G421000;TraesCS1D01G403100;TraesCS2A01G546600;TraesCS4A01G276100;TraesCS7B01G136000;TraesCS4A01G033600;TraesCS2A01G211800;TraesCS5B01G237600;TraesCS5A01G360600;TraesCS2D01G396300;TraesCS7B01G286100;TraesCS7A01G381200;TraesCS2B01G177600;TraesCS7D01G142000;TraesCS7D01G438700;TraesCS5D01G238700;TraesCS5D01G012300;TraesCS5A01G239000;TraesCS2A01G013400;TraesCS6B01G229200;TraesCS1A01G394900;TraesCS3A01G136100;TraesCS5A01G004700;TraesCS3B01G485000;TraesCS5D01G488500;TraesCS5D01G136700;TraesCS7B01G092300;TraesCS3B01G597000;TraesCS6B01G225000;TraesCS1B01G251600;TraesCS2A01G467000;TraesCS5D01G464000;TraesCS4A01G283100;TraesCS7A01G085700;TraesCS5D01G012200;TraesCS2A01G107600;TraesCS5D01G183700;TraesCS2D01G002600;TraesCSU01G048500;TraesCS5B01G366800;TraesCS2A01G026800;TraesCS4B01G172700;TraesCS4B01G374300;TraesCS5D01G487900;TraesCS5A01G513000;TraesCS7B01G441100;TraesCS6D01G382800;TraesCS4A01G249200;TraesCS6B01G238500;TraesCS3B01G354000;TraesCS5B01G363300;TraesCS5D01G012100;TraesCS1B01G107600;TraesCS3A01G062200;TraesCS4B01G312300;TraesCS6D01G038500;TraesCS4A01G244200;TraesCS5A01G004500;TraesCSU01G048600;TraesCS7B01G293100;TraesCS7A01G277500;TraesCS5A01G382800;TraesCS2B01G040100;TraesCS4A01G278900;TraesCS2A01G152200;TraesCS5D01G293700;TraesCS5D01G324300;TraesCS2A01G425800;TraesCS2B01G416700;TraesCS2D01G423700;TraesCS5A01G303400;TraesCS5B01G476000;TraesCS5D01G012000;TraesCS6B01G224900;TraesCS2B01G446100;TraesCS5B01G303800;TraesCS4D01G195700;TraesCS2B01G536600;TraesCS7A01G262000;TraesCS1D01G189100;TraesCS2D01G021500;TraesCS3B01G596800;TraesCS4B01G237300;TraesCS6B01G231100;TraesCS2A01G438200;TraesCS3D01G305300;TraesCS4D01G242100;TraesCSU01G031600;TraesCS1A01G312300;TraesCS6D01G242000;TraesCS7D01G080400;TraesCS7B01G354400;TraesCS1B01G423200;TraesCS6A01G033300;TraesCS5B01G224800;TraesCS5B01G488200;TraesCS5A01G464500;TraesCS6B01G236800;TraesCS6B01G236000;TraesCS1D01G239600;TraesCS7D01G347300;TraesCS4A01G130300;TraesCS3B01G166100;TraesCS6B01G230700;TraesCS2B01G536500;TraesCS5D01G477100;TraesCS3A01G387800;TraesCS3B01G154000;TraesCS4D01G032500;TraesCS4D01G309900;TraesCSU01G008700;TraesCS6B01G239400;TraesCS4B01G174300;TraesCS7A01G523800;TraesCS4D01G238600;TraesCS3D01G084600;TraesCS5B01G285300;TraesCS4A01G384700;TraesCS5B01G455500;TraesCS5D01G565100;TraesCS3B01G474400;TraesCS2B01G565800;TraesCS5A01G286100;TraesCS2B01G173500;TraesCS4B01G037600;TraesCS2B01G125300;TraesCS4D01G174700;TraesCS7B01G349100;TraesCS3B01G462000;TraesCS6B01G415100;TraesCS5B01G099700;TraesCS5D01G310500;TraesCS4D01G116700;TraesCS3D01G061700;TraesCS7D01G157300;TraesCS5A01G318000;TraesCS6B01G239300;TraesCS4B01G271900;TraesCS2A01G019400;TraesCS2D01G261100;TraesCS5A01G229000;TraesCS1D01G403300;TraesCS2D01G509500;TraesCS6B01G231700;TraesCS2B01G124800;TraesCS6D01G033100;TraesCS3D01G061500;TraesCS5B01G285400;TraesCS5D01G460700;TraesCS6D01G300600;TraesCS1A01G095800;TraesCS7D01G349400;TraesCS1A01G239400;TraesCS2A01G539600;TraesCS6D01G359300;TraesCS4A01G065100;TraesCS4D01G103300;TraesCS4D01G176300;TraesCS4A01G311000;TraesCS5D01G196600;TraesCS2D01G157300;TraesCS7A01G136500;TraesCS3A01G519000;TraesCS6B01G227100;TraesCS6B01G231600;TraesCS6B01G227900;TraesCS2B01G394700;TraesCS3B01G179600</t>
  </si>
  <si>
    <t>positive regulation of catabolic process</t>
  </si>
  <si>
    <t>TraesCS3B01G421000;TraesCS3A01G387800</t>
  </si>
  <si>
    <t>TraesCS2A01G588700</t>
  </si>
  <si>
    <t>adenine nucleotide transport</t>
  </si>
  <si>
    <t>ADP transmembrane transporter activity</t>
  </si>
  <si>
    <t>TraesCS7A01G209800;TraesCS7D01G211700</t>
  </si>
  <si>
    <t>ATP:ADP antiporter activity</t>
  </si>
  <si>
    <t>TraesCS7B01G325900;TraesCS2A01G217200;TraesCS2B01G208900;TraesCS6B01G116600;TraesCS1A01G383900;TraesCS2D01G509400;TraesCS2A01G211900;TraesCS4B01G092400;TraesCS5D01G187700;TraesCS4A01G491600;TraesCS6B01G230400;TraesCS2D01G309500;TraesCS4D01G027900;TraesCS6D01G191400;TraesCSU01G097600;TraesCS3D01G452300;TraesCS6D01G166100;TraesCS1D01G005400;TraesCS7D01G463700;TraesCS5A01G261400;TraesCS6B01G226000;TraesCS7A01G391100;TraesCS2B01G243000;TraesCS6B01G233800;TraesCS5D01G302000;TraesCS3A01G276200;TraesCS3D01G049000;TraesCS6B01G237600;TraesCS5D01G025500;TraesCS6D01G360900;TraesCS1B01G339100;TraesCS6B01G225700;TraesCSU01G009400;TraesCS5B01G526200;TraesCS6D01G402500;TraesCS5D01G499400;TraesCS2A01G503800;TraesCS6B01G228100;TraesCS3A01G034800;TraesCS2B01G565300;TraesCS1A01G273600;TraesCS7B01G378300;TraesCS2A01G467700;TraesCS3D01G072700;TraesCS3A01G049600;TraesCS2B01G477600;TraesCS3B01G128700;TraesCS1B01G439200;TraesCS7B01G326100;TraesCS7A01G042200;TraesCS6B01G231400;TraesCS2D01G019600;TraesCS2B01G241400;TraesCS7A01G460900;TraesCS1A01G343000;TraesCS3A01G096500;TraesCS1B01G355700;TraesCS6A01G276300;TraesCS3B01G310000;TraesCS4A01G177600;TraesCS2D01G217600;TraesCS6B01G225800;TraesCS2D01G028600;TraesCS7D01G313500;TraesCS6B01G353200;TraesCS3A01G287000;TraesCS7A01G359300;TraesCS4B01G343100;TraesCS4D01G243000;TraesCS1B01G006500;TraesCS3A01G230900;TraesCS3B01G321300;TraesCS3D01G500800;TraesCS4A01G331100;TraesCS6B01G238600;TraesCS2B01G284300;TraesCS5D01G059300;TraesCS6A01G168900;TraesCS4A01G283100;TraesCS1D01G344700;TraesCS3B01G084000;TraesCS7A01G226500;TraesCS4A01G474800;TraesCS7B01G292700;TraesCS4A01G216900;TraesCS2B01G066800;TraesCS4A01G445500;TraesCS6B01G226200;TraesCS3A01G064400;TraesCS7B01G273600;TraesCS3A01G362500;TraesCS2D01G002600;TraesCS3B01G032400;TraesCS6B01G235900;TraesCS7A01G069600;TraesCS1A01G309500;TraesCS3B01G353000;TraesCS3A01G122300;TraesCS6B01G232400;TraesCS2D01G039400;TraesCS4B01G106000;TraesCS4D01G270000;TraesCS6B01G238500;TraesCS1D01G013800;TraesCS1D01G271500;TraesCS1D01G076200;TraesCS6B01G212700;TraesCS2B01G100200;TraesCS6B01G231200;TraesCS1A01G362900;TraesCS5D01G061700;TraesCS7D01G436600;TraesCS3B01G569900;TraesCS3D01G276200;TraesCS7D01G124900;TraesCS4A01G066100;TraesCSU01G044100;TraesCS2D01G223000;TraesCS7D01G374700;TraesCS7B01G362800;TraesCS7D01G461900;TraesCS2B01G240800;TraesCS5D01G452500;TraesCS2A01G052600;TraesCS3B01G086900;TraesCS1D01G082200;TraesCS7D01G368700;TraesCS2A01G216400;TraesCS2B01G536600;TraesCS2A01G525300;TraesCS5B01G284400;TraesCS3A01G056300;TraesCS2D01G013200;TraesCS3D01G501400;TraesCS1A01G312300;TraesCS4D01G003300;TraesCS2B01G241900;TraesCS1B01G091900;TraesCS6D01G112200;TraesCS6D01G242000;TraesCS4D01G089200;TraesCS2B01G040000;TraesCS1A01G073300;TraesCS4A01G207800;TraesCS1D01G356300;TraesCS1B01G251700;TraesCS6A01G178500;TraesCS2A01G532600;TraesCS4D01G268400;TraesCS4D01G134900;TraesCS2A01G182400;TraesCS4A01G130300;TraesCS4B01G328400;TraesCS3D01G032300;TraesCS2D01G539100;TraesCS2A01G214000;TraesCS6A01G122000;TraesCS2A01G216300;TraesCS4B01G140200;TraesCS4A01G384600;TraesCS2B01G536500;TraesCS3B01G141500;TraesCS6B01G302400;TraesCS2D01G222000;TraesCS5D01G564000;TraesCS6B01G231000;TraesCS3B01G544700;TraesCS1A01G312400;TraesCS7B01G333700;TraesCS2B01G241800;TraesCS4B01G174300;TraesCS2B01G096000;TraesCS3D01G104000;TraesCS7B01G356800;TraesCS7D01G386600;TraesCS4A01G171500;TraesCS5A01G048600;TraesCS7B01G071100;TraesCS1B01G368200;TraesCS1D01G356400;TraesCS3A01G109500;TraesCS4A01G389600;TraesCS4B01G095200;TraesCS2D01G190200;TraesCS3A01G034700;TraesCS5B01G449500;TraesCS5B01G455500;TraesCS3B01G474400;TraesCS3A01G261800;TraesCS4D01G092000;TraesCS2B01G242500;TraesCS2D01G025500;TraesCS7A01G354000;TraesCSU01G008200;TraesCS3A01G148300;TraesCS7D01G037700;TraesCS3D01G097000;TraesCS6B01G415100;TraesCS6B01G083500;TraesCS6D01G396900;TraesCS3B01G038900;TraesCS6B01G199700;TraesCS1B01G376000;TraesCS5A01G409700;TraesCS4B01G197500;TraesCS5A01G210300;TraesCS4B01G007400;TraesCS2D01G509500;TraesCS4A01G389700;TraesCS6B01G303800;TraesCS4B01G092500;TraesCS3B01G052600;TraesCS4A01G384800;TraesCS6B01G238900;TraesCS7B01G273000;TraesCS6B01G205900;TraesCS3D01G124200;TraesCS6D01G191500;TraesCS7B01G267900;TraesCS4B01G270800;TraesCS4D01G176300;TraesCS3A01G016500;TraesCS4D01G325500;TraesCS2D01G013300;TraesCS5B01G064400;TraesCS2B01G394700;TraesCS4D01G202300</t>
  </si>
  <si>
    <t>TraesCS7A01G354000;TraesCS7A01G487400;TraesCS2B01G066800;TraesCS5A01G261400;TraesCS3A01G109500;TraesCS3B01G128700;TraesCS5D01G011900;TraesCS7B01G273600;TraesCS6B01G302400;TraesCS1A01G312400;TraesCS5A01G004800;TraesCS6B01G230200;TraesCS4B01G031800;TraesCS6B01G238500;TraesCS2A01G052600;TraesCS7D01G368700</t>
  </si>
  <si>
    <t>TraesCS2B01G040100</t>
  </si>
  <si>
    <t>response to endoplasmic reticulum stress</t>
  </si>
  <si>
    <t>TraesCS2B01G423700;TraesCS2B01G208900;TraesCS7A01G209800;TraesCS7D01G211700;TraesCS4D01G326400;TraesCS2A01G406000</t>
  </si>
  <si>
    <t>pyrimidine nucleobase metabolic process</t>
  </si>
  <si>
    <t>phosphoglycerate mutase activity</t>
  </si>
  <si>
    <t>TraesCS4B01G172700;TraesCS4D01G174700</t>
  </si>
  <si>
    <t>anion:anion antiporter activity</t>
  </si>
  <si>
    <t>TraesCS2B01G073100</t>
  </si>
  <si>
    <t>macromolecule catabolic process</t>
  </si>
  <si>
    <t>TraesCS3A01G044100;TraesCS1A01G383900;TraesCS2B01G369100;TraesCS6B01G231700;TraesCS3D01G036700;TraesCS2B01G369000;TraesCS2D01G033100;TraesCS4D01G142000;TraesCS2D01G349000;TraesCSU01G020500;TraesCS1B01G090700;TraesCS2D01G349400;TraesCS4B01G328400;TraesCS2A01G350700;TraesCS2A01G350800;TraesCS2A01G350900;TraesCS2D01G348900;TraesCS2D01G348800;TraesCS4D01G325500;TraesCS7B01G493700;TraesCS3B01G258100;TraesCS4D01G325400;TraesCS5D01G408200;TraesCS3D01G467600;TraesCS1A01G203600;TraesCS2B01G117500;TraesCS3A01G226400</t>
  </si>
  <si>
    <t>TraesCS2B01G116900</t>
  </si>
  <si>
    <t>nucleotide transport</t>
  </si>
  <si>
    <t>TraesCS2B01G117500</t>
  </si>
  <si>
    <t>TraesCS2B01G208900;TraesCS7A01G492400;TraesCS4D01G321000;TraesCS4D01G238600;TraesCS4D01G326400;TraesCS5D01G183700;TraesCS7A01G259100;TraesCS4B01G237300;TraesCS7D01G478800;TraesCS5B01G097600;TraesCS6A01G323800;TraesCS1A01G070400;TraesCS7A01G209800;TraesCS3A01G209800;TraesCS7D01G211700;TraesCS3A01G310200;TraesCS7B01G156900;TraesCS7B01G335500;TraesCS2B01G336100</t>
  </si>
  <si>
    <t>TraesCS2B01G118400</t>
  </si>
  <si>
    <t>TraesCS4A01G066200;TraesCS4D01G243100;TraesCS2B01G423700;TraesCS3B01G532300;TraesCS2A01G406000;TraesCS2B01G336100</t>
  </si>
  <si>
    <t>TraesCS2B01G124800</t>
  </si>
  <si>
    <t>TraesCS4D01G068800;TraesCS2B01G208900;TraesCS3A01G300400;TraesCS3A01G124700;TraesCS7A01G229400;TraesCS4D01G238600;TraesCS4B01G095200;TraesCS5B01G097600;TraesCS6A01G323800;TraesCS1A01G070400;TraesCS7A01G230200;TraesCS5A01G213600;TraesCS6B01G383200;TraesCS7D01G211700;TraesCS4D01G092000;TraesCS1B01G037000;TraesCS2A01G406000;TraesCSU01G003900;TraesCS2B01G336100;TraesCS2B01G423700;TraesCS7D01G440000;TraesCS6B01G383800;TraesCS1D01G030400;TraesCS3B01G336100;TraesCS5B01G355700;TraesCS1A01G380900;TraesCS7A01G492400;TraesCS7D01G318900;TraesCS5D01G183700;TraesCS4B01G237300;TraesCS5D01G218400;TraesCS7D01G478800;TraesCS6B01G233400;TraesCS3A01G209800;TraesCS3B01G485100;TraesCS4B01G197500;TraesCS3A01G310200;TraesCS2A01G592700;TraesCS6B01G240900;TraesCS7B01G335500</t>
  </si>
  <si>
    <t>TraesCS2A01G107500;TraesCS2B01G173500;TraesCS2B01G125300;TraesCS2A01G107800;TraesCS2A01G107600;TraesCS5B01G099700;TraesCS3D01G305400;TraesCS7A01G262000;TraesCS2B01G124800;TraesCS5D01G183700;TraesCS4D01G116700;TraesCS7B01G251100;TraesCS3A01G297200;TraesCS7B01G251200;TraesCS3A01G297100;TraesCS3D01G305300;TraesCS2A01G467000;TraesCS3B01G354000;TraesCS7D01G347300</t>
  </si>
  <si>
    <t>TraesCS4D01G176300;TraesCS2B01G208900;TraesCS1A01G070400;TraesCS3A01G310200;TraesCS6D01G147400</t>
  </si>
  <si>
    <t>TraesCS2B01G423700;TraesCS4D01G176300;TraesCS4D01G089200;TraesCS2B01G208900;TraesCS7B01G398100;TraesCS7A01G492400;TraesCS4B01G092400;TraesCS3A01G056300;TraesCS7D01G478800;TraesCS1A01G070400;TraesCS4A01G249200;TraesCS3A01G310200;TraesCS2A01G406000;TraesCS2B01G096000;TraesCS7B01G071100</t>
  </si>
  <si>
    <t>ATP transmembrane transporter activity</t>
  </si>
  <si>
    <t>TraesCS2B01G182900</t>
  </si>
  <si>
    <t>TraesCS2B01G192000</t>
  </si>
  <si>
    <t>TraesCS6B01G410400;TraesCS6D01G033000;TraesCS6B01G370100;TraesCS3B01G356700;TraesCS6B01G041200;TraesCS4D01G136600;TraesCS5A01G196800;TraesCS2D01G383400;TraesCS3D01G534200;TraesCS5A01G526000;TraesCS7D01G524300;TraesCS5B01G187000;TraesCS1D01G412300;TraesCS4A01G241700;TraesCS7D01G516100;TraesCS3D01G320700;TraesCS3D01G467600;TraesCS3A01G528800;TraesCS6B01G229200;TraesCS2B01G404200;TraesCS7B01G444800;TraesCS3D01G039400;TraesCS3A01G040800;TraesCS3D01G039300;TraesCS7A01G537200;TraesCS2D01G382400</t>
  </si>
  <si>
    <t>TraesCS5D01G218400;TraesCS7D01G440000;TraesCS7D01G478800;TraesCS2B01G208900;TraesCS7A01G492400;TraesCS1A01G070400;TraesCS7D01G318900;TraesCS3A01G209800;TraesCS5A01G213600;TraesCS2A01G592700;TraesCS6B01G240900</t>
  </si>
  <si>
    <t>TraesCS2B01G196600</t>
  </si>
  <si>
    <t>TraesCS4A01G066200;TraesCS4D01G243100;TraesCS2B01G423700;TraesCS4B01G095200;TraesCS3B01G532300;TraesCS4D01G092000;TraesCS2A01G406000;TraesCS2B01G336100</t>
  </si>
  <si>
    <t>TraesCS2B01G202000</t>
  </si>
  <si>
    <t>TraesCS2B01G203100</t>
  </si>
  <si>
    <t>TraesCS5D01G218400;TraesCS6B01G231000;TraesCS2B01G125300;TraesCS2A01G107800;TraesCS2A01G107600;TraesCS2A01G467000;TraesCS5A01G213600;TraesCS3B01G354000;TraesCS7A01G262000;TraesCS2B01G124800</t>
  </si>
  <si>
    <t>TraesCS2B01G203500</t>
  </si>
  <si>
    <t>TraesCS2B01G219900</t>
  </si>
  <si>
    <t>UDP-glucose 4-epimerase activity</t>
  </si>
  <si>
    <t>TraesCS5D01G321100;TraesCS5B01G315700</t>
  </si>
  <si>
    <t>TraesCS3A01G049600;TraesCS3A01G122300;TraesCS6B01G415100;TraesCS2D01G509500;TraesCS2B01G536600;TraesCS2D01G509400;TraesCS2B01G536500;TraesCS3B01G141500;TraesCS2D01G002600;TraesCS3A01G034800;TraesCS3A01G034700;TraesCS5B01G455500;TraesCS3B01G474400;TraesCS3A01G261800;TraesCS2B01G394700;TraesCS3D01G124200</t>
  </si>
  <si>
    <t>TraesCS2A01G107500;TraesCS2B01G173500;TraesCS1A01G431300;TraesCS2B01G125300;TraesCS2A01G107800;TraesCS2A01G107600;TraesCS3D01G305400;TraesCS7A01G262000;TraesCS2B01G124800;TraesCS5D01G183700;TraesCS4D01G116700;TraesCS5D01G218400;TraesCS7B01G251100;TraesCS3A01G297200;TraesCS7B01G251200;TraesCS3A01G297100;TraesCS3D01G305300;TraesCS2A01G467000;TraesCS5A01G213600;TraesCS1B01G466100;TraesCS3B01G354000;TraesCS7D01G347300</t>
  </si>
  <si>
    <t>TraesCS2B01G241400</t>
  </si>
  <si>
    <t>TraesCS7A01G427300;TraesCS4B01G237300;TraesCS6D01G215000;TraesCS2A01G467000;TraesCS6A01G266100;TraesCS7A01G492400;TraesCS1D01G162000;TraesCS2B01G117500;TraesCS4D01G238600;TraesCS3A01G226400;TraesCS3B01G258100;TraesCS1B01G182000</t>
  </si>
  <si>
    <t>negative regulation of defense response to bacterium</t>
  </si>
  <si>
    <t>fatty acid alpha-oxidation</t>
  </si>
  <si>
    <t>TraesCS5D01G183700</t>
  </si>
  <si>
    <t>cell wall disassembly</t>
  </si>
  <si>
    <t>cell wall modification involved in abscission</t>
  </si>
  <si>
    <t>TraesCS2B01G272900</t>
  </si>
  <si>
    <t>(R)-2-hydroxy-alpha-linolenic acid biosynthetic process</t>
  </si>
  <si>
    <t>TraesCS2B01G278100</t>
  </si>
  <si>
    <t>TraesCS2B01G279200</t>
  </si>
  <si>
    <t>TraesCS2B01G289000</t>
  </si>
  <si>
    <t>defense response to other organism</t>
  </si>
  <si>
    <t>TraesCS7A01G259100;TraesCS4B01G237300;TraesCS2B01G208900;TraesCS1A01G070400;TraesCS4D01G321000;TraesCS7A01G209800;TraesCS3A01G209800;TraesCS7D01G211700;TraesCS7B01G156900;TraesCS4D01G238600;TraesCS4D01G326400;TraesCS5D01G183700</t>
  </si>
  <si>
    <t>TraesCS2B01G318600</t>
  </si>
  <si>
    <t>TraesCS6B01G224900;TraesCS1B01G107600;TraesCS1D01G090000;TraesCS7D01G460300;TraesCS4D01G069300;TraesCS5D01G293700;TraesCS1A01G244200;TraesCS3A01G237800;TraesCS5B01G285400;TraesCS5B01G285300;TraesCS6B01G229600;TraesCS6D01G281100;TraesCS3B01G266200;TraesCS5A01G286100;TraesCS3D01G238000;TraesCS5D01G136700</t>
  </si>
  <si>
    <t>TraesCS2B01G332200</t>
  </si>
  <si>
    <t>regulation of defense response</t>
  </si>
  <si>
    <t>TraesCS2B01G423700;TraesCS4D01G176300;TraesCS2B01G208900;TraesCS1A01G070400;TraesCS4A01G249200;TraesCS3A01G310200;TraesCS2A01G406000</t>
  </si>
  <si>
    <t>TraesCS2B01G336100</t>
  </si>
  <si>
    <t>TraesCS2B01G337300</t>
  </si>
  <si>
    <t>carbohydrate derivative transmembrane transporter activity</t>
  </si>
  <si>
    <t>TraesCS6B01G224900;TraesCS1B01G107600;TraesCS1D01G090000;TraesCS7D01G460300;TraesCS4D01G069300;TraesCS5D01G293700;TraesCS1A01G244200;TraesCS3A01G237800;TraesCS6B01G229600;TraesCS6D01G281100;TraesCS3B01G266200;TraesCS5A01G286100;TraesCS3D01G238000;TraesCS5D01G136700</t>
  </si>
  <si>
    <t>TraesCS2D01G217600;TraesCS2D01G539100;TraesCS1A01G362900;TraesCS3A01G148300;TraesCS2A01G532600;TraesCS1D01G013800;TraesCS1B01G251700;TraesCS3B01G086900;TraesCS7B01G356800;TraesCS2A01G211900;TraesCS3D01G072700;TraesCS7D01G124900</t>
  </si>
  <si>
    <t>TraesCS2B01G394700</t>
  </si>
  <si>
    <t>TraesCS2B01G398300</t>
  </si>
  <si>
    <t>organic hydroxy compound transport</t>
  </si>
  <si>
    <t>TraesCS2B01G414400</t>
  </si>
  <si>
    <t>TraesCS2B01G414800</t>
  </si>
  <si>
    <t>TraesCS2B01G416700</t>
  </si>
  <si>
    <t>TraesCS5A01G365800;TraesCS6B01G410400;TraesCS6D01G033000;TraesCS6B01G370100;TraesCS3B01G597800;TraesCS2A01G412300;TraesCS3B01G356700;TraesCS6B01G231700;TraesCS6B01G041200;TraesCS3B01G597900;TraesCS1A01G168100;TraesCS2B01G219900;TraesCS6A01G074900;TraesCS7B01G420700;TraesCS4D01G136600;TraesCS1A01G095800;TraesCS5A01G196800;TraesCS2D01G383400;TraesCS3D01G534200;TraesCS5A01G526000;TraesCS7D01G524300;TraesCS5B01G187000;TraesCS1D01G412300;TraesCS2D01G409500;TraesCS5D01G196600;TraesCS4A01G241700;TraesCS7D01G516100;TraesCS3D01G320700;TraesCS2A01G386700;TraesCS3B01G481300;TraesCS3D01G467600;TraesCS5D01G375500;TraesCS6B01G231000;TraesCS3A01G528800;TraesCS6B01G229200;TraesCS6D01G215000;TraesCS2B01G404200;TraesCS7B01G444800;TraesCS3D01G039400;TraesCS3A01G040800;TraesCS3D01G039300;TraesCS7A01G537200;TraesCS2D01G382400;TraesCS3A01G446200</t>
  </si>
  <si>
    <t>TraesCS2B01G442700</t>
  </si>
  <si>
    <t>nucleobase biosynthetic process</t>
  </si>
  <si>
    <t>response to molecule of fungal origin</t>
  </si>
  <si>
    <t>TraesCS5B01G097600;TraesCS6A01G323800</t>
  </si>
  <si>
    <t>TraesCSU01G009000;TraesCS2B01G040500;TraesCS2B01G040600;TraesCS5A01G149600;TraesCS7A01G189000;TraesCS7D01G189700;TraesCS1D01G394500;TraesCS4A01G442300;TraesCS3A01G124700;TraesCS3A01G279600;TraesCS2A01G028700;TraesCS2D01G093100;TraesCS1B01G080400;TraesCS5D01G140900;TraesCS7A01G427300;TraesCS3D01G493700;TraesCS7B01G093800;TraesCS2D01G031000;TraesCS6A01G266100;TraesCS1D01G214700;TraesCS3D01G126500;TraesCS6B01G238000;TraesCS3B01G547300;TraesCS2D01G270400;TraesCS3B01G547500;TraesCS6D01G021100;TraesCS5A01G393900;TraesCS2D01G029800;TraesCS3B01G034700;TraesCS3A01G125500;TraesCS3B01G145200;TraesCS4B01G226700;TraesCS7A01G370400;TraesCS7B01G312200;TraesCS2D01G055000;TraesCS1B01G225300;TraesCS5B01G148300;TraesCS6B01G227300;TraesCS1A01G211500;TraesCS4D01G311500;TraesCS5B01G475000</t>
  </si>
  <si>
    <t>TraesCS2B01G533500</t>
  </si>
  <si>
    <t>nucleobase-containing compound transmembrane transporter activity</t>
  </si>
  <si>
    <t>TraesCS2B01G451700;TraesCS3B01G366800;TraesCS2B01G208900;TraesCS5D01G361600;TraesCS1D01G035600;TraesCS2B01G182700;TraesCS7D01G374700;TraesCS2B01G272900;TraesCS2A01G205500;TraesCS3B01G350500;TraesCS7B01G362800;TraesCS5D01G349600;TraesCS6B01G228600;TraesCS6B01G236100;TraesCS7A01G209800;TraesCS3B01G413200;TraesCS4D01G027900;TraesCS6B01G238000;TraesCS6D01G191400;TraesCS3B01G086900;TraesCS4D01G262900;TraesCS5A01G526000;TraesCS2B01G446100;TraesCS7A01G085900;TraesCS2D01G348600;TraesCS1D01G261400;TraesCS4D01G063200;TraesCS5B01G284400;TraesCS5A01G004600;TraesCS6B01G227000;TraesCS6B01G229300;TraesCS2A01G438200;TraesCS2B01G243000;TraesCS1A01G312300;TraesCS2B01G241900;TraesCS1B01G091900;TraesCS5B01G219600;TraesCS7D01G080400;TraesCS5A01G342900;TraesCS4A01G207800;TraesCS5B01G526200;TraesCS4D01G326400;TraesCS4A01G033600;TraesCS1A01G197200;TraesCS2A01G259500;TraesCS2D01G106400;TraesCS4A01G130300;TraesCS3B01G120300;TraesCS2B01G177600;TraesCS3B01G336100;TraesCS1A01G380900;TraesCS2A01G216300;TraesCS3A01G102800;TraesCS5A01G501500;TraesCS4A01G384600;TraesCS2B01G536500;TraesCS7D01G339700;TraesCS3D01G328900;TraesCS5D01G564000;TraesCS3D01G439200;TraesCS5A01G220400;TraesCS6B01G229200;TraesCS7D01G478800;TraesCS3B01G163900;TraesCS5D01G488500;TraesCS4B01G174300;TraesCS5B01G255800;TraesCS2B01G241400;TraesCS1A01G343000;TraesCS3A01G226400;TraesCS6B01G240900;TraesCS6B01G407500;TraesCS6A01G276300;TraesCS1A01G073200;TraesCS4D01G068800;TraesCS6B01G225800;TraesCS7D01G189700;TraesCS6B01G231800;TraesCS2D01G318300;TraesCS6B01G225000;TraesCS1B01G190000;TraesCS4B01G095200;TraesCS2A01G593300;TraesCS6A01G168900;TraesCS4A01G283100;TraesCS4D01G092000;TraesCS6A01G271800;TraesCS1B01G037000;TraesCS2A01G406000;TraesCS2B01G242500;TraesCS1A01G239300;TraesCS1D01G076100;TraesCS1B01G092000;TraesCS3A01G148300;TraesCS7A01G492400;TraesCS5D01G347600;TraesCS1B01G216300;TraesCS4B01G243500;TraesCS5B01G099700;TraesCS3A01G362500;TraesCS2D01G002600;TraesCS6B01G199700;TraesCS5D01G228400;TraesCS5B01G383400;TraesCS4B01G271900;TraesCS4A01G066200;TraesCS7B01G398100;TraesCS6B01G303800;TraesCS3B01G052600;TraesCS4D01G243100;TraesCS4A01G384800;TraesCS4B01G106000;TraesCS4D01G136600;TraesCS7B01G273000;TraesCS5D01G437200;TraesCS7D01G211700;TraesCS2D01G402900;TraesCS3D01G105000;TraesCS6D01G191500;TraesCS6D01G172700;TraesCS2B01G282400;TraesCS2B01G423700;TraesCS2D01G264200;TraesCS4D01G176300;TraesCS5B01G193700;TraesCS1D01G030400;TraesCS1D01G032700;TraesCS4A01G042000;TraesCS5B01G431200;TraesCS4D01G325500;TraesCS5D01G236600;TraesCS2A01G083600;TraesCS1D01G076200;TraesCS5D01G389300;TraesCS6B01G229000;TraesCS3B01G328800;TraesCS5B01G064400;TraesCS6B01G227900;TraesCS5B01G236300</t>
  </si>
  <si>
    <t>TraesCS2B01G536600</t>
  </si>
  <si>
    <t>regulation of cellular catabolic process</t>
  </si>
  <si>
    <t>TraesCS2B01G554900</t>
  </si>
  <si>
    <t>TraesCS2B01G562200</t>
  </si>
  <si>
    <t>positive regulation of proteolysis</t>
  </si>
  <si>
    <t>positive regulation of cellular protein catabolic process</t>
  </si>
  <si>
    <t>positive regulation of proteolysis involved in cellular protein catabolic process</t>
  </si>
  <si>
    <t>positive regulation of proteasomal protein catabolic process</t>
  </si>
  <si>
    <t>TraesCS2B01G603200</t>
  </si>
  <si>
    <t>positive regulation of ubiquitin-dependent protein catabolic process</t>
  </si>
  <si>
    <t>positive regulation of proteasomal ubiquitin-dependent protein catabolic process</t>
  </si>
  <si>
    <t>TraesCS2D01G013300</t>
  </si>
  <si>
    <t>TraesCS2D01G019600</t>
  </si>
  <si>
    <t>TraesCS2D01G033100</t>
  </si>
  <si>
    <t>TraesCS1A01G350400;TraesCS1D01G200900;TraesCS3D01G341100;TraesCS1B01G088900;TraesCS2D01G269200;TraesCS6B01G175100;TraesCS3D01G173300;TraesCS3A01G347500;TraesCS2B01G289000;TraesCS5A01G185600;TraesCS7A01G373800;TraesCS3B01G199000;TraesCS1D01G072900;TraesCS7A01G096500;TraesCS1A01G070400;TraesCS4A01G396400;TraesCS3A01G209800;TraesCS2A01G161500;TraesCS2A01G261900;TraesCS3B01G379200;TraesCS6A01G146900;TraesCS6D01G136200;TraesCS1B01G374900</t>
  </si>
  <si>
    <t>TraesCS2D01G039600</t>
  </si>
  <si>
    <t>regulation of plant-type hypersensitive response</t>
  </si>
  <si>
    <t>TraesCS4D01G176300;TraesCS2B01G208900;TraesCS1A01G070400;TraesCS3A01G310200</t>
  </si>
  <si>
    <t>TraesCS2D01G047500</t>
  </si>
  <si>
    <t>response to ethylene</t>
  </si>
  <si>
    <t>TraesCS5D01G218400;TraesCS7D01G478800;TraesCS7A01G492400;TraesCS5A01G213600</t>
  </si>
  <si>
    <t>TraesCS2D01G055000</t>
  </si>
  <si>
    <t>TraesCS7B01G013100;TraesCS6D01G354100;TraesCS7A01G115400;TraesCS6B01G407500;TraesCS7D01G111600</t>
  </si>
  <si>
    <t>jasmonic acid biosynthetic process</t>
  </si>
  <si>
    <t>TraesCS4D01G268400;TraesCS7B01G335500;TraesCS2B01G336100</t>
  </si>
  <si>
    <t>TraesCS2D01G077900</t>
  </si>
  <si>
    <t>TraesCS5A01G229000;TraesCS2D01G509500;TraesCS2D01G509400;TraesCS5A01G464500;TraesCS5B01G237600;TraesCS5B01G455500;TraesCS3B01G474400;TraesCS2A01G425800;TraesCS2D01G423700;TraesCS5B01G476000;TraesCS2B01G446100;TraesCS7B01G286100;TraesCS6B01G415100;TraesCS2B01G536600;TraesCS5B01G099700;TraesCS2B01G536500;TraesCS5D01G238700;TraesCS5D01G477100;TraesCS2D01G002600;TraesCS5A01G239000;TraesCS6D01G242000;TraesCS6B01G227900;TraesCS2B01G394700;TraesCS5A01G382800;TraesCS7B01G350200</t>
  </si>
  <si>
    <t>TraesCS2D01G100700</t>
  </si>
  <si>
    <t>TraesCS4A01G065100;TraesCS6B01G217200;TraesCS2D01G218700;TraesCS3B01G395900;TraesCS4A01G075600;TraesCS5B01G468300;TraesCS7B01G136000;TraesCS2D01G377500;TraesCS4D01G232700;TraesCS2A01G212900;TraesCS2D01G377400;TraesCS2B01G398200;TraesCS2B01G398300;TraesCS5A01G160800;TraesCS4D01G242100;TraesCS4B01G231400;TraesCS1A01G037800;TraesCS2B01G224000</t>
  </si>
  <si>
    <t>TraesCS2B01G125300;TraesCS2A01G107800;TraesCS2A01G107600;TraesCS2A01G467000;TraesCS3B01G354000;TraesCS7A01G262000;TraesCS2B01G124800</t>
  </si>
  <si>
    <t>TraesCS2D01G218700;TraesCS2B01G196500;TraesCS2B01G196600;TraesCS4A01G075600;TraesCS2D01G177700;TraesCS5B01G468300;TraesCS6B01G230600;TraesCS2D01G377500;TraesCS4D01G232700;TraesCS2A01G212900;TraesCS2D01G377400;TraesCS2B01G398200;TraesCS3D01G493700;TraesCS2B01G398300;TraesCS4B01G231400;TraesCSU01G008700;TraesCS1A01G037800;TraesCS2B01G565800;TraesCS2B01G224000;TraesCS3B01G547300;TraesCS3B01G547500</t>
  </si>
  <si>
    <t>TraesCS5D01G218400;TraesCS7D01G199900;TraesCS3B01G395900;TraesCS5A01G213600;TraesCS3A01G417200;TraesCS6B01G302400</t>
  </si>
  <si>
    <t>TraesCS2D01G177700</t>
  </si>
  <si>
    <t>TraesCS5A01G526000;TraesCS6D01G033000;TraesCS5B01G187000;TraesCS1D01G412300;TraesCS2D01G409500;TraesCS6B01G370100;TraesCS2A01G412300;TraesCS3B01G356700;TraesCS3D01G320700;TraesCS6B01G041200;TraesCS1A01G168100;TraesCS3B01G481300;TraesCS7B01G420700;TraesCS4D01G136600;TraesCS6D01G215000;TraesCS5A01G196800;TraesCS3A01G446200</t>
  </si>
  <si>
    <t>TraesCS2D01G217600</t>
  </si>
  <si>
    <t>TraesCS5B01G285400;TraesCS5B01G285300;TraesCS5A01G286100;TraesCS5D01G136700;TraesCS5D01G293700</t>
  </si>
  <si>
    <t>TraesCS2D01G223000</t>
  </si>
  <si>
    <t>TraesCS2D01G269200</t>
  </si>
  <si>
    <t>TraesCS2D01G292400</t>
  </si>
  <si>
    <t>TraesCS2D01G311900</t>
  </si>
  <si>
    <t>TraesCS2D01G318300</t>
  </si>
  <si>
    <t>TraesCS2D01G336800</t>
  </si>
  <si>
    <t>TraesCS2D01G371800</t>
  </si>
  <si>
    <t>TraesCS2D01G393800</t>
  </si>
  <si>
    <t>TraesCS2D01G396300</t>
  </si>
  <si>
    <t>TraesCS2D01G402900</t>
  </si>
  <si>
    <t>TraesCS2D01G509500</t>
  </si>
  <si>
    <t>TraesCS2D01G539100</t>
  </si>
  <si>
    <t>TraesCS3A01G025300</t>
  </si>
  <si>
    <t>TraesCS3A01G034700</t>
  </si>
  <si>
    <t>TraesCS3A01G034800</t>
  </si>
  <si>
    <t>TraesCS3A01G057700</t>
  </si>
  <si>
    <t>TraesCS3A01G062200</t>
  </si>
  <si>
    <t>TraesCS3A01G064400</t>
  </si>
  <si>
    <t>TraesCS3A01G085700</t>
  </si>
  <si>
    <t>TraesCS3A01G096500</t>
  </si>
  <si>
    <t>TraesCS3A01G113700</t>
  </si>
  <si>
    <t>TraesCS3A01G122300</t>
  </si>
  <si>
    <t>TraesCS3A01G125500</t>
  </si>
  <si>
    <t>TraesCS3A01G133400</t>
  </si>
  <si>
    <t>TraesCS3A01G142700</t>
  </si>
  <si>
    <t>TraesCS3A01G148300</t>
  </si>
  <si>
    <t>TraesCS3A01G153000</t>
  </si>
  <si>
    <t>TraesCS3A01G209800</t>
  </si>
  <si>
    <t>TraesCS3A01G226000</t>
  </si>
  <si>
    <t>TraesCS3A01G237800</t>
  </si>
  <si>
    <t>TraesCS3A01G245100</t>
  </si>
  <si>
    <t>TraesCS3A01G287000</t>
  </si>
  <si>
    <t>TraesCS3A01G300400</t>
  </si>
  <si>
    <t>TraesCS3A01G348300</t>
  </si>
  <si>
    <t>TraesCS3A01G362500</t>
  </si>
  <si>
    <t>TraesCS3A01G387800</t>
  </si>
  <si>
    <t>TraesCS3A01G388100</t>
  </si>
  <si>
    <t>TraesCS3A01G402000</t>
  </si>
  <si>
    <t>TraesCS3A01G416800</t>
  </si>
  <si>
    <t>TraesCS3A01G417200</t>
  </si>
  <si>
    <t>TraesCS3A01G428500</t>
  </si>
  <si>
    <t>TraesCS3A01G432800</t>
  </si>
  <si>
    <t>TraesCS3A01G483100</t>
  </si>
  <si>
    <t>TraesCS3A01G528800</t>
  </si>
  <si>
    <t>TraesCS3A01G535100</t>
  </si>
  <si>
    <t>TraesCS3B01G034700</t>
  </si>
  <si>
    <t>TraesCS3B01G037000</t>
  </si>
  <si>
    <t>TraesCS3B01G087300</t>
  </si>
  <si>
    <t>TraesCS3B01G120300</t>
  </si>
  <si>
    <t>TraesCS3B01G120500</t>
  </si>
  <si>
    <t>TraesCS3B01G154000</t>
  </si>
  <si>
    <t>TraesCS3B01G163900</t>
  </si>
  <si>
    <t>TraesCS3B01G166100</t>
  </si>
  <si>
    <t>TraesCS3B01G179600</t>
  </si>
  <si>
    <t>TraesCS3B01G194100</t>
  </si>
  <si>
    <t>TraesCS3B01G196300</t>
  </si>
  <si>
    <t>TraesCS3B01G238500</t>
  </si>
  <si>
    <t>TraesCS3B01G274900</t>
  </si>
  <si>
    <t>TraesCS3B01G290600</t>
  </si>
  <si>
    <t>TraesCS3B01G336100</t>
  </si>
  <si>
    <t>TraesCS3B01G388000</t>
  </si>
  <si>
    <t>TraesCS3B01G421000</t>
  </si>
  <si>
    <t>TraesCS3B01G451800</t>
  </si>
  <si>
    <t>TraesCS3B01G459300</t>
  </si>
  <si>
    <t>TraesCS3B01G462000</t>
  </si>
  <si>
    <t>TraesCS3B01G481300</t>
  </si>
  <si>
    <t>TraesCS3B01G502400</t>
  </si>
  <si>
    <t>TraesCS3B01G504100</t>
  </si>
  <si>
    <t>TraesCS3B01G536100</t>
  </si>
  <si>
    <t>TraesCS3B01G547500</t>
  </si>
  <si>
    <t>TraesCS3B01G552100</t>
  </si>
  <si>
    <t>TraesCS3B01G579500</t>
  </si>
  <si>
    <t>TraesCS3B01G597800</t>
  </si>
  <si>
    <t>TraesCS3B01G597900</t>
  </si>
  <si>
    <t>TraesCS3B01G612200</t>
  </si>
  <si>
    <t>TraesCS3D01G061500</t>
  </si>
  <si>
    <t>TraesCS3D01G080800</t>
  </si>
  <si>
    <t>TraesCS3D01G084600</t>
  </si>
  <si>
    <t>TraesCS3D01G085800</t>
  </si>
  <si>
    <t>TraesCS3D01G097000</t>
  </si>
  <si>
    <t>TraesCS3D01G104800</t>
  </si>
  <si>
    <t>TraesCS3D01G105100</t>
  </si>
  <si>
    <t>TraesCS3D01G136900</t>
  </si>
  <si>
    <t>TraesCS3D01G144700</t>
  </si>
  <si>
    <t>TraesCS3D01G209200</t>
  </si>
  <si>
    <t>TraesCS3D01G230200</t>
  </si>
  <si>
    <t>TraesCS3D01G238000</t>
  </si>
  <si>
    <t>TraesCS3D01G246400</t>
  </si>
  <si>
    <t>TraesCS3D01G305400</t>
  </si>
  <si>
    <t>TraesCS3D01G320700</t>
  </si>
  <si>
    <t>TraesCS3D01G341100</t>
  </si>
  <si>
    <t>TraesCS3D01G381400</t>
  </si>
  <si>
    <t>TraesCS3D01G424000</t>
  </si>
  <si>
    <t>TraesCS3D01G426100</t>
  </si>
  <si>
    <t>TraesCS3D01G426200</t>
  </si>
  <si>
    <t>TraesCS3D01G430200</t>
  </si>
  <si>
    <t>TraesCS3D01G439200</t>
  </si>
  <si>
    <t>TraesCS3D01G452300</t>
  </si>
  <si>
    <t>TraesCS3D01G473200</t>
  </si>
  <si>
    <t>TraesCS3D01G540600</t>
  </si>
  <si>
    <t>TraesCS4A01G002600</t>
  </si>
  <si>
    <t>TraesCS4A01G017400</t>
  </si>
  <si>
    <t>TraesCS4A01G019800</t>
  </si>
  <si>
    <t>TraesCS4A01G042000</t>
  </si>
  <si>
    <t>TraesCS4A01G066100</t>
  </si>
  <si>
    <t>TraesCS4A01G071100</t>
  </si>
  <si>
    <t>TraesCS4A01G099000</t>
  </si>
  <si>
    <t>TraesCS4A01G101700</t>
  </si>
  <si>
    <t>TraesCS4A01G112700</t>
  </si>
  <si>
    <t>TraesCS4A01G128500</t>
  </si>
  <si>
    <t>TraesCS4A01G131000</t>
  </si>
  <si>
    <t>TraesCS4A01G169500</t>
  </si>
  <si>
    <t>TraesCS4A01G171500</t>
  </si>
  <si>
    <t>TraesCS4A01G175900</t>
  </si>
  <si>
    <t>TraesCS4A01G177600</t>
  </si>
  <si>
    <t>TraesCS4A01G194400</t>
  </si>
  <si>
    <t>TraesCS4A01G216900</t>
  </si>
  <si>
    <t>TraesCS4A01G244200</t>
  </si>
  <si>
    <t>TraesCS4A01G250500</t>
  </si>
  <si>
    <t>TraesCS4A01G258400</t>
  </si>
  <si>
    <t>TraesCS4A01G276100</t>
  </si>
  <si>
    <t>TraesCS4A01G283100</t>
  </si>
  <si>
    <t>TraesCS4A01G290900</t>
  </si>
  <si>
    <t>TraesCS4A01G369300</t>
  </si>
  <si>
    <t>TraesCS4A01G392600</t>
  </si>
  <si>
    <t>TraesCS4A01G396400</t>
  </si>
  <si>
    <t>TraesCS4A01G429100</t>
  </si>
  <si>
    <t>TraesCS4A01G442300</t>
  </si>
  <si>
    <t>TraesCS4B01G075200</t>
  </si>
  <si>
    <t>TraesCS4B01G095200</t>
  </si>
  <si>
    <t>TraesCS4B01G106200</t>
  </si>
  <si>
    <t>TraesCS4B01G120900</t>
  </si>
  <si>
    <t>TraesCS4B01G140200</t>
  </si>
  <si>
    <t>TraesCS4B01G143700</t>
  </si>
  <si>
    <t>TraesCS4B01G155500</t>
  </si>
  <si>
    <t>TraesCS4B01G172700</t>
  </si>
  <si>
    <t>TraesCS4B01G173600</t>
  </si>
  <si>
    <t>TraesCS4B01G202900</t>
  </si>
  <si>
    <t>TraesCS4B01G226700</t>
  </si>
  <si>
    <t>TraesCS4B01G227000</t>
  </si>
  <si>
    <t>TraesCS4B01G270800</t>
  </si>
  <si>
    <t>TraesCS4B01G337600</t>
  </si>
  <si>
    <t>TraesCS4B01G374300</t>
  </si>
  <si>
    <t>TraesCS4B01G394700</t>
  </si>
  <si>
    <t>TraesCS4D01G027900</t>
  </si>
  <si>
    <t>TraesCS4D01G035700</t>
  </si>
  <si>
    <t>TraesCS4D01G063400</t>
  </si>
  <si>
    <t>TraesCS4D01G068800</t>
  </si>
  <si>
    <t>TraesCS4D01G118900</t>
  </si>
  <si>
    <t>TraesCS4D01G127300</t>
  </si>
  <si>
    <t>TraesCS4D01G134900</t>
  </si>
  <si>
    <t>TraesCS4D01G136600</t>
  </si>
  <si>
    <t>TraesCS4D01G174700</t>
  </si>
  <si>
    <t>TraesCS4D01G175700</t>
  </si>
  <si>
    <t>TraesCS4D01G202300</t>
  </si>
  <si>
    <t>TraesCS4D01G243000</t>
  </si>
  <si>
    <t>TraesCS4D01G256400</t>
  </si>
  <si>
    <t>TraesCS4D01G262900</t>
  </si>
  <si>
    <t>TraesCS4D01G265000</t>
  </si>
  <si>
    <t>TraesCS4D01G268400</t>
  </si>
  <si>
    <t>TraesCS4D01G287300</t>
  </si>
  <si>
    <t>TraesCS4D01G325400</t>
  </si>
  <si>
    <t>TraesCS5A01G004500</t>
  </si>
  <si>
    <t>TraesCS5A01G004800</t>
  </si>
  <si>
    <t>TraesCS5A01G092800</t>
  </si>
  <si>
    <t>TraesCS5A01G149600</t>
  </si>
  <si>
    <t>TraesCS5A01G204400</t>
  </si>
  <si>
    <t>TraesCS5A01G210300</t>
  </si>
  <si>
    <t>TraesCS5A01G213600</t>
  </si>
  <si>
    <t>TraesCS5A01G239000</t>
  </si>
  <si>
    <t>TraesCS5A01G267900</t>
  </si>
  <si>
    <t>TraesCS5A01G337400</t>
  </si>
  <si>
    <t>TraesCS5A01G365800</t>
  </si>
  <si>
    <t>TraesCS5A01G374500</t>
  </si>
  <si>
    <t>TraesCS5A01G381600</t>
  </si>
  <si>
    <t>TraesCS5A01G392100</t>
  </si>
  <si>
    <t>TraesCS5A01G393900</t>
  </si>
  <si>
    <t>TraesCS5A01G506900</t>
  </si>
  <si>
    <t>TraesCS5A01G513000</t>
  </si>
  <si>
    <t>TraesCS5A01G554400</t>
  </si>
  <si>
    <t>TraesCS5B01G064400</t>
  </si>
  <si>
    <t>TraesCS5B01G097600</t>
  </si>
  <si>
    <t>TraesCS5B01G116300</t>
  </si>
  <si>
    <t>TraesCS5B01G193700</t>
  </si>
  <si>
    <t>TraesCS5B01G224800</t>
  </si>
  <si>
    <t>TraesCS5B01G237600</t>
  </si>
  <si>
    <t>TraesCS5B01G249200</t>
  </si>
  <si>
    <t>TraesCS5B01G252700</t>
  </si>
  <si>
    <t>TraesCS5B01G255800</t>
  </si>
  <si>
    <t>TraesCS5B01G315700</t>
  </si>
  <si>
    <t>TraesCS5B01G355700</t>
  </si>
  <si>
    <t>TraesCS5B01G355800</t>
  </si>
  <si>
    <t>TraesCS5B01G382200</t>
  </si>
  <si>
    <t>TraesCS5B01G383400</t>
  </si>
  <si>
    <t>TraesCS5B01G391000</t>
  </si>
  <si>
    <t>TraesCS5B01G405500</t>
  </si>
  <si>
    <t>TraesCS5B01G412100</t>
  </si>
  <si>
    <t>TraesCS5B01G475000</t>
  </si>
  <si>
    <t>TraesCS5B01G488200</t>
  </si>
  <si>
    <t>TraesCS5B01G526200</t>
  </si>
  <si>
    <t>TraesCS5B01G531200</t>
  </si>
  <si>
    <t>TraesCS5D01G011900</t>
  </si>
  <si>
    <t>TraesCS5D01G059300</t>
  </si>
  <si>
    <t>TraesCS5D01G061700</t>
  </si>
  <si>
    <t>TraesCS5D01G105100</t>
  </si>
  <si>
    <t>TraesCS5D01G136700</t>
  </si>
  <si>
    <t>TraesCS5D01G148500</t>
  </si>
  <si>
    <t>TraesCS5D01G150500</t>
  </si>
  <si>
    <t>TraesCS5D01G196600</t>
  </si>
  <si>
    <t>TraesCS5D01G218400</t>
  </si>
  <si>
    <t>TraesCS5D01G228400</t>
  </si>
  <si>
    <t>TraesCS5D01G236600</t>
  </si>
  <si>
    <t>TraesCS5D01G275400</t>
  </si>
  <si>
    <t>TraesCS5D01G275500</t>
  </si>
  <si>
    <t>TraesCS5D01G321100</t>
  </si>
  <si>
    <t>TraesCS5D01G347600</t>
  </si>
  <si>
    <t>TraesCS5D01G375500</t>
  </si>
  <si>
    <t>TraesCS5D01G384100</t>
  </si>
  <si>
    <t>TraesCS5D01G389300</t>
  </si>
  <si>
    <t>TraesCS5D01G405100</t>
  </si>
  <si>
    <t>TraesCS5D01G408200</t>
  </si>
  <si>
    <t>TraesCS5D01G446800</t>
  </si>
  <si>
    <t>TraesCS5D01G446900</t>
  </si>
  <si>
    <t>TraesCS5D01G487900</t>
  </si>
  <si>
    <t>TraesCS5D01G488500</t>
  </si>
  <si>
    <t>TraesCS5D01G488800</t>
  </si>
  <si>
    <t>TraesCS5D01G488900</t>
  </si>
  <si>
    <t>TraesCS5D01G499400</t>
  </si>
  <si>
    <t>TraesCS5D01G565300</t>
  </si>
  <si>
    <t>TraesCS6A01G033300</t>
  </si>
  <si>
    <t>TraesCS6A01G063800</t>
  </si>
  <si>
    <t>TraesCS6A01G063900</t>
  </si>
  <si>
    <t>TraesCS6A01G074900</t>
  </si>
  <si>
    <t>TraesCS6A01G158100</t>
  </si>
  <si>
    <t>TraesCS6A01G168900</t>
  </si>
  <si>
    <t>TraesCS6A01G181700</t>
  </si>
  <si>
    <t>TraesCS6A01G236700</t>
  </si>
  <si>
    <t>TraesCS6A01G266100</t>
  </si>
  <si>
    <t>TraesCS6A01G266700</t>
  </si>
  <si>
    <t>TraesCS6A01G284200</t>
  </si>
  <si>
    <t>TraesCS6A01G292900</t>
  </si>
  <si>
    <t>TraesCS6A01G310500</t>
  </si>
  <si>
    <t>TraesCS6A01G323800</t>
  </si>
  <si>
    <t>TraesCS6A01G330300</t>
  </si>
  <si>
    <t>TraesCS6A01G331900</t>
  </si>
  <si>
    <t>TraesCS6A01G332100</t>
  </si>
  <si>
    <t>TraesCS6B01G047900</t>
  </si>
  <si>
    <t>TraesCS6B01G071900</t>
  </si>
  <si>
    <t>TraesCS6B01G085700</t>
  </si>
  <si>
    <t>TraesCS6B01G154700</t>
  </si>
  <si>
    <t>TraesCS6B01G177100</t>
  </si>
  <si>
    <t>TraesCS6B01G186700</t>
  </si>
  <si>
    <t>TraesCS6B01G217200</t>
  </si>
  <si>
    <t>TraesCS6B01G303800</t>
  </si>
  <si>
    <t>TraesCS6B01G313000</t>
  </si>
  <si>
    <t>TraesCS6B01G332700</t>
  </si>
  <si>
    <t>TraesCS6B01G340500</t>
  </si>
  <si>
    <t>TraesCS6B01G370100</t>
  </si>
  <si>
    <t>TraesCS6B01G406900</t>
  </si>
  <si>
    <t>TraesCS6B01G410400</t>
  </si>
  <si>
    <t>TraesCS6B01G415100</t>
  </si>
  <si>
    <t>TraesCS6B01G429400</t>
  </si>
  <si>
    <t>TraesCS6B01G438800</t>
  </si>
  <si>
    <t>TraesCS6D01G000200</t>
  </si>
  <si>
    <t>TraesCS6D01G021500</t>
  </si>
  <si>
    <t>TraesCS6D01G033000</t>
  </si>
  <si>
    <t>TraesCS6D01G038500</t>
  </si>
  <si>
    <t>TraesCS6D01G051700</t>
  </si>
  <si>
    <t>TraesCS6D01G136100</t>
  </si>
  <si>
    <t>TraesCS6D01G166100</t>
  </si>
  <si>
    <t>TraesCS6D01G191400</t>
  </si>
  <si>
    <t>TraesCS6D01G191500</t>
  </si>
  <si>
    <t>TraesCS6D01G278800</t>
  </si>
  <si>
    <t>TraesCS6D01G283000</t>
  </si>
  <si>
    <t>TraesCS6D01G303600</t>
  </si>
  <si>
    <t>TraesCS6D01G360900</t>
  </si>
  <si>
    <t>TraesCS6D01G382800</t>
  </si>
  <si>
    <t>TraesCS6D01G396900</t>
  </si>
  <si>
    <t>TraesCS7A01G049300</t>
  </si>
  <si>
    <t>TraesCS7A01G069600</t>
  </si>
  <si>
    <t>TraesCS7A01G075100</t>
  </si>
  <si>
    <t>TraesCS7A01G085900</t>
  </si>
  <si>
    <t>TraesCS7A01G096500</t>
  </si>
  <si>
    <t>TraesCS7A01G128800</t>
  </si>
  <si>
    <t>TraesCS7A01G157400</t>
  </si>
  <si>
    <t>TraesCS7A01G160600</t>
  </si>
  <si>
    <t>TraesCS7A01G172500</t>
  </si>
  <si>
    <t>TraesCS7A01G209800</t>
  </si>
  <si>
    <t>TraesCS7A01G229400</t>
  </si>
  <si>
    <t>TraesCS7A01G259000</t>
  </si>
  <si>
    <t>TraesCS7A01G276300</t>
  </si>
  <si>
    <t>TraesCS7A01G330000</t>
  </si>
  <si>
    <t>TraesCS7A01G359300</t>
  </si>
  <si>
    <t>TraesCS7A01G377700</t>
  </si>
  <si>
    <t>TraesCS7A01G391400</t>
  </si>
  <si>
    <t>TraesCS7A01G395700</t>
  </si>
  <si>
    <t>TraesCS7A01G438300</t>
  </si>
  <si>
    <t>TraesCS7A01G446700</t>
  </si>
  <si>
    <t>TraesCS7A01G472700</t>
  </si>
  <si>
    <t>TraesCS7A01G487400</t>
  </si>
  <si>
    <t>TraesCS7A01G515600</t>
  </si>
  <si>
    <t>TraesCS7A01G523800</t>
  </si>
  <si>
    <t>TraesCS7A01G528800</t>
  </si>
  <si>
    <t>TraesCS7A01G537200</t>
  </si>
  <si>
    <t>TraesCS7A01G549300</t>
  </si>
  <si>
    <t>TraesCS7B01G072600</t>
  </si>
  <si>
    <t>TraesCS7B01G092300</t>
  </si>
  <si>
    <t>TraesCS7B01G195200</t>
  </si>
  <si>
    <t>TraesCS7B01G229100</t>
  </si>
  <si>
    <t>TraesCS7B01G231700</t>
  </si>
  <si>
    <t>TraesCS7B01G253600</t>
  </si>
  <si>
    <t>TraesCS7B01G267900</t>
  </si>
  <si>
    <t>TraesCS7B01G293100</t>
  </si>
  <si>
    <t>TraesCS7B01G316400</t>
  </si>
  <si>
    <t>TraesCS7B01G335500</t>
  </si>
  <si>
    <t>TraesCS7B01G337300</t>
  </si>
  <si>
    <t>TraesCS7B01G346500</t>
  </si>
  <si>
    <t>TraesCS7B01G350200</t>
  </si>
  <si>
    <t>TraesCS7B01G362800</t>
  </si>
  <si>
    <t>TraesCS7B01G378300</t>
  </si>
  <si>
    <t>TraesCS7B01G390200</t>
  </si>
  <si>
    <t>TraesCS7B01G417700</t>
  </si>
  <si>
    <t>TraesCS7B01G420700</t>
  </si>
  <si>
    <t>TraesCS7B01G440900</t>
  </si>
  <si>
    <t>TraesCS7B01G441100</t>
  </si>
  <si>
    <t>TraesCS7B01G444800</t>
  </si>
  <si>
    <t>TraesCS7B01G493700</t>
  </si>
  <si>
    <t>TraesCS7D01G157300</t>
  </si>
  <si>
    <t>TraesCS7D01G173300</t>
  </si>
  <si>
    <t>TraesCS7D01G199900</t>
  </si>
  <si>
    <t>TraesCS7D01G201300</t>
  </si>
  <si>
    <t>TraesCS7D01G201400</t>
  </si>
  <si>
    <t>TraesCS7D01G211700</t>
  </si>
  <si>
    <t>TraesCS7D01G224000</t>
  </si>
  <si>
    <t>TraesCS7D01G230000</t>
  </si>
  <si>
    <t>TraesCS7D01G239500</t>
  </si>
  <si>
    <t>TraesCS7D01G276600</t>
  </si>
  <si>
    <t>TraesCS7D01G313500</t>
  </si>
  <si>
    <t>TraesCS7D01G318900</t>
  </si>
  <si>
    <t>TraesCS7D01G325300</t>
  </si>
  <si>
    <t>TraesCS7D01G373000</t>
  </si>
  <si>
    <t>TraesCS7D01G428200</t>
  </si>
  <si>
    <t>TraesCS7D01G440000</t>
  </si>
  <si>
    <t>TraesCS7D01G460300</t>
  </si>
  <si>
    <t>TraesCS7D01G516100</t>
  </si>
  <si>
    <t>TraesCS7D01G524300</t>
  </si>
  <si>
    <t>TraesCSU01G003900</t>
  </si>
  <si>
    <t>TraesCSU01G009400</t>
  </si>
  <si>
    <t>TraesCSU01G020500</t>
  </si>
  <si>
    <t>TraesCSU01G032900</t>
  </si>
  <si>
    <t>TraesCSU01G048500</t>
  </si>
  <si>
    <t>TraesCSU01G048600</t>
  </si>
  <si>
    <t>TraesCSU01G097600</t>
  </si>
  <si>
    <t>Fg_up &amp; GA_down</t>
  </si>
  <si>
    <t>Gene list (204)</t>
  </si>
  <si>
    <t>TraesCS1A01G032700</t>
  </si>
  <si>
    <t>TraesCS1A01G099100</t>
  </si>
  <si>
    <t>TraesCS1A01G144500</t>
  </si>
  <si>
    <t>TraesCS1A01G145300</t>
  </si>
  <si>
    <t>TraesCS1A01G152100</t>
  </si>
  <si>
    <t>TraesCS1A01G152800</t>
  </si>
  <si>
    <t>TraesCS1A01G268700</t>
  </si>
  <si>
    <t>TraesCS1A01G290100</t>
  </si>
  <si>
    <t>TraesCS6A01G387800;TraesCS7D01G384600;TraesCS6A01G387900;TraesCS3A01G283400;TraesCS1A01G152800;TraesCS3D01G283300;TraesCS3B01G400000;TraesCS5D01G368100;TraesCS5D01G531400;TraesCS1D01G149800;TraesCS1D01G144200;TraesCS5B01G533100;TraesCS1A01G145300;TraesCS3B01G317000;TraesCS6D01G372000;TraesCS5D01G053200;TraesCS6B01G427200;TraesCS3D01G404000;TraesCS5A01G024200</t>
  </si>
  <si>
    <t>TraesCS1B01G199500</t>
  </si>
  <si>
    <t>TraesCS2D01G256900;TraesCS2A01G267200;TraesCS2B01G275300</t>
  </si>
  <si>
    <t>TraesCS1B01G401600</t>
  </si>
  <si>
    <t>TraesCS1D01G034500</t>
  </si>
  <si>
    <t>TraesCS1D01G144200</t>
  </si>
  <si>
    <t>TraesCS6A01G387800;TraesCS7D01G384600;TraesCS6A01G387900;TraesCS3A01G283400;TraesCS3A01G285200;TraesCS5A01G309000;TraesCS2D01G351300;TraesCS5D01G273700;TraesCS3D01G283300;TraesCS4B01G017100;TraesCS3A01G307200;TraesCS3B01G400000;TraesCS5D01G531400;TraesCS1D01G149800;TraesCS5B01G533100;TraesCS1A01G145300;TraesCS5B01G393900;TraesCS5D01G053200;TraesCS6B01G427200;TraesCS5D01G500000;TraesCS2B01G240100;TraesCS5A01G024200;TraesCS2D01G220900;TraesCS4A01G321500;TraesCS5B01G309700;TraesCS5A01G265800;TraesCS5D01G551900;TraesCS1A01G152800;TraesCS5D01G368100;TraesCS5B01G265500;TraesCS5B01G557300;TraesCS1D01G144200;TraesCS5A01G396100;TraesCS3B01G317000;TraesCS6D01G372000;TraesCS4D01G357100;TraesCS7D01G069700;TraesCS3D01G404000;TraesCS5D01G004700</t>
  </si>
  <si>
    <t>TraesCS1D01G149800</t>
  </si>
  <si>
    <t>TraesCS1D01G164000</t>
  </si>
  <si>
    <t>TraesCS1D01G301700</t>
  </si>
  <si>
    <t>TraesCS1D01G080900;TraesCS2A01G052900;TraesCS6D01G088800;TraesCS2D01G481900;TraesCS5A01G365100;TraesCS1D01G034500;TraesCS4B01G052300;TraesCS6B01G122800;TraesCS2D01G482100;TraesCS2B01G328200;TraesCS6D01G127100;TraesCS5A01G427600;TraesCS1D01G374900;TraesCS4D01G102600;TraesCS7D01G095500;TraesCS1D01G340600;TraesCS2D01G340600;TraesCS1D01G450100;TraesCS5D01G391000;TraesCS2D01G126400;TraesCS2A01G292400;TraesCS4A01G398800;TraesCS1B01G115900;TraesCS7D01G199400</t>
  </si>
  <si>
    <t>TraesCS1D01G340600</t>
  </si>
  <si>
    <t>TraesCS5B01G468400;TraesCS2A01G380800;TraesCS4A01G401300</t>
  </si>
  <si>
    <t>TraesCS1D01G387000</t>
  </si>
  <si>
    <t>TraesCS1D01G404600</t>
  </si>
  <si>
    <t>TraesCS1D01G433300</t>
  </si>
  <si>
    <t>TraesCS5B01G557300;TraesCS2D01G220900;TraesCS4A01G321500;TraesCS5B01G393900;TraesCS5A01G309000;TraesCS5B01G309700;TraesCS5A01G265800;TraesCS5D01G551900;TraesCS2D01G351300;TraesCS5D01G273700;TraesCS2B01G240100;TraesCS5B01G265500</t>
  </si>
  <si>
    <t>TraesCS1D01G450100</t>
  </si>
  <si>
    <t>TraesCS1D01G080900;TraesCS5D01G053200;TraesCS5B01G468400;TraesCS2A01G380800;TraesCS1B01G115900;TraesCS4A01G401300;TraesCS4D01G102600</t>
  </si>
  <si>
    <t>TraesCS2A01G017100</t>
  </si>
  <si>
    <t>TraesCS1D01G080900;TraesCS6D01G088800;TraesCS1D01G034500;TraesCS6B01G122800;TraesCS6D01G127100;TraesCS1D01G374900;TraesCS4D01G102600;TraesCS7D01G095500;TraesCS1D01G340600;TraesCS2D01G340600;TraesCS1D01G450100;TraesCS5D01G391000;TraesCS2A01G292400;TraesCS4A01G398800;TraesCS1B01G115900;TraesCS7D01G199400</t>
  </si>
  <si>
    <t>TraesCS2A01G033000</t>
  </si>
  <si>
    <t>TraesCS2D01G220900;TraesCS2B01G194200;TraesCS4A01G321500;TraesCS5A01G309000;TraesCS5B01G309700;TraesCS5A01G265800;TraesCS5D01G551900;TraesCS2D01G175600;TraesCS2D01G351300;TraesCS5D01G273700;TraesCS5B01G150700;TraesCS1A01G099100;TraesCS5B01G265500;TraesCS5B01G557300;TraesCS5B01G393900;TraesCS5D01G053200;TraesCS2B01G240100</t>
  </si>
  <si>
    <t>TraesCS2A01G036100</t>
  </si>
  <si>
    <t>TraesCS4B01G208000;TraesCS5B01G468400;TraesCS2A01G380800;TraesCS4A01G401300</t>
  </si>
  <si>
    <t>TraesCS2A01G079600</t>
  </si>
  <si>
    <t>TraesCS2A01G104100</t>
  </si>
  <si>
    <t>TraesCS2A01G141900</t>
  </si>
  <si>
    <t>fucosidase activity</t>
  </si>
  <si>
    <t>TraesCS5A01G309000;TraesCS5B01G309700</t>
  </si>
  <si>
    <t>TraesCS2A01G194400</t>
  </si>
  <si>
    <t>alpha-L-fucosidase activity</t>
  </si>
  <si>
    <t>TraesCS2A01G202100</t>
  </si>
  <si>
    <t>TraesCSU01G047800;TraesCS5B01G468400;TraesCS2A01G380800;TraesCS4A01G401300</t>
  </si>
  <si>
    <t>TraesCS2A01G260600</t>
  </si>
  <si>
    <t>ribonuclease T2 activity</t>
  </si>
  <si>
    <t>TraesCS1D01G149800;TraesCS1A01G152800</t>
  </si>
  <si>
    <t>TraesCS2A01G292400</t>
  </si>
  <si>
    <t>TraesCS2A01G315700</t>
  </si>
  <si>
    <t>TraesCS2D01G220900;TraesCS2B01G240100</t>
  </si>
  <si>
    <t>endoribonuclease activity, producing 3'-phosphomonoesters</t>
  </si>
  <si>
    <t>TraesCS2B01G121100</t>
  </si>
  <si>
    <t>TraesCS2D01G220900;TraesCS5D01G053200;TraesCS2B01G240100</t>
  </si>
  <si>
    <t>TraesCS2B01G211100</t>
  </si>
  <si>
    <t>TraesCS2B01G240100</t>
  </si>
  <si>
    <t>TraesCS2B01G275300</t>
  </si>
  <si>
    <t>TraesCS2B01G277600</t>
  </si>
  <si>
    <t>TraesCS6D01G164500;TraesCS4B01G358800</t>
  </si>
  <si>
    <t>TraesCS2B01G281400</t>
  </si>
  <si>
    <t>TraesCSU01G047800;TraesCS4B01G052300;TraesCS6A01G250600</t>
  </si>
  <si>
    <t>TraesCS2B01G325800</t>
  </si>
  <si>
    <t>endonuclease activity, active with either ribo- or deoxyribonucleic acids and producing 3'-phosphomonoesters</t>
  </si>
  <si>
    <t>TraesCS2B01G328200</t>
  </si>
  <si>
    <t>TraesCS1D01G080900;TraesCS1D01G340600;TraesCS2D01G340600;TraesCS1D01G034500;TraesCS1D01G450100;TraesCS5D01G391000;TraesCS2A01G292400;TraesCS4A01G398800;TraesCS6D01G127100;TraesCS1B01G115900;TraesCS4D01G102600;TraesCS7D01G095500</t>
  </si>
  <si>
    <t>TraesCS2B01G491000</t>
  </si>
  <si>
    <t>glycerol-3-phosphate 2-O-acyltransferase activity</t>
  </si>
  <si>
    <t>TraesCS3B01G400000</t>
  </si>
  <si>
    <t>TraesCS2B01G508900</t>
  </si>
  <si>
    <t>TraesCS2B01G529700</t>
  </si>
  <si>
    <t>TraesCS5D01G053200;TraesCS3D01G404000;TraesCS5A01G024200</t>
  </si>
  <si>
    <t>TraesCS1D01G080900;TraesCS6D01G164500;TraesCS6D01G127100;TraesCS1B01G115900;TraesCS4D01G102600;TraesCS4B01G358800</t>
  </si>
  <si>
    <t>TraesCS2B01G624600</t>
  </si>
  <si>
    <t>TraesCS2D01G026900</t>
  </si>
  <si>
    <t>TraesCSU01G047800;TraesCS4B01G052300;TraesCS5B01G468400;TraesCS2A01G380800;TraesCS6A01G250600;TraesCS4A01G401300</t>
  </si>
  <si>
    <t>TraesCS2D01G103800</t>
  </si>
  <si>
    <t>TraesCS1D01G080900;TraesCS2D01G220900;TraesCS4B01G208000;TraesCS5D01G053200;TraesCSU01G047800;TraesCS5B01G468400;TraesCS2A01G380800;TraesCS1B01G115900;TraesCS2B01G240100;TraesCS4A01G401300;TraesCS4D01G102600;TraesCS5D01G531400</t>
  </si>
  <si>
    <t>TraesCS2D01G126400</t>
  </si>
  <si>
    <t>arginine metabolic process</t>
  </si>
  <si>
    <t>TraesCSU01G047800;TraesCS6A01G250600</t>
  </si>
  <si>
    <t>TraesCS2D01G145400</t>
  </si>
  <si>
    <t>TraesCS2D01G199100</t>
  </si>
  <si>
    <t>TraesCS2D01G208800</t>
  </si>
  <si>
    <t>TraesCS2D01G210700</t>
  </si>
  <si>
    <t>TraesCS2D01G220900</t>
  </si>
  <si>
    <t>TraesCS1D01G080900;TraesCS2A01G052900;TraesCS2D01G563600;TraesCS1D01G034500;TraesCS6D01G164500;TraesCS2B01G328200;TraesCS6D01G127100;TraesCS5A01G427600;TraesCS2B01G491000;TraesCS4D01G102600;TraesCS7D01G095500;TraesCS4B01G358800;TraesCS2D01G340600;TraesCS4B01G208000;TraesCS1D01G450100;TraesCS5D01G391000;TraesCS2D01G126400;TraesCS4A01G333200;TraesCS2B01G593000;TraesCS2A01G292400;TraesCS4A01G398800;TraesCS1B01G115900;TraesCS2A01G315700</t>
  </si>
  <si>
    <t>TraesCS2D01G340600</t>
  </si>
  <si>
    <t>TraesCS2D01G351000</t>
  </si>
  <si>
    <t>TraesCS2D01G351300</t>
  </si>
  <si>
    <t>TraesCS1D01G080900;TraesCS2A01G052900;TraesCS2D01G563600;TraesCS1D01G034500;TraesCS6D01G164500;TraesCS2B01G328200;TraesCS6D01G127100;TraesCS5A01G427600;TraesCS2B01G491000;TraesCS4D01G102600;TraesCS7D01G095500;TraesCS4B01G358800;TraesCS2D01G340600;TraesCS4B01G208000;TraesCS1D01G450100;TraesCS5D01G391000;TraesCS2D01G126400;TraesCS2B01G593000;TraesCS2A01G292400;TraesCS4A01G398800;TraesCS1B01G115900;TraesCS2A01G315700</t>
  </si>
  <si>
    <t>TraesCS2D01G396000</t>
  </si>
  <si>
    <t>TraesCS1D01G080900;TraesCS1B01G115900;TraesCS4D01G102600</t>
  </si>
  <si>
    <t>TraesCS2D01G401300</t>
  </si>
  <si>
    <t>RNA phosphodiester bond hydrolysis, endonucleolytic</t>
  </si>
  <si>
    <t>TraesCS2D01G449400</t>
  </si>
  <si>
    <t>TraesCS2B01G194200;TraesCS2D01G175600;TraesCS1A01G099100</t>
  </si>
  <si>
    <t>TraesCS2D01G459000</t>
  </si>
  <si>
    <t>TraesCS2D01G481900</t>
  </si>
  <si>
    <t>TraesCS2D01G482100</t>
  </si>
  <si>
    <t>SCAR complex</t>
  </si>
  <si>
    <t>TraesCS2B01G281400;TraesCS6D01G088800;TraesCS6A01G309400;TraesCS2A01G104100;TraesCS3A01G285200;TraesCS1D01G034500;TraesCS6B01G122800;TraesCS3A01G472400;TraesCS4B01G331700;TraesCS1D01G374900;TraesCS3B01G400000;TraesCS5B01G150700;TraesCS7A01G261100;TraesCS4B01G358800;TraesCS3D01G378300;TraesCS5B01G152000;TraesCS7D01G263100;TraesCS2A01G260600;TraesCS5D01G178600;TraesCS6D01G344500;TraesCS2D01G199100;TraesCS7B01G052200;TraesCS7D01G199400</t>
  </si>
  <si>
    <t>TraesCS3A01G134600</t>
  </si>
  <si>
    <t>TraesCS3A01G283400</t>
  </si>
  <si>
    <t>TraesCS3A01G285200</t>
  </si>
  <si>
    <t>acetylglutamate kinase activity</t>
  </si>
  <si>
    <t>TraesCS6A01G250600</t>
  </si>
  <si>
    <t>TraesCS3A01G307200</t>
  </si>
  <si>
    <t>RNA phosphodiester bond hydrolysis</t>
  </si>
  <si>
    <t>TraesCS3A01G370600</t>
  </si>
  <si>
    <t>extracellular space</t>
  </si>
  <si>
    <t>TraesCS2B01G325800;TraesCS6D01G048700</t>
  </si>
  <si>
    <t>TraesCS3A01G472400</t>
  </si>
  <si>
    <t>cutin biosynthetic process</t>
  </si>
  <si>
    <t>TraesCS3B01G152300</t>
  </si>
  <si>
    <t>NAD(P)H oxidase activity</t>
  </si>
  <si>
    <t>TraesCS4B01G358800</t>
  </si>
  <si>
    <t>TraesCS3B01G272700</t>
  </si>
  <si>
    <t>TraesCS3B01G283600</t>
  </si>
  <si>
    <t>TraesCS3B01G317000</t>
  </si>
  <si>
    <t>TraesCS2A01G052900;TraesCS2D01G481900;TraesCS5A01G365100;TraesCS4B01G052300;TraesCS2D01G126400;TraesCS2D01G482100;TraesCS2B01G328200;TraesCS5A01G427600</t>
  </si>
  <si>
    <t>arginine decarboxylase activity</t>
  </si>
  <si>
    <t>TraesCSU01G047800</t>
  </si>
  <si>
    <t>TraesCS3B01G402800</t>
  </si>
  <si>
    <t>extracellular region part</t>
  </si>
  <si>
    <t>TraesCS4B01G208000;TraesCS2B01G491000</t>
  </si>
  <si>
    <t>TraesCS3D01G080700</t>
  </si>
  <si>
    <t>TraesCS2D01G220900;TraesCS5D01G053200;TraesCS2B01G240100;TraesCS5B01G150700;TraesCS1A01G099100</t>
  </si>
  <si>
    <t>TraesCS3D01G378300</t>
  </si>
  <si>
    <t>TraesCS3D01G404000</t>
  </si>
  <si>
    <t>TraesCS3D01G520100</t>
  </si>
  <si>
    <t>TraesCS2D01G220900;TraesCS4B01G208000;TraesCS5D01G053200;TraesCSU01G047800;TraesCS5B01G468400;TraesCS2A01G380800;TraesCS2B01G240100;TraesCS4A01G401300;TraesCS5D01G531400</t>
  </si>
  <si>
    <t>TraesCS4A01G321500</t>
  </si>
  <si>
    <t>TraesCS2D01G340600;TraesCS1D01G034500;TraesCS1D01G450100;TraesCS5D01G391000;TraesCS2A01G292400;TraesCS4A01G398800;TraesCS5A01G427600;TraesCS7D01G095500</t>
  </si>
  <si>
    <t>TraesCS4A01G333200</t>
  </si>
  <si>
    <t>molybdate ion transmembrane transporter activity</t>
  </si>
  <si>
    <t>TraesCS4A01G339800</t>
  </si>
  <si>
    <t>molybdate ion transport</t>
  </si>
  <si>
    <t>TraesCS4A01G398800</t>
  </si>
  <si>
    <t>TraesCS4B01G052300</t>
  </si>
  <si>
    <t>TraesCS4A01G401300</t>
  </si>
  <si>
    <t>arginine catabolic process</t>
  </si>
  <si>
    <t>TraesCS4B01G017100</t>
  </si>
  <si>
    <t>TraesCS1D01G080900;TraesCS4B01G208000;TraesCS5D01G053200;TraesCSU01G047800;TraesCS5B01G468400;TraesCS2A01G380800;TraesCS1B01G115900;TraesCS4A01G401300;TraesCS4D01G102600</t>
  </si>
  <si>
    <t>TraesCS4B01G076100</t>
  </si>
  <si>
    <t>TraesCS4B01G208000</t>
  </si>
  <si>
    <t>TraesCS4B01G302800</t>
  </si>
  <si>
    <t>TraesCSU01G047800;TraesCS4B01G052300;TraesCS5B01G468400;TraesCS2A01G380800;TraesCS4A01G401300</t>
  </si>
  <si>
    <t>TraesCS4B01G321200</t>
  </si>
  <si>
    <t>endoribonuclease activity</t>
  </si>
  <si>
    <t>TraesCS4B01G331700</t>
  </si>
  <si>
    <t>TraesCS5D01G053200;TraesCS3D01G404000</t>
  </si>
  <si>
    <t>proline biosynthetic process</t>
  </si>
  <si>
    <t>TraesCS4D01G095300</t>
  </si>
  <si>
    <t>TraesCS5A01G365100</t>
  </si>
  <si>
    <t>TraesCS4D01G103400</t>
  </si>
  <si>
    <t>TraesCS4D01G291100</t>
  </si>
  <si>
    <t>TraesCS4D01G357100</t>
  </si>
  <si>
    <t>TraesCS1D01G149800;TraesCS2A01G558100;TraesCS2D01G571500;TraesCS2B01G622300;TraesCS1A01G152800</t>
  </si>
  <si>
    <t>TraesCS5A01G265800</t>
  </si>
  <si>
    <t>proline metabolic process</t>
  </si>
  <si>
    <t>TraesCS5A01G280900</t>
  </si>
  <si>
    <t>TraesCS5A01G309000</t>
  </si>
  <si>
    <t>TraesCS5A01G356100</t>
  </si>
  <si>
    <t>TraesCS5A01G396100</t>
  </si>
  <si>
    <t>TraesCS5A01G427600</t>
  </si>
  <si>
    <t>TraesCS5A01G503100</t>
  </si>
  <si>
    <t>TraesCS5B01G076100</t>
  </si>
  <si>
    <t>TraesCS5B01G150700</t>
  </si>
  <si>
    <t>TraesCS5B01G259700</t>
  </si>
  <si>
    <t>TraesCS5B01G265500</t>
  </si>
  <si>
    <t>TraesCS5B01G309700</t>
  </si>
  <si>
    <t>TraesCS5B01G393900</t>
  </si>
  <si>
    <t>TraesCS5B01G468400</t>
  </si>
  <si>
    <t>TraesCS5B01G471200</t>
  </si>
  <si>
    <t>TraesCS5B01G533100</t>
  </si>
  <si>
    <t>TraesCS5B01G557300</t>
  </si>
  <si>
    <t>TraesCS5D01G053200</t>
  </si>
  <si>
    <t>TraesCS5D01G145300</t>
  </si>
  <si>
    <t>TraesCS5D01G178600</t>
  </si>
  <si>
    <t>TraesCS5D01G269300</t>
  </si>
  <si>
    <t>TraesCS5D01G273700</t>
  </si>
  <si>
    <t>TraesCS5D01G287800</t>
  </si>
  <si>
    <t>TraesCS5D01G309300</t>
  </si>
  <si>
    <t>TraesCS5D01G364900</t>
  </si>
  <si>
    <t>TraesCS5D01G368100</t>
  </si>
  <si>
    <t>TraesCS5D01G391000</t>
  </si>
  <si>
    <t>TraesCS5D01G531400</t>
  </si>
  <si>
    <t>TraesCS5D01G551900</t>
  </si>
  <si>
    <t>TraesCS6A01G103600</t>
  </si>
  <si>
    <t>TraesCS6A01G309400</t>
  </si>
  <si>
    <t>TraesCS6A01G387800</t>
  </si>
  <si>
    <t>TraesCS6A01G387900</t>
  </si>
  <si>
    <t>TraesCS6B01G396700</t>
  </si>
  <si>
    <t>TraesCS6B01G427200</t>
  </si>
  <si>
    <t>TraesCS6D01G018400</t>
  </si>
  <si>
    <t>TraesCS6D01G048700</t>
  </si>
  <si>
    <t>TraesCS6D01G127100</t>
  </si>
  <si>
    <t>TraesCS6D01G164500</t>
  </si>
  <si>
    <t>TraesCS6D01G288800</t>
  </si>
  <si>
    <t>TraesCS6D01G344500</t>
  </si>
  <si>
    <t>TraesCS6D01G372000</t>
  </si>
  <si>
    <t>TraesCS7A01G307100</t>
  </si>
  <si>
    <t>TraesCS7A01G351400</t>
  </si>
  <si>
    <t>TraesCS7A01G366900</t>
  </si>
  <si>
    <t>TraesCS7B01G046300</t>
  </si>
  <si>
    <t>TraesCS7B01G052200</t>
  </si>
  <si>
    <t>TraesCS7B01G312300</t>
  </si>
  <si>
    <t>TraesCS7D01G069700</t>
  </si>
  <si>
    <t>TraesCS7D01G095500</t>
  </si>
  <si>
    <t>TraesCS7D01G192500</t>
  </si>
  <si>
    <t>TraesCS7D01G243300</t>
  </si>
  <si>
    <t>Fg_up &amp; ABA+Fg_vs_Fg_up</t>
  </si>
  <si>
    <t>Gene list (316)</t>
  </si>
  <si>
    <t>TraesCS3D01G396800;TraesCS7A01G187000;TraesCS7B01G440900;TraesCS2B01G040100;TraesCS7D01G199900;TraesCS1D01G004500;TraesCS6B01G353200;TraesCS7A01G114100;TraesCS3D01G084600;TraesCS5A01G213600;TraesCS5A01G303400;TraesCS7D01G368700;TraesCS7D01G188100;TraesCS5D01G364600;TraesCS1A01G395100;TraesCS5B01G303800;TraesCS5D01G310500;TraesCS7B01G273600;TraesCS5D01G218400;TraesCS1A01G089500;TraesCS3D01G061900;TraesCSU01G048500;TraesCS5A01G318000;TraesCS1D01G007100;TraesCS3A01G180000;TraesCS2A01G026800;TraesCS1B01G423200;TraesCS2D01G261100;TraesCS1D01G098000;TraesCS2B01G418500;TraesCS2B01G279200;TraesCS3A01G401900;TraesCS3B01G395900;TraesCS1D01G403300;TraesCS1D01G403100;TraesCS5D01G011900;TraesCS5A01G094600;TraesCS3D01G061500;TraesCS6D01G300600;TraesCS7D01G347300;TraesCS3A01G402000;TraesCS4A01G311000;TraesCS3A01G062200;TraesCS6D01G260900;TraesCS4B01G312300;TraesCS2D01G021600;TraesCS6D01G038500;TraesCS1A01G089600;TraesCS1B01G437500;TraesCS7B01G251100;TraesCS6D01G261000;TraesCSU01G048600;TraesCS1A01G394900;TraesCS7A01G317500;TraesCS7A01G277500;TraesCS7B01G092300</t>
  </si>
  <si>
    <t>TraesCS3D01G396800;TraesCS7A01G187000;TraesCS7B01G440900;TraesCS1D01G415900;TraesCS2B01G040100;TraesCS7D01G199900;TraesCS1D01G004500;TraesCS6B01G353200;TraesCS7A01G114100;TraesCS3D01G084600;TraesCS5A01G213600;TraesCS5A01G303400;TraesCS7D01G368700;TraesCS7D01G188100;TraesCS5D01G364600;TraesCS1A01G395100;TraesCS5B01G303800;TraesCS5D01G310500;TraesCS7B01G273600;TraesCS5D01G218400;TraesCS1A01G089500;TraesCS3D01G061900;TraesCSU01G048500;TraesCS5A01G318000;TraesCS1D01G007100;TraesCS3A01G180000;TraesCS2A01G026800;TraesCS1B01G423200;TraesCS2D01G261100;TraesCS1D01G098000;TraesCS2B01G418500;TraesCS2B01G279200;TraesCS3A01G401900;TraesCS3B01G395900;TraesCS1D01G403300;TraesCS1D01G403100;TraesCS5D01G011900;TraesCS5A01G094600;TraesCS3D01G061500;TraesCS6D01G300600;TraesCS7D01G347300;TraesCS3A01G402000;TraesCS4A01G311000;TraesCS3A01G062200;TraesCS6D01G260900;TraesCS4B01G312300;TraesCS2D01G021600;TraesCS6D01G038500;TraesCS1A01G089600;TraesCS1B01G437500;TraesCS7B01G251100;TraesCS6D01G261000;TraesCSU01G048600;TraesCS1A01G394900;TraesCS7A01G317500;TraesCS7A01G277500;TraesCS7B01G092300</t>
  </si>
  <si>
    <t>TraesCS1D01G266100;TraesCS1D01G266000;TraesCS3B01G037000;TraesCS3D01G094200;TraesCS1D01G265900;TraesCS1D01G265800;TraesCS1A01G265900;TraesCS1A01G265600;TraesCS5D01G479300;TraesCS1A01G265700;TraesCS1B01G276900;TraesCS1B01G276800;TraesCS1B01G276500</t>
  </si>
  <si>
    <t>TraesCS7A01G187000;TraesCS1B01G423200;TraesCS2D01G261100;TraesCS7B01G440900;TraesCS2B01G418500;TraesCS1D01G004500;TraesCS2B01G279200;TraesCS1D01G403300;TraesCS1D01G403100;TraesCS4D01G238600;TraesCS3D01G061500;TraesCS3D01G084600;TraesCS6D01G300600;TraesCS7D01G188100;TraesCS1A01G395100;TraesCS3A01G062200;TraesCS4B01G312300;TraesCS2D01G021600;TraesCS3D01G061900;TraesCSU01G048500;TraesCSU01G048600;TraesCS1A01G394900;TraesCS5A01G318000;TraesCS1D01G007100;TraesCS7A01G277500;TraesCS7B01G092300</t>
  </si>
  <si>
    <t>TraesCS2A01G026800;TraesCS1B01G423200;TraesCS2D01G261100;TraesCS7B01G440900;TraesCS2B01G040100;TraesCS2B01G418500;TraesCS1D01G004500;TraesCS2B01G279200;TraesCS1D01G403300;TraesCS1D01G403100;TraesCS3D01G061500;TraesCS3D01G084600;TraesCS6D01G300600;TraesCS1A01G395100;TraesCS4A01G311000;TraesCS3A01G062200;TraesCS6D01G260900;TraesCS4B01G312300;TraesCS2D01G021600;TraesCS6D01G038500;TraesCS6D01G261000;TraesCS3D01G061900;TraesCSU01G048500;TraesCSU01G048600;TraesCS1A01G394900;TraesCS5A01G318000;TraesCS7A01G277500</t>
  </si>
  <si>
    <t>TraesCS1B01G062400</t>
  </si>
  <si>
    <t>TraesCS1D01G266000;TraesCS1B01G276800;TraesCS1B01G276500;TraesCS1D01G265900;TraesCS1A01G265600;TraesCS1A01G265700</t>
  </si>
  <si>
    <t>TraesCS1B01G423200;TraesCS2D01G261100;TraesCS7B01G440900;TraesCS2B01G418500;TraesCS1D01G004500;TraesCS2B01G279200;TraesCS1D01G403300;TraesCS1D01G403100;TraesCS4D01G238600;TraesCS3D01G061500;TraesCS3D01G084600;TraesCS7D01G347300;TraesCS5D01G364600;TraesCS1A01G395100;TraesCS3A01G062200;TraesCS4B01G312300;TraesCS2D01G021600;TraesCS7B01G251100;TraesCS3D01G061900;TraesCSU01G048500;TraesCSU01G048600;TraesCS1A01G394900;TraesCS5A01G318000;TraesCS3A01G180000;TraesCS7A01G277500</t>
  </si>
  <si>
    <t>TraesCS1B01G423200;TraesCS2D01G261100;TraesCS7B01G440900;TraesCS2B01G418500;TraesCS1D01G004500;TraesCS2B01G279200;TraesCS2D01G481600;TraesCS6B01G353200;TraesCS1D01G403300;TraesCS1D01G403100;TraesCS4D01G238600;TraesCS7B01G253600;TraesCS3D01G061500;TraesCS3D01G084600;TraesCS5D01G565300;TraesCS3D01G514300;TraesCS7D01G347300;TraesCS7D01G368700;TraesCS2B01G507500;TraesCS5D01G364600;TraesCS1A01G395100;TraesCS3A01G062200;TraesCS7B01G273600;TraesCS4B01G312300;TraesCS2D01G021600;TraesCS7B01G251100;TraesCS3D01G061900;TraesCSU01G048500;TraesCSU01G048600;TraesCS1A01G394900;TraesCS7A01G317500;TraesCS5A01G318000;TraesCS6A01G381700;TraesCS3A01G180000;TraesCS7A01G277500</t>
  </si>
  <si>
    <t>TraesCS5B01G097600;TraesCS2A01G477000;TraesCS2A01G476800;TraesCS7A01G209800;TraesCS2A01G476700;TraesCS7D01G211700;TraesCS2A01G476500;TraesCS4D01G238600;TraesCS2B01G500100;TraesCS2B01G500200;TraesCS2B01G500300</t>
  </si>
  <si>
    <t>TraesCS1D01G004500</t>
  </si>
  <si>
    <t>TraesCS1D01G007100</t>
  </si>
  <si>
    <t>TraesCS5A01G526200;TraesCS7B01G286100;TraesCS3D01G478200;TraesCS1D01G162000;TraesCS7B01G493700;TraesCS4B01G356800;TraesCS1D01G283900;TraesCS5D01G408200;TraesCS7A01G427300;TraesCS2B01G369000;TraesCS3D01G015900;TraesCS4D01G142000;TraesCS4D01G350500;TraesCS3A01G483100;TraesCS4A01G485000;TraesCS1B01G182000</t>
  </si>
  <si>
    <t>TraesCS1D01G049100</t>
  </si>
  <si>
    <t>TraesCS1D01G162000;TraesCS1B01G182000</t>
  </si>
  <si>
    <t>TraesCS2A01G056800</t>
  </si>
  <si>
    <t>TraesCS2A01G417100</t>
  </si>
  <si>
    <t>TraesCS2A01G026800;TraesCS6D01G300600;TraesCS4A01G311000;TraesCS2B01G040100;TraesCS6D01G038500</t>
  </si>
  <si>
    <t>TraesCS5D01G408200;TraesCS7A01G427300;TraesCS3D01G467600;TraesCS2B01G369000;TraesCS4D01G142000;TraesCS7B01G493700</t>
  </si>
  <si>
    <t>TraesCS2A01G477000;TraesCS2A01G476800;TraesCS4D01G142000;TraesCS7A01G209800;TraesCS2A01G476700;TraesCS7D01G211700;TraesCS2A01G476500;TraesCS2D01G380500;TraesCS4D01G238600;TraesCS2B01G500100;TraesCS2B01G500200;TraesCS2B01G500300</t>
  </si>
  <si>
    <t>TraesCS2B01G451700;TraesCS2A01G477000;TraesCS3D01G094200;TraesCS4D01G238600;TraesCS5B01G097600;TraesCS4D01G142000;TraesCS7A01G209800;TraesCS5A01G213600;TraesCS6B01G383200;TraesCS7D01G211700;TraesCS2A01G406000;TraesCS2B01G500100;TraesCS7D01G347300;TraesCS2B01G500200;TraesCS2B01G500300;TraesCS5D01G364600;TraesCS6B01G383800;TraesCS2A01G476800;TraesCS2A01G476700;TraesCS2A01G476500;TraesCS5D01G218400;TraesCS7B01G251100;TraesCS2D01G380500;TraesCS3A01G180000;TraesCS1A01G364000</t>
  </si>
  <si>
    <t>TraesCS7B01G231700;TraesCS5A01G506900;TraesCS3A01G049600;TraesCS3A01G034800;TraesCS2D01G201700;TraesCS3A01G034700;TraesCS2D01G455900;TraesCS6D01G191400;TraesCS2B01G394700;TraesCS6D01G191500;TraesCS3B01G119100</t>
  </si>
  <si>
    <t>TraesCS2D01G261100;TraesCS3D01G061900;TraesCSU01G048500;TraesCS7B01G440900;TraesCSU01G048600;TraesCS2B01G418500;TraesCS2B01G279200;TraesCS2D01G021600;TraesCS3D01G061500</t>
  </si>
  <si>
    <t>TraesCS4B01G172700;TraesCS4D01G174700;TraesCS5A01G004900;TraesCS5D01G011800</t>
  </si>
  <si>
    <t>TraesCS5D01G408200;TraesCS2B01G369000;TraesCS7B01G493700</t>
  </si>
  <si>
    <t>TraesCS2B01G408700</t>
  </si>
  <si>
    <t>TraesCS2B01G418500</t>
  </si>
  <si>
    <t>TraesCS2B01G439800</t>
  </si>
  <si>
    <t>TraesCS2B01G474000</t>
  </si>
  <si>
    <t>TraesCS2B01G483500</t>
  </si>
  <si>
    <t>TraesCS5A01G526200;TraesCS7B01G286100;TraesCS3D01G478200;TraesCS4B01G172700;TraesCS4D01G174700;TraesCS1D01G162000;TraesCS7B01G493700;TraesCS4B01G356800;TraesCS1D01G283900;TraesCS5D01G408200;TraesCS7A01G427300;TraesCS3D01G467600;TraesCS2B01G369000;TraesCS3D01G015900;TraesCS4D01G142000;TraesCS4D01G350500;TraesCS3A01G483100;TraesCS4A01G485000;TraesCS1B01G182000</t>
  </si>
  <si>
    <t>TraesCS5D01G218400;TraesCS7D01G199900;TraesCS3B01G395900;TraesCS5A01G213600</t>
  </si>
  <si>
    <t>TraesCS2B01G507500</t>
  </si>
  <si>
    <t>solute:proton symporter activity</t>
  </si>
  <si>
    <t>TraesCS2D01G021600</t>
  </si>
  <si>
    <t>TraesCS2D01G044100</t>
  </si>
  <si>
    <t>TraesCS7A01G209800;TraesCS7D01G211700;TraesCS4D01G238600</t>
  </si>
  <si>
    <t>intramolecular transferase activity, phosphotransferases</t>
  </si>
  <si>
    <t>TraesCS2D01G201700</t>
  </si>
  <si>
    <t>response to oxygen radical</t>
  </si>
  <si>
    <t>response to superoxide</t>
  </si>
  <si>
    <t>TraesCS2D01G380500</t>
  </si>
  <si>
    <t>TraesCS2D01G414300</t>
  </si>
  <si>
    <t>TraesCS2D01G455900</t>
  </si>
  <si>
    <t>solute:cation symporter activity</t>
  </si>
  <si>
    <t>TraesCS2D01G545400</t>
  </si>
  <si>
    <t>TraesCS7A01G209800;TraesCS7D01G211700;TraesCS2A01G406000</t>
  </si>
  <si>
    <t>glucose catabolic process</t>
  </si>
  <si>
    <t>cellular response to ethylene stimulus</t>
  </si>
  <si>
    <t>ethylene-activated signaling pathway</t>
  </si>
  <si>
    <t>TraesCS4A01G066200;TraesCS4D01G243100;TraesCS2A01G406000</t>
  </si>
  <si>
    <t>magnesium ion transmembrane transporter activity</t>
  </si>
  <si>
    <t>TraesCS3D01G373700;TraesCS3A01G380600</t>
  </si>
  <si>
    <t>TraesCS5D01G218400;TraesCS3B01G395900;TraesCS5A01G213600</t>
  </si>
  <si>
    <t>TraesCS3A01G180000</t>
  </si>
  <si>
    <t>magnesium ion transport</t>
  </si>
  <si>
    <t>carbohydrate transmembrane transporter activity</t>
  </si>
  <si>
    <t>TraesCS7A01G187000;TraesCS7D01G188100;TraesCS5D01G565300;TraesCS1D01G007100;TraesCS7B01G092300</t>
  </si>
  <si>
    <t>TraesCS4A01G066200;TraesCS4D01G243100;TraesCS7D01G211700;TraesCS2A01G406000</t>
  </si>
  <si>
    <t>monosaccharide catabolic process</t>
  </si>
  <si>
    <t>hexose catabolic process</t>
  </si>
  <si>
    <t>TraesCS7A01G187000;TraesCS7B01G440900;TraesCS2B01G040100;TraesCS1D01G004500;TraesCS4D01G238600;TraesCS5D01G293700;TraesCS3D01G084600;TraesCS4A01G283100;TraesCS5A01G303400;TraesCS7D01G188100;TraesCS5D01G364600;TraesCS1A01G395100;TraesCS4D01G174700;TraesCS5B01G303800;TraesCS5D01G310500;TraesCS3A01G492300;TraesCS3D01G061900;TraesCSU01G048500;TraesCS5A01G318000;TraesCS1D01G007100;TraesCS7B01G350200;TraesCS2A01G026800;TraesCS1B01G423200;TraesCS2D01G261100;TraesCS4B01G172700;TraesCS2B01G418500;TraesCS2B01G279200;TraesCS1D01G403300;TraesCS1D01G403100;TraesCS3A01G237800;TraesCS3D01G061500;TraesCS5B01G237600;TraesCS6D01G300600;TraesCS5D01G246100;TraesCS7D01G347300;TraesCS2A01G539600;TraesCS7B01G286100;TraesCS4A01G311000;TraesCS3A01G062200;TraesCS4B01G312300;TraesCS2D01G021600;TraesCS6D01G038500;TraesCS5A01G239000;TraesCSU01G048600;TraesCS1A01G394900;TraesCS7A01G277500;TraesCS2B01G394700;TraesCS5A01G382800;TraesCS7B01G092300</t>
  </si>
  <si>
    <t>TraesCS3A01G492300</t>
  </si>
  <si>
    <t>TraesCS6D01G261000;TraesCS6D01G260900</t>
  </si>
  <si>
    <t>glutamate-5-semialdehyde dehydrogenase activity</t>
  </si>
  <si>
    <t>TraesCS3B01G119100</t>
  </si>
  <si>
    <t>TraesCS2A01G026800;TraesCS7A01G187000;TraesCS1B01G423200;TraesCS2D01G261100;TraesCS4B01G172700;TraesCS7B01G440900;TraesCS2B01G040100;TraesCS2B01G418500;TraesCS1D01G004500;TraesCS2B01G279200;TraesCS1D01G403300;TraesCS1D01G403100;TraesCS4D01G238600;TraesCS5D01G293700;TraesCS3D01G061500;TraesCS3D01G084600;TraesCS5B01G237600;TraesCS6D01G300600;TraesCS5D01G246100;TraesCS4A01G283100;TraesCS7D01G347300;TraesCS5A01G303400;TraesCS2A01G539600;TraesCS7D01G188100;TraesCS5D01G364600;TraesCS1A01G395100;TraesCS7B01G286100;TraesCS4A01G311000;TraesCS4D01G174700;TraesCS3A01G062200;TraesCS5B01G303800;TraesCS5D01G310500;TraesCS4B01G312300;TraesCS2D01G021600;TraesCS3A01G492300;TraesCS6D01G038500;TraesCS5A01G239000;TraesCS3D01G061900;TraesCSU01G048500;TraesCSU01G048600;TraesCS1A01G394900;TraesCS5A01G318000;TraesCS1D01G007100;TraesCS7A01G277500;TraesCS2B01G394700;TraesCS5A01G382800;TraesCS7B01G350200;TraesCS7B01G092300</t>
  </si>
  <si>
    <t>TraesCS3B01G383400</t>
  </si>
  <si>
    <t>pigment catabolic process</t>
  </si>
  <si>
    <t>chlorophyll catabolic process</t>
  </si>
  <si>
    <t>TraesCS4A01G066200;TraesCS4D01G243100;TraesCS7A01G209800;TraesCS7D01G211700;TraesCS1B01G037000</t>
  </si>
  <si>
    <t>TraesCS2B01G369000;TraesCS7B01G493700</t>
  </si>
  <si>
    <t>glutamate 5-kinase activity</t>
  </si>
  <si>
    <t>ADP transport</t>
  </si>
  <si>
    <t>TraesCS3D01G015900</t>
  </si>
  <si>
    <t>TraesCS4A01G066200;TraesCS4D01G243100;TraesCS2B01G451700;TraesCS3D01G373700;TraesCS3B01G383400;TraesCS7A01G209800;TraesCS7D01G211700;TraesCS4A01G283100;TraesCS3A01G380600</t>
  </si>
  <si>
    <t>phosphopantetheine binding</t>
  </si>
  <si>
    <t>tetrapyrrole catabolic process</t>
  </si>
  <si>
    <t>porphyrin-containing compound catabolic process</t>
  </si>
  <si>
    <t>TraesCS4A01G066200;TraesCS4D01G243100;TraesCS2B01G451700;TraesCS3D01G373700;TraesCS3B01G383400;TraesCS4A01G283100;TraesCS3A01G380600</t>
  </si>
  <si>
    <t>TraesCS4A01G066200;TraesCS4D01G243100;TraesCS7A01G209800;TraesCS2A01G056800;TraesCS7D01G211700;TraesCS4A01G283100;TraesCS1B01G037000</t>
  </si>
  <si>
    <t>TraesCS7A01G187000;TraesCS1B01G423200;TraesCS2D01G261100;TraesCS4B01G172700;TraesCS7B01G440900;TraesCS2B01G418500;TraesCS1D01G004500;TraesCS2B01G279200;TraesCS1D01G403300;TraesCS1D01G403100;TraesCS4D01G238600;TraesCS3D01G061500;TraesCS3D01G084600;TraesCS6D01G300600;TraesCS5A01G303400;TraesCS7D01G188100;TraesCS1A01G395100;TraesCS4D01G174700;TraesCS3A01G062200;TraesCS5B01G303800;TraesCS5D01G310500;TraesCS4B01G312300;TraesCS2D01G021600;TraesCS3A01G492300;TraesCS3D01G061900;TraesCSU01G048500;TraesCSU01G048600;TraesCS1A01G394900;TraesCS5A01G318000;TraesCS1D01G007100;TraesCS7A01G277500;TraesCS7B01G092300</t>
  </si>
  <si>
    <t>TraesCS3D01G478200;TraesCS3A01G025400;TraesCS6B01G370100;TraesCS2B01G182900;TraesCS3A01G025300;TraesCS6B01G047900;TraesCS5D01G293700;TraesCS6B01G041200;TraesCS3A01G237800;TraesCS1D01G283900;TraesCS7A01G427300;TraesCS2B01G369000;TraesCS5B01G097600;TraesCS3D01G015900;TraesCS6A01G178500;TraesCS4B01G286600;TraesCS4D01G035700;TraesCS4D01G142000;TraesCS2A01G056800;TraesCS4D01G350500;TraesCS7D01G173300;TraesCS3A01G483100;TraesCS4A01G283100;TraesCSU01G097600;TraesCS1B01G182000;TraesCS6D01G038600;TraesCS5A01G526200;TraesCS7B01G286100;TraesCS4A01G017400;TraesCS3D01G020600;TraesCS2B01G318600;TraesCS1D01G162000;TraesCS7D01G222800;TraesCS7B01G493700;TraesCS4B01G356800;TraesCS5D01G408200;TraesCS3D01G467600;TraesCS3A01G040800;TraesCS3D01G039300;TraesCS4A01G485000</t>
  </si>
  <si>
    <t>ATP transport</t>
  </si>
  <si>
    <t>pyruvate dehydrogenase activity</t>
  </si>
  <si>
    <t>pyruvate dehydrogenase (acetyl-transferring) activity</t>
  </si>
  <si>
    <t>TraesCS3D01G478200</t>
  </si>
  <si>
    <t>acetyl-CoA biosynthetic process from pyruvate</t>
  </si>
  <si>
    <t>TraesCS3D01G467600;TraesCS3A01G040800;TraesCS3D01G039300;TraesCS7D01G222800</t>
  </si>
  <si>
    <t>TraesCS7A01G427300;TraesCS1D01G162000;TraesCS4D01G238600;TraesCS1B01G182000</t>
  </si>
  <si>
    <t>TraesCS7D01G211700;TraesCS4D01G238600;TraesCS1B01G037000</t>
  </si>
  <si>
    <t>TraesCS7A01G427300;TraesCS3D01G467600;TraesCS4D01G142000</t>
  </si>
  <si>
    <t>TraesCS4B01G286600</t>
  </si>
  <si>
    <t>TraesCS4B01G317500</t>
  </si>
  <si>
    <t>TraesCS4B01G353800</t>
  </si>
  <si>
    <t>TraesCS5A01G094600</t>
  </si>
  <si>
    <t>TraesCS5A01G267600</t>
  </si>
  <si>
    <t>TraesCS5A01G268000</t>
  </si>
  <si>
    <t>TraesCS5A01G502200</t>
  </si>
  <si>
    <t>TraesCS5D01G112200</t>
  </si>
  <si>
    <t>TraesCS5D01G246100</t>
  </si>
  <si>
    <t>TraesCS5D01G364600</t>
  </si>
  <si>
    <t>TraesCS5D01G479300</t>
  </si>
  <si>
    <t>TraesCS6A01G160400</t>
  </si>
  <si>
    <t>TraesCS6D01G260900</t>
  </si>
  <si>
    <t>TraesCS6D01G261000</t>
  </si>
  <si>
    <t>TraesCS6D01G280700</t>
  </si>
  <si>
    <t>TraesCS7A01G114100</t>
  </si>
  <si>
    <t>TraesCS7A01G187000</t>
  </si>
  <si>
    <t>TraesCS7A01G312800</t>
  </si>
  <si>
    <t>TraesCS7B01G398800</t>
  </si>
  <si>
    <t>TraesCS7D01G058600</t>
  </si>
  <si>
    <t>TraesCS7D01G086600</t>
  </si>
  <si>
    <t>TraesCS7D01G188100</t>
  </si>
  <si>
    <t>TraesCS7D01G222800</t>
  </si>
  <si>
    <t>Fg_up &amp; ABA+Fg_vs_Fg_down</t>
  </si>
  <si>
    <t>Gene list (142)</t>
  </si>
  <si>
    <t>TraesCS1A01G016300</t>
  </si>
  <si>
    <t>TraesCS1A01G079400</t>
  </si>
  <si>
    <t>TraesCS1A01G212400</t>
  </si>
  <si>
    <t>TraesCS1B01G014300</t>
  </si>
  <si>
    <t>TraesCS1B01G212000</t>
  </si>
  <si>
    <t>TraesCS1D01G080900;TraesCS7A01G085700;TraesCS4D01G178600;TraesCS2B01G125300;TraesCS2B01G125200;TraesCS5A01G381100;TraesCS1D01G034500;TraesCS1A01G079400;TraesCS2B01G126200;TraesCS5A01G406200;TraesCS1B01G067500;TraesCS1D01G340600;TraesCS3B01G407200;TraesCS2D01G340600;TraesCS4A01G384700;TraesCS5D01G391000;TraesCS7A01G201800</t>
  </si>
  <si>
    <t>TraesCS1D01G080900;TraesCS7A01G085700;TraesCS4D01G178600;TraesCS2B01G125300;TraesCS2D01G481900;TraesCS2B01G125200;TraesCS5A01G381100;TraesCS1D01G034500;TraesCS2B01G572400;TraesCS2D01G483100;TraesCS5D01G276800;TraesCS1A01G079400;TraesCS2B01G126200;TraesCS5A01G163400;TraesCS5A01G406200;TraesCS1B01G067500;TraesCS1D01G340600;TraesCS3B01G407200;TraesCS2D01G340600;TraesCS4A01G384700;TraesCS5D01G391000;TraesCS7A01G201800;TraesCS7B01G038100</t>
  </si>
  <si>
    <t>TraesCS1B01G449100</t>
  </si>
  <si>
    <t>TraesCS3D01G048800;TraesCS4B01G009500;TraesCS3B01G555800;TraesCS5A01G254600;TraesCS2B01G084100;TraesCS6B01G303800;TraesCS2B01G084000;TraesCS1B01G006500;TraesCS2B01G563800;TraesCS7A01G425900;TraesCS7D01G418200;TraesCS4A01G474800;TraesCS2A01G510200;TraesCS5B01G063600;TraesCS3A01G016800;TraesCS5B01G059300;TraesCS5B01G410900;TraesCS2B01G519500;TraesCS1A01G016300;TraesCS3B01G588200;TraesCS4D01G003300;TraesCS5D01G191400;TraesCSU01G050000;TraesCS2A01G466900;TraesCS5D01G268600</t>
  </si>
  <si>
    <t>TraesCS3D01G048800;TraesCS1A01G016300;TraesCS2A01G510200;TraesCS2B01G563800;TraesCS5B01G063600;TraesCS7A01G425900;TraesCS7D01G418200;TraesCS2A01G466900;TraesCS5D01G268600</t>
  </si>
  <si>
    <t>TraesCS2B01G388200;TraesCS2D01G483100;TraesCS1A01G079400;TraesCS2B01G126200;TraesCS2B01G491000;TraesCS4A01G384700;TraesCS4B01G208000;TraesCS5D01G391000;TraesCS7A01G201800;TraesCS6B01G201600;TraesCS7B01G038100;TraesCS7B01G359700;TraesCS1D01G080900;TraesCS7A01G085700;TraesCS4D01G103300;TraesCS4D01G178600;TraesCS2B01G125300;TraesCS2B01G125200;TraesCS5A01G381100;TraesCS1D01G034500;TraesCS2B01G572400;TraesCS3B01G592000;TraesCS5A01G163400;TraesCS5A01G406200;TraesCS1B01G067500;TraesCS3B01G407200;TraesCS2D01G340600</t>
  </si>
  <si>
    <t>TraesCS2D01G481900;TraesCS2B01G569000;TraesCS1A01G079400;TraesCS2B01G126200;TraesCS7A01G500100;TraesCS2B01G491000;TraesCS4A01G384700;TraesCS4B01G208000;TraesCS5D01G391000;TraesCS2B01G563800;TraesCS7A01G425900;TraesCS6B01G389100;TraesCS7A01G201800;TraesCS7A01G444500;TraesCS7D01G418200;TraesCS6B01G201600;TraesCS2A01G052300;TraesCS7B01G359700;TraesCS1D01G080900;TraesCS7A01G085700;TraesCS4D01G103300;TraesCS4D01G178600;TraesCS2B01G125300;TraesCS2B01G125200;TraesCS2A01G510200;TraesCS5A01G381100;TraesCS1D01G034500;TraesCS3B01G592000;TraesCS5B01G063600;TraesCS5A01G406200;TraesCS1B01G067500;TraesCS4D01G034800;TraesCS3B01G407200;TraesCS1A01G016300;TraesCS2D01G340600;TraesCS2A01G466900;TraesCS5D01G268600</t>
  </si>
  <si>
    <t>TraesCS2A01G052300</t>
  </si>
  <si>
    <t>TraesCS2B01G388200;TraesCS2D01G483100;TraesCS1A01G079400;TraesCS2B01G126200;TraesCS2B01G491000;TraesCS4A01G384700;TraesCS4B01G208000;TraesCS5D01G391000;TraesCS7A01G201800;TraesCS6B01G201600;TraesCS7B01G038100;TraesCS7B01G359700;TraesCS1D01G080900;TraesCS7A01G085700;TraesCS4D01G103300;TraesCS4D01G178600;TraesCS2B01G125300;TraesCS2B01G125200;TraesCS5A01G381100;TraesCS1D01G034500;TraesCS2B01G572400;TraesCS3B01G592000;TraesCS5A01G406200;TraesCS1B01G067500;TraesCS3B01G407200;TraesCS2D01G340600</t>
  </si>
  <si>
    <t>TraesCS2A01G215100</t>
  </si>
  <si>
    <t>TraesCS2A01G295400</t>
  </si>
  <si>
    <t>TraesCS2D01G481900;TraesCS3B01G555800;TraesCS2B01G569000;TraesCS2B01G126200;TraesCS2B01G491000;TraesCS2B01G084000;TraesCS1B01G006500;TraesCS4A01G384700;TraesCS4B01G208000;TraesCS3D01G254600;TraesCS7A01G425900;TraesCS7A01G444500;TraesCS7D01G418200;TraesCS6B01G201600;TraesCS1D01G080900;TraesCS7A01G085700;TraesCS2B01G125300;TraesCS4A01G474800;TraesCS5A01G381100;TraesCS1D01G034500;TraesCS3B01G592000;TraesCS5B01G063600;TraesCS3A01G016800;TraesCS5B01G410900;TraesCS5A01G406200;TraesCS1B01G067500;TraesCS3B01G407200;TraesCS1A01G016300;TraesCS2D01G340600;TraesCS4D01G003300;TraesCS5D01G191400;TraesCS5D01G004700;TraesCS5B01G291600;TraesCS3D01G048800;TraesCS4B01G009500;TraesCS5A01G254600;TraesCS1A01G079400;TraesCS2B01G084100;TraesCS6B01G303800;TraesCS7A01G500100;TraesCS5D01G391000;TraesCS2B01G563800;TraesCS6B01G389100;TraesCS7A01G201800;TraesCS2A01G052300;TraesCS7B01G359700;TraesCS4D01G103300;TraesCS4D01G178600;TraesCS2B01G125200;TraesCS2A01G510200;TraesCS2B01G572400;TraesCS5B01G059300;TraesCS4D01G034800;TraesCS2B01G519500;TraesCS3B01G588200;TraesCSU01G050000;TraesCS2A01G466900;TraesCS5D01G268600</t>
  </si>
  <si>
    <t>TraesCS2A01G440300</t>
  </si>
  <si>
    <t>TraesCS2A01G466900</t>
  </si>
  <si>
    <t>TraesCS3D01G048800;TraesCS1A01G016300;TraesCS2A01G510200;TraesCS2B01G563800;TraesCS5B01G063600;TraesCS7A01G425900;TraesCS5B01G410900;TraesCS7D01G418200;TraesCS2A01G466900;TraesCS5D01G268600</t>
  </si>
  <si>
    <t>TraesCS1D01G080900;TraesCS4D01G178600;TraesCS2B01G125300;TraesCS2B01G125200;TraesCS1A01G079400</t>
  </si>
  <si>
    <t>TraesCS2B01G125200</t>
  </si>
  <si>
    <t>TraesCS3D01G048800;TraesCS4B01G009500;TraesCS3B01G555800;TraesCS5A01G254600;TraesCS2B01G084100;TraesCS6B01G303800;TraesCS2B01G084000;TraesCS1B01G006500;TraesCS2B01G563800;TraesCS7A01G425900;TraesCS6B01G389100;TraesCS7D01G418200;TraesCS4A01G474800;TraesCS2A01G510200;TraesCS5B01G063600;TraesCS3A01G016800;TraesCS5B01G059300;TraesCS5B01G410900;TraesCS4D01G034800;TraesCS2B01G519500;TraesCS1A01G016300;TraesCS3B01G588200;TraesCS4D01G003300;TraesCS5D01G191400;TraesCSU01G050000;TraesCS2A01G466900;TraesCS5D01G268600</t>
  </si>
  <si>
    <t>TraesCS2B01G126200</t>
  </si>
  <si>
    <t>TraesCS2B01G280500</t>
  </si>
  <si>
    <t>TraesCS2B01G388200</t>
  </si>
  <si>
    <t>TraesCS3D01G048800;TraesCS4B01G009500;TraesCS3B01G555800;TraesCS5A01G254600;TraesCS2B01G084100;TraesCS6B01G303800;TraesCS2B01G084000;TraesCS1D01G340600;TraesCS1B01G006500;TraesCS3D01G254600;TraesCS2B01G563800;TraesCS7A01G425900;TraesCS7D01G418200;TraesCS4A01G474800;TraesCS2A01G510200;TraesCS5B01G063600;TraesCS3A01G016800;TraesCS5B01G059300;TraesCS5B01G410900;TraesCS2B01G519500;TraesCS1A01G016300;TraesCS3B01G588200;TraesCS4D01G003300;TraesCS5D01G191400;TraesCSU01G050000;TraesCS2A01G466900;TraesCS5D01G004700;TraesCS5D01G268600</t>
  </si>
  <si>
    <t>TraesCS2B01G460900</t>
  </si>
  <si>
    <t>TraesCS3D01G048800;TraesCS4B01G009500;TraesCS3B01G555800;TraesCS5A01G254600;TraesCS1B01G345000;TraesCS2B01G084100;TraesCS6B01G303800;TraesCS2B01G084000;TraesCS1B01G006500;TraesCS2B01G563800;TraesCS7A01G425900;TraesCS3D01G145500;TraesCS7D01G418200;TraesCS4A01G474800;TraesCS2A01G510200;TraesCS5B01G063600;TraesCS3A01G016800;TraesCS5B01G059300;TraesCS5B01G410900;TraesCS6D01G053400;TraesCS2B01G519500;TraesCS1A01G016300;TraesCS3B01G588200;TraesCS4D01G003300;TraesCS5D01G191400;TraesCSU01G050000;TraesCS2A01G466900;TraesCS5D01G268600</t>
  </si>
  <si>
    <t>TraesCS3D01G048800;TraesCS4B01G009500;TraesCS3B01G555800;TraesCS5A01G254600;TraesCS2B01G084100;TraesCS6B01G303800;TraesCS2B01G084000;TraesCS1B01G006500;TraesCS3D01G254600;TraesCS2B01G563800;TraesCS7A01G425900;TraesCS7D01G418200;TraesCS4A01G474800;TraesCS2A01G510200;TraesCS5B01G063600;TraesCS3A01G016800;TraesCS5B01G059300;TraesCS5B01G410900;TraesCS2B01G519500;TraesCS1A01G016300;TraesCS3B01G588200;TraesCS4D01G003300;TraesCS5D01G191400;TraesCSU01G050000;TraesCS2A01G466900;TraesCS5D01G004700;TraesCS5D01G268600</t>
  </si>
  <si>
    <t>TraesCS2B01G569000</t>
  </si>
  <si>
    <t>TraesCS3D01G048800;TraesCS4B01G009500;TraesCS3B01G555800;TraesCS5A01G254600;TraesCS2B01G084100;TraesCS6B01G303800;TraesCS2B01G084000;TraesCS1B01G006500;TraesCS3D01G254600;TraesCS2B01G563800;TraesCS7A01G425900;TraesCS7D01G418200;TraesCS4A01G474800;TraesCS2A01G510200;TraesCS5B01G063600;TraesCS3A01G016800;TraesCS5B01G059300;TraesCS5B01G410900;TraesCS4D01G034800;TraesCS2B01G519500;TraesCS1A01G016300;TraesCS3B01G588200;TraesCS4D01G003300;TraesCS5D01G191400;TraesCSU01G050000;TraesCS2A01G466900;TraesCS5D01G004700;TraesCS5D01G268600</t>
  </si>
  <si>
    <t>TraesCS1A01G016300;TraesCS2A01G510200;TraesCS2B01G563800;TraesCS5B01G063600;TraesCS7A01G425900;TraesCS7D01G418200;TraesCS2A01G466900;TraesCS5D01G268600</t>
  </si>
  <si>
    <t>TraesCS2D01G201900</t>
  </si>
  <si>
    <t>TraesCS7A01G085700;TraesCS3B01G407200;TraesCS2D01G340600;TraesCS4A01G384700;TraesCS5A01G381100;TraesCS1D01G034500;TraesCS5D01G391000;TraesCS7A01G201800;TraesCS5A01G406200;TraesCS1B01G067500</t>
  </si>
  <si>
    <t>TraesCS2A01G215100;TraesCS2B01G240100</t>
  </si>
  <si>
    <t>TraesCS3A01G016800</t>
  </si>
  <si>
    <t>TraesCS3D01G048800;TraesCS1A01G016300;TraesCS4D01G003300;TraesCS5D01G191400;TraesCS2B01G563800;TraesCS5B01G063600;TraesCS3A01G016800;TraesCS5B01G410900;TraesCS6B01G303800;TraesCS2A01G466900;TraesCS5D01G268600</t>
  </si>
  <si>
    <t>TraesCS3A01G155000</t>
  </si>
  <si>
    <t>TraesCS1D01G410500;TraesCS1B01G277100</t>
  </si>
  <si>
    <t>TraesCS1D01G080900;TraesCS4D01G178600;TraesCS2B01G125300;TraesCS2B01G125200;TraesCS1A01G079400;TraesCS2B01G126200</t>
  </si>
  <si>
    <t>TraesCS3B01G285000</t>
  </si>
  <si>
    <t>TraesCS3B01G407200</t>
  </si>
  <si>
    <t>TraesCS5B01G557300;TraesCS3D01G476500;TraesCS2A01G215100;TraesCS4A01G321500;TraesCS2D01G201900;TraesCS2A01G295400;TraesCS5A01G265800;TraesCS2B01G240100</t>
  </si>
  <si>
    <t>TraesCS3B01G555800</t>
  </si>
  <si>
    <t>TraesCS7A01G085700;TraesCS4A01G384700;TraesCS1D01G034500;TraesCS5A01G406200;TraesCS1B01G067500;TraesCS7B01G038100</t>
  </si>
  <si>
    <t>TraesCS3B01G592000</t>
  </si>
  <si>
    <t>TraesCS3D01G048800;TraesCS4B01G009500;TraesCS3B01G555800;TraesCS5A01G254600;TraesCS2B01G084100;TraesCS6B01G303800;TraesCS2B01G084000;TraesCS1B01G006500;TraesCS3D01G254600;TraesCS2B01G563800;TraesCS7A01G425900;TraesCS7D01G418200;TraesCS4A01G474800;TraesCS2A01G510200;TraesCS5B01G063600;TraesCS3A01G016800;TraesCS5B01G059300;TraesCS5B01G410900;TraesCS2B01G519500;TraesCS1A01G016300;TraesCS3B01G588200;TraesCS4D01G003300;TraesCS5D01G191400;TraesCSU01G050000;TraesCS2A01G466900;TraesCS5D01G004700;TraesCS5B01G291600;TraesCS5D01G268600</t>
  </si>
  <si>
    <t>TraesCS3B01G610600</t>
  </si>
  <si>
    <t>glucomannan 4-beta-mannosyltransferase activity</t>
  </si>
  <si>
    <t>TraesCS6B01G197200</t>
  </si>
  <si>
    <t>TraesCS3D01G048800;TraesCS4B01G009500;TraesCS3B01G555800;TraesCS5A01G254600;TraesCS2B01G084100;TraesCS6B01G303800;TraesCS2B01G084000;TraesCS1B01G006500;TraesCS3D01G254600;TraesCS2B01G563800;TraesCS7A01G425900;TraesCS7D01G418200;TraesCS4A01G474800;TraesCS2A01G510200;TraesCS5B01G063600;TraesCS3A01G016800;TraesCS5B01G059300;TraesCS5B01G410900;TraesCS4D01G034800;TraesCS2B01G519500;TraesCS1A01G016300;TraesCS3B01G588200;TraesCS4D01G003300;TraesCS5D01G191400;TraesCSU01G050000;TraesCS2A01G466900;TraesCS5D01G004700;TraesCS5B01G291600;TraesCS5D01G268600</t>
  </si>
  <si>
    <t>TraesCS3D01G145500</t>
  </si>
  <si>
    <t>TraesCS3D01G254600</t>
  </si>
  <si>
    <t>TraesCS3D01G476400</t>
  </si>
  <si>
    <t>TraesCS3B01G555800;TraesCS2A01G215100;TraesCS1B01G345000;TraesCS3A01G155000;TraesCS2B01G084000;TraesCS1B01G006500;TraesCS4B01G208000;TraesCS2D01G201900;TraesCS7A01G425900;TraesCS7D01G418200;TraesCS7B01G038200;TraesCS4A01G474800;TraesCS4A01G321500;TraesCS5A01G265800;TraesCS5B01G063600;TraesCS3A01G016800;TraesCS5B01G410900;TraesCS3B01G181300;TraesCS1A01G016300;TraesCS4D01G003300;TraesCS5D01G191400;TraesCS3D01G048800;TraesCS3D01G476500;TraesCS4B01G009500;TraesCS5A01G254600;TraesCS2D01G483100;TraesCS2B01G084100;TraesCS6B01G303800;TraesCS1D01G149800;TraesCS7A01G322000;TraesCSU01G047800;TraesCS2A01G295400;TraesCS2B01G563800;TraesCS3D01G145500;TraesCS6B01G276300;TraesCS2B01G240100;TraesCS1D01G410500;TraesCS2A01G510200;TraesCS5B01G059300;TraesCS6D01G053400;TraesCS1A01G152800;TraesCS4D01G034800;TraesCS5B01G557300;TraesCS2B01G519500;TraesCS3B01G588200;TraesCS1B01G277100;TraesCSU01G050000;TraesCS2A01G466900;TraesCS5D01G268600</t>
  </si>
  <si>
    <t>TraesCS3D01G048800;TraesCS4B01G009500;TraesCS6D01G297000;TraesCS3B01G555800;TraesCS5A01G254600;TraesCS3D01G392500;TraesCS2B01G084100;TraesCS6B01G303800;TraesCS2B01G084000;TraesCS4A01G442800;TraesCS1B01G006500;TraesCS2B01G563800;TraesCS7A01G425900;TraesCS1B01G014300;TraesCS7D01G418200;TraesCS4A01G474800;TraesCS2A01G510200;TraesCS5B01G063600;TraesCS3A01G016800;TraesCS5B01G059300;TraesCS5B01G410900;TraesCS6B01G197200;TraesCS2B01G519500;TraesCS1A01G016300;TraesCS3B01G588200;TraesCS4D01G003300;TraesCS5D01G191400;TraesCSU01G050000;TraesCS2A01G466900;TraesCS5D01G268600</t>
  </si>
  <si>
    <t>TraesCS3D01G048800;TraesCS3D01G476500;TraesCS4B01G009500;TraesCS3B01G555800;TraesCS2A01G215100;TraesCS5A01G254600;TraesCS1B01G345000;TraesCS2D01G483100;TraesCS3A01G155000;TraesCS2B01G084100;TraesCS6B01G303800;TraesCS2B01G084000;TraesCS1D01G149800;TraesCS1B01G006500;TraesCS7A01G322000;TraesCSU01G047800;TraesCS2D01G201900;TraesCS2A01G295400;TraesCS2B01G563800;TraesCS7A01G425900;TraesCS3D01G145500;TraesCS7D01G418200;TraesCS6B01G276300;TraesCS2B01G240100;TraesCS1D01G410500;TraesCS4A01G474800;TraesCS4A01G321500;TraesCS2A01G510200;TraesCS5A01G265800;TraesCS5B01G063600;TraesCS3A01G016800;TraesCS5B01G059300;TraesCS5B01G410900;TraesCS6D01G053400;TraesCS1A01G152800;TraesCS3B01G181300;TraesCS4D01G034800;TraesCS5B01G557300;TraesCS2B01G519500;TraesCS1A01G016300;TraesCS3B01G588200;TraesCS4D01G003300;TraesCS5D01G191400;TraesCS1B01G277100;TraesCSU01G050000;TraesCS2A01G466900;TraesCS5D01G268600</t>
  </si>
  <si>
    <t>TraesCS4A01G442800</t>
  </si>
  <si>
    <t>cinnamoyl-CoA reductase activity</t>
  </si>
  <si>
    <t>TraesCS5A01G163400</t>
  </si>
  <si>
    <t>beta-1,4-mannosyltransferase activity</t>
  </si>
  <si>
    <t>mannan synthase activity</t>
  </si>
  <si>
    <t>TraesCS4B01G334300</t>
  </si>
  <si>
    <t>TraesCS3D01G048800;TraesCS4B01G009500;TraesCS3B01G555800;TraesCS5A01G254600;TraesCS2B01G084100;TraesCS6B01G303800;TraesCS2B01G084000;TraesCS1B01G006500;TraesCS3D01G254600;TraesCS2B01G563800;TraesCS7A01G425900;TraesCS7D01G418200;TraesCS4A01G474800;TraesCS2A01G510200;TraesCS2B01G572400;TraesCS5B01G063600;TraesCS3A01G016800;TraesCS5B01G059300;TraesCS5B01G410900;TraesCS4D01G034800;TraesCS2B01G519500;TraesCS1A01G016300;TraesCS3B01G588200;TraesCS4D01G003300;TraesCS5D01G191400;TraesCSU01G050000;TraesCS2A01G466900;TraesCS5D01G004700;TraesCS5B01G291600;TraesCS5D01G268600</t>
  </si>
  <si>
    <t>TraesCS4B01G361900</t>
  </si>
  <si>
    <t>TraesCS3D01G048800;TraesCS4B01G009500;TraesCS2D01G481900;TraesCS3B01G555800;TraesCS5A01G254600;TraesCS1A01G079400;TraesCS3A01G155000;TraesCS2B01G084100;TraesCS6B01G303800;TraesCS2B01G084000;TraesCS1D01G149800;TraesCS1B01G006500;TraesCS4B01G208000;TraesCS7A01G322000;TraesCSU01G047800;TraesCS2B01G563800;TraesCS7A01G425900;TraesCS6B01G389100;TraesCS7D01G418200;TraesCS6B01G276300;TraesCS1D01G080900;TraesCS4D01G178600;TraesCS2B01G125300;TraesCS4A01G474800;TraesCS2B01G125200;TraesCS2A01G510200;TraesCS5B01G063600;TraesCS5D01G276800;TraesCS3A01G016800;TraesCS5B01G059300;TraesCS5B01G410900;TraesCS1A01G152800;TraesCS3B01G181300;TraesCS4D01G034800;TraesCS6B01G197200;TraesCS2B01G519500;TraesCS1A01G016300;TraesCS3B01G588200;TraesCS4D01G003300;TraesCS5D01G191400;TraesCSU01G050000;TraesCS2A01G466900;TraesCS5D01G268600</t>
  </si>
  <si>
    <t>'de novo' AMP biosynthetic process</t>
  </si>
  <si>
    <t>TraesCS4D01G034800</t>
  </si>
  <si>
    <t>TraesCS4D01G027000</t>
  </si>
  <si>
    <t>TraesCS3B01G555800;TraesCS2B01G126200;TraesCS2B01G084000;TraesCS1B01G006500;TraesCS4A01G384700;TraesCS3D01G254600;TraesCS7A01G425900;TraesCS7D01G418200;TraesCS1D01G080900;TraesCS7A01G085700;TraesCS1B01G449100;TraesCS2B01G125300;TraesCS4A01G474800;TraesCS5A01G381100;TraesCS1D01G034500;TraesCS5B01G063600;TraesCS3A01G016800;TraesCS5B01G410900;TraesCS5A01G406200;TraesCS1B01G067500;TraesCS3B01G407200;TraesCS1A01G016300;TraesCS2D01G340600;TraesCS4D01G003300;TraesCS5D01G191400;TraesCS5D01G004700;TraesCS5B01G291600;TraesCS3D01G048800;TraesCS4B01G009500;TraesCS5A01G254600;TraesCS1A01G079400;TraesCS2B01G084100;TraesCS6B01G303800;TraesCS1D01G149800;TraesCS1D01G340600;TraesCS5D01G391000;TraesCS2B01G563800;TraesCS7A01G201800;TraesCS2A01G052300;TraesCS4D01G178600;TraesCS2B01G125200;TraesCS2A01G510200;TraesCS1B01G212000;TraesCS2B01G572400;TraesCS5B01G059300;TraesCS1A01G152800;TraesCS4D01G034800;TraesCS2B01G519500;TraesCS3B01G588200;TraesCSU01G050000;TraesCS2A01G466900;TraesCS5D01G268600</t>
  </si>
  <si>
    <t>TraesCS4D01G178600</t>
  </si>
  <si>
    <t>TraesCS4D01G355200</t>
  </si>
  <si>
    <t>adenylosuccinate synthase activity</t>
  </si>
  <si>
    <t>TraesCS5A01G070300</t>
  </si>
  <si>
    <t>mucilage biosynthetic process</t>
  </si>
  <si>
    <t>mucilage metabolic process involved in seed coat development</t>
  </si>
  <si>
    <t>TraesCS5A01G215800</t>
  </si>
  <si>
    <t>mucilage metabolic process</t>
  </si>
  <si>
    <t>TraesCS5A01G254600</t>
  </si>
  <si>
    <t>TraesCS3D01G048800;TraesCS4B01G009500;TraesCS3B01G555800;TraesCS5A01G254600;TraesCS2B01G084100;TraesCS6B01G303800;TraesCS2B01G084000;TraesCS1D01G340600;TraesCS1B01G006500;TraesCS3D01G254600;TraesCS2B01G563800;TraesCS7A01G425900;TraesCS7D01G418200;TraesCS4A01G474800;TraesCS2A01G510200;TraesCS2B01G572400;TraesCS5B01G063600;TraesCS3A01G016800;TraesCS5B01G059300;TraesCS5B01G410900;TraesCS4D01G034800;TraesCS2B01G519500;TraesCS1A01G016300;TraesCS3B01G588200;TraesCS4D01G003300;TraesCS5D01G191400;TraesCSU01G050000;TraesCS2A01G466900;TraesCS5D01G004700;TraesCS5B01G291600;TraesCS5D01G268600</t>
  </si>
  <si>
    <t>TraesCS5A01G328500</t>
  </si>
  <si>
    <t>TraesCS5A01G358900</t>
  </si>
  <si>
    <t>TraesCS5A01G406200</t>
  </si>
  <si>
    <t>TraesCS1D01G080900;TraesCS4D01G178600;TraesCS2B01G125300;TraesCS2A01G215100;TraesCS2B01G125200;TraesCS4B01G208000;TraesCSU01G047800;TraesCS1A01G079400;TraesCS2B01G240100</t>
  </si>
  <si>
    <t>TraesCS3D01G048800;TraesCS4B01G009500;TraesCS3B01G555800;TraesCS5A01G254600;TraesCS1B01G345000;TraesCS3A01G155000;TraesCS2B01G084100;TraesCS6B01G303800;TraesCS2B01G084000;TraesCS1B01G006500;TraesCSU01G047800;TraesCS2B01G563800;TraesCS7A01G425900;TraesCS3D01G145500;TraesCS7D01G418200;TraesCS4A01G474800;TraesCS2A01G510200;TraesCS5B01G063600;TraesCS3A01G016800;TraesCS5B01G059300;TraesCS5B01G410900;TraesCS6D01G053400;TraesCS3B01G181300;TraesCS4D01G034800;TraesCS2B01G519500;TraesCS1A01G016300;TraesCS3B01G588200;TraesCS4D01G003300;TraesCS5D01G191400;TraesCSU01G050000;TraesCS2A01G466900;TraesCS5D01G268600</t>
  </si>
  <si>
    <t>TraesCS5B01G059300</t>
  </si>
  <si>
    <t>AMP metabolic process</t>
  </si>
  <si>
    <t>AMP biosynthetic process</t>
  </si>
  <si>
    <t>TraesCS3B01G181300;TraesCS3A01G155000</t>
  </si>
  <si>
    <t>hexosaminidase activity</t>
  </si>
  <si>
    <t>TraesCS5B01G291600</t>
  </si>
  <si>
    <t>beta-N-acetylhexosaminidase activity</t>
  </si>
  <si>
    <t>TraesCS5B01G375700</t>
  </si>
  <si>
    <t>TraesCS1D01G410500;TraesCS3A01G044400;TraesCS3D01G476500;TraesCS3B01G610600;TraesCS2A01G215100;TraesCS4A01G321500;TraesCS1B01G345000;TraesCS5A01G265800;TraesCS6D01G053400;TraesCS1A01G152800;TraesCS5A01G358900;TraesCS1D01G149800;TraesCS5B01G557300;TraesCS3D01G254600;TraesCS2D01G201900;TraesCS2A01G295400;TraesCS4D01G357100;TraesCS1B01G277100;TraesCS3D01G145500;TraesCS6B01G389100;TraesCS2B01G240100;TraesCS5D01G004700</t>
  </si>
  <si>
    <t>chalcone isomerase activity</t>
  </si>
  <si>
    <t>chlorophyllide a oxygenase [overall] activity</t>
  </si>
  <si>
    <t>TraesCS7B01G038100</t>
  </si>
  <si>
    <t>seed coat development</t>
  </si>
  <si>
    <t>TraesCS5D01G179300</t>
  </si>
  <si>
    <t>TraesCS1D01G080900;TraesCS4D01G034800;TraesCS4D01G178600;TraesCS2B01G125300;TraesCS2B01G125200;TraesCS1A01G079400</t>
  </si>
  <si>
    <t>TraesCS5B01G557300;TraesCS3D01G476500;TraesCS2A01G215100;TraesCS4A01G321500;TraesCS2D01G201900;TraesCS2A01G295400;TraesCS5A01G265800;TraesCS6B01G276300;TraesCS2B01G240100</t>
  </si>
  <si>
    <t>mannosyltransferase activity</t>
  </si>
  <si>
    <t>oxidoreductase activity, acting on single donors with incorporation of molecular oxygen, incorporation of one atom of oxygen (internal monooxygenases or internal mixed function oxidases)</t>
  </si>
  <si>
    <t>TraesCS6A01G357400</t>
  </si>
  <si>
    <t>ribonuclease activity</t>
  </si>
  <si>
    <t>TraesCS7A01G085700;TraesCS4D01G103300;TraesCS2D01G481900;TraesCS5A01G381100;TraesCS1D01G034500;TraesCS5A01G406200;TraesCS1B01G067500;TraesCS3B01G407200;TraesCS2D01G340600;TraesCS4A01G384700;TraesCS4B01G208000;TraesCS5D01G391000;TraesCS7A01G201800;TraesCS7A01G444500;TraesCS6B01G201600;TraesCS2A01G052300;TraesCS7B01G359700</t>
  </si>
  <si>
    <t>TraesCS6B01G201600</t>
  </si>
  <si>
    <t>glutamine family amino acid catabolic process</t>
  </si>
  <si>
    <t>TraesCS6B01G389100</t>
  </si>
  <si>
    <t>TraesCS6D01G159800</t>
  </si>
  <si>
    <t>TraesCS6D01G297000</t>
  </si>
  <si>
    <t>TraesCS7A01G270500</t>
  </si>
  <si>
    <t>TraesCS7A01G322000</t>
  </si>
  <si>
    <t>TraesCS7A01G444500</t>
  </si>
  <si>
    <t>TraesCS7D01G031700</t>
  </si>
  <si>
    <t>TraesCS7D01G418200</t>
  </si>
  <si>
    <t>TraesCS7D01G424900</t>
  </si>
  <si>
    <t>Fg_up &amp; AS6+Fg_vs_Fg_up</t>
  </si>
  <si>
    <t>Gene list (604)</t>
  </si>
  <si>
    <t>TraesCS1A01G088600</t>
  </si>
  <si>
    <t>TraesCS1A01G121500</t>
  </si>
  <si>
    <t>TraesCS1A01G141500</t>
  </si>
  <si>
    <t>TraesCS2D01G218700;TraesCS5B01G468400;TraesCS2A01G380800;TraesCS2D01G377200;TraesCS1B01G122800;TraesCS6A01G222700;TraesCS2A01G196400;TraesCS2A01G196700;TraesCS2D01G377500;TraesCS4A01G401300;TraesCS2D01G377400;TraesCS1D01G039500;TraesCS2B01G398300;TraesCS2D01G204400;TraesCS2B01G398000;TraesCS2D01G204700;TraesCS1D01G103500</t>
  </si>
  <si>
    <t>TraesCS2D01G218700;TraesCS5B01G468400;TraesCS2A01G380800;TraesCS2D01G377200;TraesCS1B01G122800;TraesCS6A01G222700;TraesCS2A01G196400;TraesCS2A01G196700;TraesCS2D01G377500;TraesCS4A01G401300;TraesCS2D01G377400;TraesCS1D01G039500;TraesCS2B01G398300;TraesCS2D01G204400;TraesCS2B01G398000;TraesCS2D01G204700;TraesCS4A01G419400;TraesCS1D01G103500</t>
  </si>
  <si>
    <t>TraesCS2A01G350800;TraesCS2A01G350900;TraesCS5D01G364600;TraesCS2D01G218700;TraesCS2D01G348900;TraesCS5B01G468400;TraesCS2A01G380800;TraesCS2D01G377200;TraesCS1B01G122800;TraesCS6A01G222700;TraesCS2A01G196400;TraesCS2A01G196700;TraesCS2D01G377500;TraesCS4A01G401300;TraesCS2D01G377400;TraesCS1D01G039500;TraesCS2B01G398300;TraesCS2D01G204400;TraesCS2B01G398000;TraesCS2D01G204700;TraesCS1A01G203600;TraesCS1D01G103500;TraesCS2B01G614100;TraesCS2D01G349400</t>
  </si>
  <si>
    <t>TraesCS1A01G298600</t>
  </si>
  <si>
    <t>TraesCS1D01G039500;TraesCS2B01G398300;TraesCS5B01G468400;TraesCS2A01G380800;TraesCS1B01G122800;TraesCS1D01G103500;TraesCS2A01G196400;TraesCS4A01G401300;TraesCS2D01G377400</t>
  </si>
  <si>
    <t>TraesCS7D01G337900;TraesCS2D01G218700;TraesCS7B01G241200;TraesCS5B01G468400;TraesCS2A01G380800;TraesCS2D01G377200;TraesCS1B01G122800;TraesCS6A01G222700;TraesCS2A01G196400;TraesCS2A01G196700;TraesCS2D01G377500;TraesCS4A01G401300;TraesCS2D01G377400;TraesCS1D01G039500;TraesCS2B01G398300;TraesCS2D01G204400;TraesCS2B01G398000;TraesCS2D01G204700;TraesCS1D01G103500</t>
  </si>
  <si>
    <t>TraesCS1A01G347000</t>
  </si>
  <si>
    <t>TraesCS6B01G217200;TraesCS7B01G241200;TraesCS6D01G232400;TraesCS2A01G380800;TraesCS6A01G222700;TraesCS2A01G196400;TraesCS2A01G196700;TraesCS4D01G232700;TraesCS4A01G419400;TraesCS1D01G103500;TraesCS6A01G250600;TraesCS7D01G337900;TraesCS2D01G218700;TraesCS6B01G274800;TraesCS5B01G468400;TraesCS2D01G377200;TraesCS4A01G075600;TraesCS1B01G122800;TraesCS2D01G377500;TraesCS4A01G401300;TraesCS2D01G377400;TraesCS1D01G039500;TraesCS2B01G398300;TraesCS2D01G204400;TraesCS2B01G398000;TraesCS2D01G204700;TraesCS4B01G231400</t>
  </si>
  <si>
    <t>TraesCS6B01G217200;TraesCS7B01G241200;TraesCS6D01G232400;TraesCS2A01G380800;TraesCS6A01G222700;TraesCS2A01G196400;TraesCS2A01G196700;TraesCS4D01G232700;TraesCS4A01G419400;TraesCS1D01G103500;TraesCS6A01G250600;TraesCS7D01G028100;TraesCS1A01G235200;TraesCS7B01G301400;TraesCS7D01G337900;TraesCS2D01G218700;TraesCS6B01G274800;TraesCS5B01G468400;TraesCS2D01G377200;TraesCS4A01G075600;TraesCS1B01G122800;TraesCS2D01G377500;TraesCS4A01G401300;TraesCS2D01G377400;TraesCS1D01G039500;TraesCS1D01G144100;TraesCS2B01G398300;TraesCS2D01G204400;TraesCS5D01G333800;TraesCS2B01G398000;TraesCS2D01G204700;TraesCS4B01G231400;TraesCS5A01G327900</t>
  </si>
  <si>
    <t>TraesCS1A01G358100</t>
  </si>
  <si>
    <t>TraesCS1A01G358400</t>
  </si>
  <si>
    <t>TraesCS1A01G386500</t>
  </si>
  <si>
    <t>TraesCS2B01G445200;TraesCS2A01G380800;TraesCS6A01G222700;TraesCS2A01G196400;TraesCS2A01G196700;TraesCS4D01G232700;TraesCS3D01G493700;TraesCS4A01G419400;TraesCS1D01G103500;TraesCS3B01G547300;TraesCS3B01G547500;TraesCS2A01G027800;TraesCS2D01G218700;TraesCS2D01G029600;TraesCS5B01G468400;TraesCS2D01G377200;TraesCS4A01G075600;TraesCS1B01G122800;TraesCS2D01G377500;TraesCS4A01G401300;TraesCS2D01G377400;TraesCS1D01G039500;TraesCS2B01G398300;TraesCS2D01G204400;TraesCS2B01G398000;TraesCS2D01G204700;TraesCS4B01G231400</t>
  </si>
  <si>
    <t>TraesCS1A01G394100</t>
  </si>
  <si>
    <t>TraesCS1A01G413400</t>
  </si>
  <si>
    <t>TraesCS7B01G325900;TraesCS2A01G217200;TraesCS2B01G208900;TraesCS2D01G223000;TraesCS4D01G232700;TraesCS2B01G414800;TraesCS7A01G215800;TraesCS5D01G187700;TraesCS4A01G491600;TraesCS6D01G157900;TraesCS2B01G053300;TraesCS2A01G056800;TraesCS5D01G452500;TraesCS5B01G239600;TraesCS6D01G191400;TraesCS7D01G217500;TraesCSU01G097600;TraesCS7D01G028100;TraesCS1A01G422800;TraesCS3D01G452300;TraesCS7B01G301400;TraesCS6D01G166100;TraesCS3D01G234300;TraesCS2A01G216400;TraesCS7D01G463700;TraesCS5B01G410900;TraesCS6B01G152800;TraesCS1D01G144100;TraesCS5D01G333800;TraesCS3A01G276200;TraesCS1A01G312300;TraesCS3D01G049000;TraesCS6D01G242000;TraesCS1D01G381800;TraesCS5A01G327900;TraesCS1D01G439200;TraesCS2A01G563900;TraesCS4A01G207800;TraesCS5B01G526200;TraesCS5A01G447200;TraesCS3A01G218000;TraesCS7D01G125100;TraesCS1D01G048900;TraesCS7B01G378300;TraesCS4D01G312400;TraesCS4A01G130300;TraesCS2A01G216300;TraesCS4A01G075600;TraesCS2B01G536500;TraesCS3B01G141500;TraesCS2A01G384100;TraesCS1D01G259700;TraesCS5A01G222300;TraesCS3D01G257900;TraesCS6B01G145700;TraesCS7B01G333700;TraesCS5D01G063800;TraesCS3B01G248500;TraesCS4B01G174300;TraesCS3D01G104000;TraesCS7D01G386600;TraesCS7B01G071100;TraesCS1B01G355700;TraesCS3A01G258000;TraesCS3B01G310000;TraesCS4D01G238600;TraesCS2A01G012500;TraesCS3D01G500800;TraesCS1A01G342600;TraesCS4A01G331100;TraesCS2D01G190200;TraesCS5B01G449500;TraesCS6D01G107600;TraesCS3D01G518600;TraesCS6A01G168900;TraesCS1D01G344700;TraesCS2B01G242500;TraesCS2A01G350800;TraesCS2D01G025500;TraesCS7D01G115100;TraesCS7B01G292700;TraesCS6D01G396900;TraesCS2D01G455900;TraesCS2D01G222100;TraesCS7B01G122800;TraesCS3B01G038900;TraesCS6B01G197000;TraesCS4B01G231400;TraesCS5A01G210300;TraesCS6D01G158400;TraesCS3A01G122300;TraesCS3B01G053800;TraesCS7B01G273000;TraesCS6B01G205900;TraesCS3D01G124200;TraesCS1A01G235200;TraesCS2D01G348900;TraesCS4B01G111300;TraesCS5A01G016200;TraesCS7A01G455800;TraesCS2D01G013300;TraesCS4D01G109000;TraesCS2A01G485600;TraesCS5A01G237700;TraesCS2B01G394700;TraesCS3D01G276200;TraesCS1D01G439300</t>
  </si>
  <si>
    <t>TraesCS1D01G039500;TraesCS2B01G398300;TraesCS2A01G384100;TraesCS1A01G070400;TraesCS5B01G468400;TraesCS2A01G380800;TraesCS1B01G122800;TraesCS1D01G103500;TraesCS2A01G196400;TraesCS4A01G401300;TraesCS2D01G377400</t>
  </si>
  <si>
    <t>TraesCS1A01G422800</t>
  </si>
  <si>
    <t>TraesCS2B01G040500;TraesCS5B01G436500;TraesCS7B01G325900;TraesCS2A01G217200;TraesCS2B01G208900;TraesCS1A01G413400;TraesCS6A01G018200;TraesCS2D01G223000;TraesCS1A01G386500;TraesCS7A01G215800;TraesCS3D01G493700;TraesCS5D01G187700;TraesCS4A01G491600;TraesCS6D01G157900;TraesCS2B01G053300;TraesCS5A01G433900;TraesCS4A01G436200;TraesCS2B01G200100;TraesCS5B01G239600;TraesCS6D01G191400;TraesCS7D01G217500;TraesCS1A01G422800;TraesCS2D01G270400;TraesCS3B01G547500;TraesCS3D01G452300;TraesCS7A01G467800;TraesCS2A01G216400;TraesCS7D01G463700;TraesCS5B01G410900;TraesCS3B01G510100;TraesCS7D01G350500;TraesCS6B01G152800;TraesCS2D01G055000;TraesCS3D01G461200;TraesCS3A01G276200;TraesCS3D01G049000;TraesCS4B01G302200;TraesCS6D01G242000;TraesCS1D01G190000;TraesCS1D01G381800;TraesCSU01G009000;TraesCS2A01G563900;TraesCS4A01G207800;TraesCS2D01G047500;TraesCS1D01G394500;TraesCS5B01G526200;TraesCS5B01G436800;TraesCS5D01G342100;TraesCS5D01G441500;TraesCS7A01G195800;TraesCS7A01G427300;TraesCS7D01G125100;TraesCS1D01G048900;TraesCS7B01G378300;TraesCS4D01G312400;TraesCS6A01G250600;TraesCS5A01G433200;TraesCS2A01G216300;TraesCS2B01G536500;TraesCS3B01G141500;TraesCS2A01G048600;TraesCS2A01G490700;TraesCS2D01G491100;TraesCS1D01G259700;TraesCS5A01G222300;TraesCS3D01G326200;TraesCS2B01G519100;TraesCS7A01G216000;TraesCS7B01G333700;TraesCS5D01G063800;TraesCS3D01G104000;TraesCS7B01G071100;TraesCS1B01G355700;TraesCS3B01G310000;TraesCS3B01G362800;TraesCS2D01G072600;TraesCS6D01G232400;TraesCS5A01G132700;TraesCS4B01G059100;TraesCS5D01G441800;TraesCS7D01G315000;TraesCS2A01G012500;TraesCS5A01G433300;TraesCS3D01G500800;TraesCS1A01G342600;TraesCS2D01G190200;TraesCS3D01G518600;TraesCS6A01G168900;TraesCS1D01G344700;TraesCS2B01G242500;TraesCS3B01G547300;TraesCS6D01G021100;TraesCS2D01G025500;TraesCS5A01G337500;TraesCS6A01G015400;TraesCS6D01G396900;TraesCS2D01G455900;TraesCS5B01G336300;TraesCS2D01G222100;TraesCS7B01G122800;TraesCS3B01G038900;TraesCS3B01G145200;TraesCS4B01G226700;TraesCS6B01G197000;TraesCS5A01G210300;TraesCS7D01G455200;TraesCS6D01G158400;TraesCS6B01G217200;TraesCS1B01G041400;TraesCS5A01G149600;TraesCS1A01G424000;TraesCS3A01G122300;TraesCS2B01G518900;TraesCS2A01G028700;TraesCS5D01G143300;TraesCS6B01G342800;TraesCS3B01G053800;TraesCS7D01G217800;TraesCS7B01G273000;TraesCS5B01G072300;TraesCS2D01G031000;TraesCS1D01G191100;TraesCS3D01G124200;TraesCS6B01G274800;TraesCS4B01G111300;TraesCS7A01G455800;TraesCS2D01G013300;TraesCS4D01G109000;TraesCS5B01G148300;TraesCS4D01G227300;TraesCS2A01G485600;TraesCS5A01G237700;TraesCS2B01G394700;TraesCS3D01G276200</t>
  </si>
  <si>
    <t>TraesCS2A01G438200;TraesCS2D01G436200;TraesCS2D01G436100;TraesCS2A01G438300;TraesCS2B01G459100;TraesCS2B01G459000</t>
  </si>
  <si>
    <t>TraesCS1B01G041400</t>
  </si>
  <si>
    <t>TraesCS7B01G325900;TraesCS2A01G217200;TraesCS2B01G208900;TraesCS2D01G223000;TraesCS7A01G215800;TraesCS5D01G187700;TraesCS4A01G491600;TraesCS6D01G157900;TraesCS2B01G053300;TraesCS2A01G056800;TraesCS5D01G452500;TraesCS5B01G239600;TraesCS6D01G191400;TraesCS7D01G217500;TraesCSU01G097600;TraesCS7D01G028100;TraesCS1A01G422800;TraesCS3D01G452300;TraesCS7B01G301400;TraesCS6D01G166100;TraesCS3D01G234300;TraesCS2A01G216400;TraesCS7D01G463700;TraesCS5B01G410900;TraesCS6B01G152800;TraesCS1D01G144100;TraesCS5D01G333800;TraesCS3A01G276200;TraesCS1A01G312300;TraesCS3D01G049000;TraesCS6D01G242000;TraesCS1D01G381800;TraesCS5A01G327900;TraesCS1D01G439200;TraesCS2A01G563900;TraesCS4A01G207800;TraesCS5B01G526200;TraesCS5A01G447200;TraesCS3A01G218000;TraesCS7D01G125100;TraesCS1D01G048900;TraesCS7B01G378300;TraesCS4D01G312400;TraesCS4A01G130300;TraesCS2A01G216300;TraesCS2B01G536500;TraesCS3B01G141500;TraesCS2A01G384100;TraesCS1D01G259700;TraesCS5A01G222300;TraesCS3D01G257900;TraesCS6B01G145700;TraesCS7B01G333700;TraesCS5D01G063800;TraesCS3B01G248500;TraesCS4B01G174300;TraesCS3D01G104000;TraesCS7D01G386600;TraesCS7B01G071100;TraesCS1B01G355700;TraesCS3A01G258000;TraesCS3B01G310000;TraesCS2A01G012500;TraesCS3D01G500800;TraesCS1A01G342600;TraesCS4A01G331100;TraesCS2D01G190200;TraesCS5B01G449500;TraesCS6D01G107600;TraesCS3D01G518600;TraesCS6A01G168900;TraesCS1D01G344700;TraesCS2B01G242500;TraesCS2D01G025500;TraesCS7D01G115100;TraesCS7B01G292700;TraesCS6D01G396900;TraesCS2D01G455900;TraesCS2D01G222100;TraesCS7B01G122800;TraesCS3B01G038900;TraesCS6B01G197000;TraesCS5A01G210300;TraesCS6D01G158400;TraesCS3A01G122300;TraesCS3B01G053800;TraesCS7B01G273000;TraesCS6B01G205900;TraesCS3D01G124200;TraesCS1A01G235200;TraesCS4B01G111300;TraesCS5A01G016200;TraesCS7A01G455800;TraesCS2D01G013300;TraesCS4D01G109000;TraesCS2A01G485600;TraesCS5A01G237700;TraesCS2B01G394700;TraesCS3D01G276200;TraesCS1D01G439300</t>
  </si>
  <si>
    <t>TraesCS3B01G310000;TraesCS7B01G325900;TraesCS2A01G217200;TraesCS2B01G208900;TraesCS2D01G223000;TraesCS2A01G012500;TraesCS7A01G215800;TraesCS3D01G500800;TraesCS5D01G187700;TraesCS1A01G342600;TraesCS4A01G491600;TraesCS6D01G157900;TraesCS2B01G053300;TraesCS2D01G190200;TraesCS1A01G070400;TraesCS3D01G518600;TraesCS6A01G168900;TraesCS5B01G239600;TraesCS6D01G191400;TraesCS7D01G217500;TraesCS1D01G344700;TraesCS2B01G242500;TraesCS1A01G422800;TraesCS2D01G025500;TraesCS3D01G452300;TraesCS2A01G216400;TraesCS7D01G463700;TraesCS5B01G410900;TraesCS6D01G396900;TraesCS2D01G455900;TraesCS2D01G222100;TraesCS7B01G122800;TraesCS3B01G038900;TraesCS6B01G152800;TraesCS6B01G197000;TraesCS3A01G276200;TraesCS3D01G049000;TraesCS6D01G242000;TraesCS5A01G210300;TraesCS1D01G381800;TraesCS6D01G158400;TraesCS2A01G563900;TraesCS4A01G207800;TraesCS3A01G122300;TraesCS5B01G526200;TraesCS3B01G053800;TraesCS7B01G273000;TraesCS7D01G125100;TraesCS1D01G048900;TraesCS7B01G378300;TraesCS4D01G312400;TraesCS3D01G124200;TraesCS2A01G216300;TraesCS4B01G111300;TraesCS2B01G536500;TraesCS3B01G141500;TraesCS7A01G455800;TraesCS2D01G013300;TraesCS4D01G109000;TraesCS2A01G384100;TraesCS1D01G259700;TraesCS5A01G222300;TraesCS7B01G333700;TraesCS2A01G485600;TraesCS5A01G237700;TraesCS5D01G063800;TraesCS2B01G394700;TraesCS3D01G104000;TraesCS3D01G276200;TraesCS7B01G071100;TraesCS1B01G355700</t>
  </si>
  <si>
    <t>TraesCSU01G009000;TraesCS2B01G040500;TraesCS3B01G362800;TraesCS5A01G149600;TraesCS2D01G072600;TraesCS5B01G436500;TraesCS1A01G424000;TraesCS1D01G394500;TraesCS5A01G132700;TraesCS6A01G018200;TraesCS5D01G441500;TraesCS2A01G028700;TraesCS5D01G143300;TraesCS5A01G433300;TraesCS7A01G427300;TraesCS1A01G386500;TraesCS7D01G217800;TraesCS5B01G072300;TraesCS2D01G031000;TraesCS2D01G270400;TraesCS5A01G433200;TraesCS6D01G021100;TraesCS7A01G467800;TraesCS3B01G510100;TraesCS3B01G145200;TraesCS4B01G226700;TraesCS2D01G055000;TraesCS3D01G461200;TraesCS5B01G148300;TraesCS3D01G326200;TraesCS4D01G227300;TraesCS7A01G216000;TraesCS7D01G455200</t>
  </si>
  <si>
    <t>TraesCSU01G009000;TraesCS2B01G040500;TraesCS3B01G362800;TraesCS1B01G041400;TraesCS5A01G149600;TraesCS2D01G072600;TraesCS5B01G436500;TraesCS1A01G424000;TraesCS1D01G394500;TraesCS5A01G132700;TraesCS6A01G018200;TraesCS5D01G441500;TraesCS2A01G028700;TraesCS5D01G143300;TraesCS5A01G433300;TraesCS7A01G427300;TraesCS1A01G386500;TraesCS7D01G217800;TraesCS3D01G493700;TraesCS5B01G072300;TraesCS2D01G031000;TraesCS3B01G547300;TraesCS2D01G270400;TraesCS3B01G547500;TraesCS5A01G433200;TraesCS6D01G021100;TraesCS7A01G467800;TraesCS3B01G510100;TraesCS3B01G145200;TraesCS4B01G226700;TraesCS2D01G055000;TraesCS3D01G461200;TraesCS5B01G148300;TraesCS3D01G326200;TraesCS4D01G227300;TraesCS7A01G216000;TraesCS7D01G455200</t>
  </si>
  <si>
    <t>TraesCS3B01G310000;TraesCS7B01G325900;TraesCS2A01G217200;TraesCS2B01G208900;TraesCS2D01G223000;TraesCS2A01G012500;TraesCS7A01G215800;TraesCS3D01G500800;TraesCS5D01G187700;TraesCS1A01G342600;TraesCS4A01G491600;TraesCS6D01G157900;TraesCS2B01G053300;TraesCS2D01G190200;TraesCS3D01G518600;TraesCS6A01G168900;TraesCS5B01G239600;TraesCS6D01G191400;TraesCS7D01G217500;TraesCS1D01G344700;TraesCS2B01G242500;TraesCS1A01G422800;TraesCS2D01G025500;TraesCS3D01G452300;TraesCS2A01G216400;TraesCS7D01G463700;TraesCS5B01G410900;TraesCS6D01G396900;TraesCS2D01G455900;TraesCS2D01G222100;TraesCS7B01G122800;TraesCS3B01G038900;TraesCS6B01G152800;TraesCS6B01G197000;TraesCS3A01G276200;TraesCS3D01G049000;TraesCS6D01G242000;TraesCS5A01G210300;TraesCS1D01G381800;TraesCS6D01G158400;TraesCS2A01G563900;TraesCS4A01G207800;TraesCS3A01G122300;TraesCS5B01G526200;TraesCS3B01G053800;TraesCS7B01G273000;TraesCS7D01G125100;TraesCS1D01G048900;TraesCS7B01G378300;TraesCS4D01G312400;TraesCS3D01G124200;TraesCS2A01G216300;TraesCS4B01G111300;TraesCS2B01G536500;TraesCS3B01G141500;TraesCS7A01G455800;TraesCS2D01G013300;TraesCS4D01G109000;TraesCS1D01G259700;TraesCS5A01G222300;TraesCS7B01G333700;TraesCS2A01G485600;TraesCS5A01G237700;TraesCS5D01G063800;TraesCS2B01G394700;TraesCS3D01G104000;TraesCS3D01G276200;TraesCS7B01G071100;TraesCS1B01G355700</t>
  </si>
  <si>
    <t>TraesCS1D01G039500;TraesCS2B01G398300;TraesCS1A01G070400;TraesCS5B01G468400;TraesCS2A01G380800;TraesCS1B01G122800;TraesCS1D01G103500;TraesCS2A01G196400;TraesCS4A01G401300;TraesCS2D01G377400</t>
  </si>
  <si>
    <t>TraesCS1B01G158000</t>
  </si>
  <si>
    <t>TraesCS1D01G098100;TraesCS3D01G537800;TraesCSU01G009100;TraesCS2D01G028600;TraesCS7B01G440900;TraesCS2B01G040100;TraesCS6B01G353200;TraesCS5A01G403200;TraesCS6B01G416100;TraesCS2A01G152200;TraesCS4A01G033500;TraesCS7D01G393100;TraesCS6A01G181000;TraesCS5D01G462500;TraesCS3D01G518200;TraesCS7D01G368700;TraesCS5D01G012000;TraesCS5D01G364600;TraesCS5A01G261400;TraesCS4D01G195700;TraesCS2D01G543300;TraesCS4A01G109200;TraesCS3D01G475800;TraesCS2B01G459000;TraesCS1A01G089500;TraesCS2A01G438200;TraesCS4D01G271000;TraesCS7B01G299500;TraesCS5A01G004800;TraesCS2D01G436200;TraesCS4B01G195000;TraesCS5B01G100700;TraesCS2D01G491000;TraesCS4B01G271900;TraesCS2A01G019400;TraesCS2A01G026800;TraesCS2A01G026600;TraesCS2D01G261100;TraesCS2B01G445600;TraesCS2B01G040000;TraesCS1D01G098000;TraesCS2B01G279200;TraesCS5D01G011900;TraesCS5A01G094600;TraesCS6D01G300600;TraesCS7B01G441100;TraesCS7A01G215500;TraesCS1B01G117500;TraesCS4D01G270000;TraesCS5B01G405300;TraesCS7D01G347300;TraesCS4B01G270800;TraesCS1A01G239400;TraesCS2D01G000200;TraesCS4D01G103100;TraesCS2D01G157300;TraesCS2A01G438300;TraesCS2B01G459100;TraesCS3D01G305400;TraesCS4A01G034500;TraesCS4B01G312300;TraesCS6D01G038500;TraesCS2A01G577800;TraesCS1A01G089600;TraesCS1B01G437500;TraesCS4D01G309900;TraesCS6D01G261000;TraesCS3A01G297100;TraesCS4D01G003400;TraesCS2B01G182500;TraesCS7A01G317500;TraesCS5A01G004700;TraesCS4D01G271100;TraesCS2A01G053300;TraesCS2D01G436100;TraesCS2B01G614100;TraesCS5D01G268800;TraesCS2D01G367400</t>
  </si>
  <si>
    <t>TraesCS3B01G310000;TraesCS7B01G325900;TraesCS2A01G217200;TraesCS2B01G208900;TraesCS6D01G232400;TraesCS2D01G223000;TraesCS2A01G012500;TraesCS7A01G215800;TraesCS3D01G500800;TraesCS5D01G187700;TraesCS1A01G342600;TraesCS4A01G491600;TraesCS6D01G157900;TraesCS2B01G053300;TraesCS2D01G190200;TraesCS3D01G518600;TraesCS6A01G168900;TraesCS5B01G239600;TraesCS6D01G191400;TraesCS7D01G217500;TraesCS1D01G344700;TraesCS2B01G242500;TraesCS1A01G422800;TraesCS2D01G025500;TraesCS3D01G452300;TraesCS2A01G216400;TraesCS7D01G463700;TraesCS5B01G410900;TraesCS6D01G396900;TraesCS2D01G455900;TraesCS2D01G222100;TraesCS7B01G122800;TraesCS3B01G038900;TraesCS6B01G152800;TraesCS6B01G197000;TraesCS3A01G276200;TraesCS3D01G049000;TraesCS6D01G242000;TraesCS5A01G210300;TraesCS1D01G381800;TraesCS6D01G158400;TraesCS2A01G563900;TraesCS4A01G207800;TraesCS3A01G122300;TraesCS5B01G526200;TraesCS3B01G053800;TraesCS7B01G273000;TraesCS7D01G125100;TraesCS1D01G048900;TraesCS7B01G378300;TraesCS4D01G312400;TraesCS3D01G124200;TraesCS6A01G250600;TraesCS2A01G216300;TraesCS6B01G274800;TraesCS4B01G111300;TraesCS2B01G536500;TraesCS3B01G141500;TraesCS7A01G455800;TraesCS2D01G013300;TraesCS4D01G109000;TraesCS1D01G259700;TraesCS5A01G222300;TraesCS7B01G333700;TraesCS2A01G485600;TraesCS5A01G237700;TraesCS5D01G063800;TraesCS2B01G394700;TraesCS3D01G104000;TraesCS3D01G276200;TraesCS7B01G071100;TraesCS1B01G355700</t>
  </si>
  <si>
    <t>TraesCS1A01G350400;TraesCS3D01G341100;TraesCS1B01G088900;TraesCS1B01G308200;TraesCS6B01G175100;TraesCS1A01G358400;TraesCS1A01G358100;TraesCS3A01G347500;TraesCS5A01G185600;TraesCS1D01G363300;TraesCS3D01G113200;TraesCS1D01G072900;TraesCS1A01G070400;TraesCS1A01G298600;TraesCS3A01G209800;TraesCS1D01G362900;TraesCS1D01G418400;TraesCS1A01G121500;TraesCS3B01G379200;TraesCS6A01G146900;TraesCS6D01G136200;TraesCS1B01G374900;TraesCS2A01G011000</t>
  </si>
  <si>
    <t>TraesCS1D01G266000;TraesCS1A01G021000;TraesCS1B01G276800;TraesCS1B01G276500;TraesCS1A01G021400;TraesCS1D01G265900;TraesCS1A01G265700</t>
  </si>
  <si>
    <t>TraesCS1B01G308200</t>
  </si>
  <si>
    <t>TraesCS1B01G392000</t>
  </si>
  <si>
    <t>TraesCS2A01G026800;TraesCS2D01G261100;TraesCS3D01G537800;TraesCSU01G009100;TraesCS2B01G445600;TraesCS7B01G440900;TraesCS2B01G040100;TraesCS2B01G279200;TraesCS5A01G403200;TraesCS6B01G416100;TraesCS2A01G152200;TraesCS7D01G393100;TraesCS6D01G300600;TraesCS7B01G441100;TraesCS6A01G181000;TraesCS5D01G462500;TraesCS7A01G215500;TraesCS1A01G239400;TraesCS5D01G012000;TraesCS2D01G157300;TraesCS4D01G195700;TraesCS4A01G109200;TraesCS4B01G312300;TraesCS6D01G038500;TraesCS2A01G577800;TraesCS4D01G309900;TraesCS6D01G261000;TraesCS2B01G182500;TraesCS7B01G299500;TraesCS5A01G004700;TraesCS2A01G053300;TraesCS4B01G195000;TraesCS2D01G491000;TraesCS2A01G019400</t>
  </si>
  <si>
    <t>TraesCS1D01G036500</t>
  </si>
  <si>
    <t>TraesCS7D01G115100;TraesCS3A01G258000;TraesCS6D01G166100;TraesCS7B01G292700;TraesCS3D01G234300;TraesCS5A01G447200;TraesCS5A01G016200;TraesCS3A01G218000;TraesCS4A01G331100;TraesCS3D01G257900;TraesCS5B01G449500;TraesCS1A01G312300;TraesCS6D01G107600;TraesCS6B01G145700;TraesCS6B01G205900;TraesCS2A01G056800;TraesCS5D01G452500;TraesCS3B01G248500;TraesCS4B01G174300;TraesCSU01G097600;TraesCS7D01G386600;TraesCS4A01G130300</t>
  </si>
  <si>
    <t>TraesCS1D01G039500</t>
  </si>
  <si>
    <t>TraesCS7B01G325900;TraesCS2A01G217200;TraesCS2B01G208900;TraesCS2D01G223000;TraesCS4D01G232700;TraesCS2B01G414800;TraesCS7A01G215800;TraesCS5D01G187700;TraesCS4A01G491600;TraesCS6D01G157900;TraesCS2B01G053300;TraesCS2A01G056800;TraesCS5D01G452500;TraesCS5B01G239600;TraesCS6D01G191400;TraesCS7D01G217500;TraesCSU01G097600;TraesCS7D01G028100;TraesCS1A01G422800;TraesCS7D01G368700;TraesCS3D01G452300;TraesCS7B01G301400;TraesCS6D01G166100;TraesCS3D01G234300;TraesCS2A01G216400;TraesCS7D01G463700;TraesCS5A01G261400;TraesCS5B01G410900;TraesCS6B01G152800;TraesCS1D01G144100;TraesCS5D01G333800;TraesCS3A01G276200;TraesCS1A01G312300;TraesCS3D01G049000;TraesCS6D01G242000;TraesCS2D01G380500;TraesCS1D01G381800;TraesCS5A01G327900;TraesCS1D01G439200;TraesCS2A01G026600;TraesCS2A01G563900;TraesCS2B01G040000;TraesCS4A01G207800;TraesCS5B01G526200;TraesCS7B01G453400;TraesCS5A01G447200;TraesCS3A01G218000;TraesCS7D01G125100;TraesCS1D01G048900;TraesCS7B01G378300;TraesCS4D01G312400;TraesCS4A01G130300;TraesCS2A01G216300;TraesCS4A01G075600;TraesCS2B01G536500;TraesCS3B01G141500;TraesCS2A01G384100;TraesCS1D01G259700;TraesCS5A01G222300;TraesCS3D01G257900;TraesCS6B01G145700;TraesCS7B01G333700;TraesCS5D01G063800;TraesCS3B01G248500;TraesCS4B01G174300;TraesCS3D01G104000;TraesCS7D01G386600;TraesCS7B01G071100;TraesCS1B01G355700;TraesCS3A01G258000;TraesCS3B01G310000;TraesCS2D01G028600;TraesCS6B01G353200;TraesCS2A01G012500;TraesCS3B01G321300;TraesCS3D01G500800;TraesCS1A01G342600;TraesCS4A01G331100;TraesCS2D01G190200;TraesCS5B01G449500;TraesCS6D01G107600;TraesCS3D01G518600;TraesCS6A01G168900;TraesCS1D01G344700;TraesCS2B01G242500;TraesCS2D01G025500;TraesCS7D01G115100;TraesCS7A01G226500;TraesCS2B01G043700;TraesCS7B01G292700;TraesCS6D01G396900;TraesCS2D01G455900;TraesCS2D01G222100;TraesCS7B01G122800;TraesCS3B01G038900;TraesCS3D01G475800;TraesCS6B01G197000;TraesCS1A01G309500;TraesCS4B01G231400;TraesCS5A01G210300;TraesCS6D01G158400;TraesCS3A01G122300;TraesCS2B01G401300;TraesCS3B01G053800;TraesCS7B01G273000;TraesCS4D01G270000;TraesCS6B01G205900;TraesCS2A01G031400;TraesCS3D01G124200;TraesCS4B01G270800;TraesCS1A01G235200;TraesCS4B01G111300;TraesCS1D01G036500;TraesCS4A01G034500;TraesCS5A01G016200;TraesCS7A01G455800;TraesCS2D01G013300;TraesCS4D01G109000;TraesCS7A01G317500;TraesCS2A01G485600;TraesCS5A01G237700;TraesCS2B01G394700;TraesCS5D01G268800;TraesCS3D01G276200;TraesCS1D01G439300</t>
  </si>
  <si>
    <t>TraesCS1D01G098100;TraesCS3D01G537800;TraesCSU01G009100;TraesCS2D01G028600;TraesCS7B01G440900;TraesCS2B01G040100;TraesCS6B01G353200;TraesCS5A01G403200;TraesCS6B01G416100;TraesCS2A01G152200;TraesCS7D01G393100;TraesCS6A01G181000;TraesCS5D01G462500;TraesCS3D01G518200;TraesCS7D01G368700;TraesCS5D01G012000;TraesCS5D01G364600;TraesCS5A01G261400;TraesCS4D01G195700;TraesCS4A01G109200;TraesCS3D01G475800;TraesCS2B01G459000;TraesCS1A01G089500;TraesCS2A01G438200;TraesCS7B01G299500;TraesCS5A01G004800;TraesCS2D01G436200;TraesCS4B01G195000;TraesCS5B01G100700;TraesCS2D01G491000;TraesCS2A01G019400;TraesCS2A01G026800;TraesCS2A01G026600;TraesCS2D01G261100;TraesCS2B01G445600;TraesCS2B01G040000;TraesCS1D01G098000;TraesCS2B01G279200;TraesCS5D01G011900;TraesCS5A01G094600;TraesCS6D01G300600;TraesCS7B01G441100;TraesCS7A01G215500;TraesCS1B01G117500;TraesCS4D01G270000;TraesCS5B01G405300;TraesCS7D01G347300;TraesCS4B01G270800;TraesCS1A01G239400;TraesCS2D01G000200;TraesCS4D01G103100;TraesCS2D01G157300;TraesCS2A01G438300;TraesCS2B01G459100;TraesCS3D01G305400;TraesCS4A01G034500;TraesCS4B01G312300;TraesCS6D01G038500;TraesCS2A01G577800;TraesCS1A01G089600;TraesCS1B01G437500;TraesCS4D01G309900;TraesCS6D01G261000;TraesCS3A01G297100;TraesCS4D01G003400;TraesCS2B01G182500;TraesCS7A01G317500;TraesCS5A01G004700;TraesCS2A01G053300;TraesCS2D01G436100;TraesCS2B01G614100;TraesCS5D01G268800;TraesCS2D01G367400</t>
  </si>
  <si>
    <t>TraesCS7B01G325900;TraesCS2A01G217200;TraesCS2B01G208900;TraesCS2D01G223000;TraesCS7A01G215800;TraesCS5D01G187700;TraesCS4A01G491600;TraesCS6D01G157900;TraesCS2B01G053300;TraesCS2A01G056800;TraesCS5D01G452500;TraesCS5B01G239600;TraesCS6D01G191400;TraesCS7D01G217500;TraesCSU01G097600;TraesCS7D01G028100;TraesCS1A01G422800;TraesCS3D01G452300;TraesCS7B01G301400;TraesCS6D01G166100;TraesCS3D01G234300;TraesCS2A01G216400;TraesCS7D01G463700;TraesCS5B01G410900;TraesCS6B01G152800;TraesCS1D01G144100;TraesCS5D01G333800;TraesCS3A01G276200;TraesCS1A01G312300;TraesCS3D01G049000;TraesCS6D01G242000;TraesCS2D01G380500;TraesCS1D01G381800;TraesCS5A01G327900;TraesCS1D01G439200;TraesCS2A01G563900;TraesCS4A01G207800;TraesCS5B01G526200;TraesCS7B01G453400;TraesCS5A01G447200;TraesCS3A01G218000;TraesCS7D01G125100;TraesCS1D01G048900;TraesCS7B01G378300;TraesCS4D01G312400;TraesCS4A01G130300;TraesCS2A01G216300;TraesCS2B01G536500;TraesCS3B01G141500;TraesCS2A01G384100;TraesCS1D01G259700;TraesCS5A01G222300;TraesCS3D01G257900;TraesCS6B01G145700;TraesCS7B01G333700;TraesCS5D01G063800;TraesCS3B01G248500;TraesCS4B01G174300;TraesCS3D01G104000;TraesCS7D01G386600;TraesCS7B01G071100;TraesCS1B01G355700;TraesCS3A01G258000;TraesCS3B01G310000;TraesCS2A01G012500;TraesCS3B01G321300;TraesCS3D01G500800;TraesCS1A01G342600;TraesCS4A01G331100;TraesCS2D01G190200;TraesCS5B01G449500;TraesCS6D01G107600;TraesCS3D01G518600;TraesCS6A01G168900;TraesCS1D01G344700;TraesCS2B01G242500;TraesCS2D01G025500;TraesCS7D01G115100;TraesCS7A01G226500;TraesCS2B01G043700;TraesCS7B01G292700;TraesCS6D01G396900;TraesCS2D01G455900;TraesCS2D01G222100;TraesCS7B01G122800;TraesCS3B01G038900;TraesCS6B01G197000;TraesCS1A01G309500;TraesCS5A01G210300;TraesCS6D01G158400;TraesCS3A01G122300;TraesCS2B01G401300;TraesCS3B01G053800;TraesCS7B01G273000;TraesCS6B01G205900;TraesCS2A01G031400;TraesCS3D01G124200;TraesCS1A01G235200;TraesCS4B01G111300;TraesCS5A01G016200;TraesCS7A01G455800;TraesCS2D01G013300;TraesCS4D01G109000;TraesCS2A01G485600;TraesCS5A01G237700;TraesCS2B01G394700;TraesCS3D01G276200;TraesCS1D01G439300</t>
  </si>
  <si>
    <t>TraesCS1A01G350400;TraesCS1B01G308200;TraesCS6B01G175100;TraesCS1A01G358400;TraesCS1A01G358100;TraesCS1D01G363300;TraesCS2D01G414300;TraesCS1D01G072900;TraesCS3B01G105700;TraesCS1A01G070400;TraesCS1A01G298600;TraesCS2A01G427700;TraesCS3B01G379200;TraesCS6D01G136200;TraesCS1B01G392000;TraesCS6D01G225500;TraesCS3D01G341100;TraesCS1B01G088900;TraesCS6B01G281000;TraesCS3A01G347500;TraesCS5A01G185600;TraesCS2A01G417100;TraesCS3D01G113200;TraesCS2B01G436300;TraesCS3A01G209800;TraesCS1D01G362900;TraesCS3D01G090300;TraesCS1D01G418400;TraesCS1A01G121500;TraesCS6A01G146900;TraesCS1B01G374900;TraesCS2A01G011000</t>
  </si>
  <si>
    <t>TraesCS1D01G144100</t>
  </si>
  <si>
    <t>TraesCS7B01G325900;TraesCS2A01G217200;TraesCS2B01G208900;TraesCS2D01G223000;TraesCS7A01G215800;TraesCS5D01G187700;TraesCS4A01G491600;TraesCS6D01G157900;TraesCS2B01G053300;TraesCS2A01G056800;TraesCS5D01G452500;TraesCS5B01G239600;TraesCS6D01G191400;TraesCS7D01G217500;TraesCSU01G097600;TraesCS7D01G028100;TraesCS1A01G422800;TraesCS3D01G452300;TraesCS7B01G301400;TraesCS6D01G166100;TraesCS3D01G234300;TraesCS2A01G216400;TraesCS7D01G463700;TraesCS5B01G410900;TraesCS6B01G152800;TraesCS1D01G144100;TraesCS5D01G333800;TraesCS3A01G276200;TraesCS1A01G312300;TraesCS3D01G049000;TraesCS6D01G242000;TraesCS2D01G380500;TraesCS1D01G381800;TraesCS5A01G327900;TraesCS1D01G439200;TraesCS2A01G026600;TraesCS2A01G563900;TraesCS2B01G040000;TraesCS4A01G207800;TraesCS5B01G526200;TraesCS7B01G453400;TraesCS5A01G447200;TraesCS3A01G218000;TraesCS7D01G125100;TraesCS1D01G048900;TraesCS7B01G378300;TraesCS4D01G312400;TraesCS4A01G130300;TraesCS2A01G216300;TraesCS2B01G536500;TraesCS3B01G141500;TraesCS2A01G384100;TraesCS1D01G259700;TraesCS5A01G222300;TraesCS3D01G257900;TraesCS6B01G145700;TraesCS7B01G333700;TraesCS5D01G063800;TraesCS3B01G248500;TraesCS4B01G174300;TraesCS3D01G104000;TraesCS7D01G386600;TraesCS7B01G071100;TraesCS1B01G355700;TraesCS3A01G258000;TraesCS3B01G310000;TraesCS2D01G028600;TraesCS6B01G353200;TraesCS2A01G012500;TraesCS3B01G321300;TraesCS3D01G500800;TraesCS1A01G342600;TraesCS4A01G331100;TraesCS2D01G190200;TraesCS5B01G449500;TraesCS6D01G107600;TraesCS3D01G518600;TraesCS6A01G168900;TraesCS1D01G344700;TraesCS2B01G242500;TraesCS2A01G350800;TraesCS2D01G025500;TraesCS7D01G115100;TraesCS7A01G226500;TraesCS2B01G043700;TraesCS7B01G292700;TraesCS6D01G396900;TraesCS2D01G455900;TraesCS2D01G222100;TraesCS7B01G122800;TraesCS3B01G038900;TraesCS6B01G197000;TraesCS1A01G309500;TraesCS5A01G210300;TraesCS6D01G158400;TraesCS3A01G122300;TraesCS2B01G401300;TraesCS3B01G053800;TraesCS7B01G273000;TraesCS6B01G205900;TraesCS2A01G031400;TraesCS3D01G124200;TraesCS1A01G235200;TraesCS2D01G348900;TraesCS4B01G111300;TraesCS5A01G016200;TraesCS7A01G455800;TraesCS2D01G013300;TraesCS4D01G109000;TraesCS2A01G485600;TraesCS5A01G237700;TraesCS2B01G394700;TraesCS3D01G276200;TraesCS1D01G439300</t>
  </si>
  <si>
    <t>TraesCS1A01G088600;TraesCS1B01G107600;TraesCS1D01G090000</t>
  </si>
  <si>
    <t>TraesCS1D01G190000</t>
  </si>
  <si>
    <t>TraesCS2A01G350800;TraesCS2A01G350900;TraesCS2D01G218700;TraesCS2D01G348900;TraesCS5B01G468400;TraesCS2A01G380800;TraesCS2D01G377200;TraesCS1B01G122800;TraesCS6A01G222700;TraesCS2A01G196400;TraesCS2A01G196700;TraesCS2D01G377500;TraesCS4A01G401300;TraesCS2D01G377400;TraesCS1D01G039500;TraesCS2B01G398300;TraesCS2D01G204400;TraesCS2B01G398000;TraesCS2D01G204700;TraesCS1A01G203600;TraesCS4A01G419400;TraesCS1D01G103500;TraesCS2D01G349400</t>
  </si>
  <si>
    <t>TraesCS2A01G156400;TraesCS7B01G325900;TraesCS7B01G440900;TraesCS2A01G217200;TraesCS2B01G208900;TraesCS6B01G416100;TraesCS4D01G232700;TraesCS2B01G414800;TraesCS5D01G187700;TraesCS4A01G491600;TraesCS2A01G056800;TraesCS6D01G191400;TraesCSU01G097600;TraesCS7D01G028100;TraesCS1A01G422800;TraesCS3D01G452300;TraesCS5D01G364600;TraesCS6D01G166100;TraesCS3D01G234300;TraesCS7D01G463700;TraesCS5A01G261400;TraesCS5B01G410900;TraesCS2D01G543300;TraesCS4A01G109200;TraesCS6B01G152800;TraesCS3A01G276200;TraesCS3D01G049000;TraesCS2D01G380500;TraesCS1D01G381800;TraesCS5A01G327900;TraesCS1D01G439200;TraesCS2D01G491000;TraesCS7B01G350200;TraesCS2A01G026600;TraesCS2B01G279200;TraesCS5B01G526200;TraesCS1D01G090000;TraesCS7B01G453400;TraesCS5A01G447200;TraesCS1A01G394100;TraesCS7A01G195800;TraesCS7D01G125100;TraesCS1D01G048900;TraesCS7B01G378300;TraesCS2A01G027800;TraesCS5D01G238700;TraesCS5A01G239000;TraesCS2A01G384100;TraesCS1D01G259700;TraesCS3D01G257900;TraesCS5A01G004700;TraesCS6B01G145700;TraesCS5A01G453200;TraesCS1B01G355700;TraesCS3A01G258000;TraesCS3B01G310000;TraesCS3D01G537800;TraesCS2D01G028600;TraesCS6B01G353200;TraesCS5A01G403200;TraesCS2A01G012500;TraesCS3B01G321300;TraesCS3D01G500800;TraesCS1A01G342600;TraesCS4A01G331100;TraesCS5D01G462500;TraesCS6A01G168900;TraesCS5D01G464000;TraesCS1D01G344700;TraesCS7A01G226500;TraesCS2B01G043700;TraesCS5B01G227700;TraesCS7B01G292700;TraesCS7A01G352100;TraesCS2D01G455900;TraesCS2B01G182000;TraesCS4B01G344200;TraesCS6B01G197000;TraesCS1A01G309500;TraesCS4B01G231400;TraesCS2A01G539100;TraesCS6D01G158400;TraesCS2A01G026800;TraesCS2B01G445600;TraesCS3A01G122300;TraesCS5A01G513000;TraesCS7B01G441100;TraesCS7A01G215500;TraesCS4D01G270000;TraesCS1A01G235200;TraesCS5B01G462200;TraesCS1B01G107600;TraesCS2D01G029600;TraesCS4B01G312300;TraesCS6D01G038500;TraesCS2A01G577800;TraesCS7A01G455800;TraesCS4D01G109000;TraesCS4D01G271100;TraesCS5A01G237700;TraesCS3D01G276200;TraesCS1D01G439300;TraesCSU01G009100;TraesCS2B01G040100;TraesCS2A01G152200;TraesCS2D01G223000;TraesCS7A01G215800;TraesCS7D01G393100;TraesCS6A01G181000;TraesCS6D01G157900;TraesCS2B01G053300;TraesCS5D01G452500;TraesCS5B01G239600;TraesCS7D01G217500;TraesCS7D01G368700;TraesCS7B01G301400;TraesCS5D01G012000;TraesCS2A01G216400;TraesCS4D01G195700;TraesCS3A01G492300;TraesCS1D01G144100;TraesCS2A01G438200;TraesCS7B01G276000;TraesCS5D01G333800;TraesCS1A01G312300;TraesCS6D01G242000;TraesCS2A01G563900;TraesCS2B01G040000;TraesCS4A01G207800;TraesCS3A01G218000;TraesCS4D01G312400;TraesCS7D01G347300;TraesCS4A01G130300;TraesCS4D01G103100;TraesCS2A01G216300;TraesCS4A01G075600;TraesCS2B01G536500;TraesCS3B01G141500;TraesCS4D01G309900;TraesCS2B01G182500;TraesCS5A01G222300;TraesCS7B01G333700;TraesCS5D01G063800;TraesCS3B01G248500;TraesCS4B01G174300;TraesCS3D01G104000;TraesCS7D01G386600;TraesCS7B01G071100;TraesCS4D01G238600;TraesCS4A01G033500;TraesCS2D01G190200;TraesCS5B01G449500;TraesCS6D01G107600;TraesCS3D01G518600;TraesCS2B01G242500;TraesCS2D01G025500;TraesCS7D01G115100;TraesCS6D01G396900;TraesCS2D01G222100;TraesCS7B01G122800;TraesCS3B01G038900;TraesCS3D01G475800;TraesCS7D01G370800;TraesCS7B01G299500;TraesCS7D01G157300;TraesCS2D01G162300;TraesCS5A01G210300;TraesCS4B01G271900;TraesCS2A01G019400;TraesCS2B01G445200;TraesCS2D01G261100;TraesCS5A01G229000;TraesCS2B01G401300;TraesCS1A01G088600;TraesCS3B01G053800;TraesCS6D01G300600;TraesCS7B01G273000;TraesCS6B01G205900;TraesCS2A01G031400;TraesCS3D01G124200;TraesCS4B01G270800;TraesCS1A01G239400;TraesCS2D01G157300;TraesCS4B01G111300;TraesCS1D01G036500;TraesCS4A01G034500;TraesCS5A01G016200;TraesCS2D01G013300;TraesCS7A01G317500;TraesCS2A01G053300;TraesCS2D01G162200;TraesCS2A01G485600;TraesCS2B01G614100;TraesCS2B01G394700;TraesCS5D01G268800</t>
  </si>
  <si>
    <t>TraesCS1D01G259700</t>
  </si>
  <si>
    <t>TraesCS7B01G325900;TraesCS2A01G217200;TraesCS2B01G208900;TraesCS2D01G223000;TraesCS7A01G215800;TraesCS5D01G187700;TraesCS4A01G491600;TraesCS6D01G157900;TraesCS2B01G053300;TraesCS2A01G056800;TraesCS5D01G452500;TraesCS5B01G239600;TraesCS6D01G191400;TraesCS7D01G217500;TraesCSU01G097600;TraesCS7D01G028100;TraesCS1A01G422800;TraesCS3D01G452300;TraesCS7B01G301400;TraesCS6D01G166100;TraesCS3D01G234300;TraesCS2A01G216400;TraesCS7D01G463700;TraesCS5B01G410900;TraesCS6B01G152800;TraesCS1D01G144100;TraesCS5D01G333800;TraesCS3A01G276200;TraesCS1A01G312300;TraesCS3D01G049000;TraesCS6D01G242000;TraesCS2D01G380500;TraesCS1D01G381800;TraesCS5A01G327900;TraesCS1D01G439200;TraesCS2A01G026600;TraesCS2A01G563900;TraesCS2B01G040000;TraesCS4A01G207800;TraesCS5B01G526200;TraesCS7B01G453400;TraesCS5A01G447200;TraesCS3A01G218000;TraesCS7D01G125100;TraesCS1D01G048900;TraesCS7B01G378300;TraesCS4D01G312400;TraesCS4A01G130300;TraesCS2A01G216300;TraesCS2B01G536500;TraesCS3B01G141500;TraesCS2A01G384100;TraesCS1D01G259700;TraesCS5A01G222300;TraesCS3D01G257900;TraesCS6B01G145700;TraesCS7B01G333700;TraesCS5D01G063800;TraesCS3B01G248500;TraesCS4B01G174300;TraesCS3D01G104000;TraesCS7D01G386600;TraesCS7B01G071100;TraesCS1B01G355700;TraesCS3A01G258000;TraesCS3B01G310000;TraesCS2D01G028600;TraesCS6B01G353200;TraesCS2A01G012500;TraesCS3B01G321300;TraesCS3D01G500800;TraesCS1A01G342600;TraesCS4A01G331100;TraesCS2D01G190200;TraesCS5B01G449500;TraesCS6D01G107600;TraesCS3D01G518600;TraesCS6A01G168900;TraesCS1D01G344700;TraesCS2B01G242500;TraesCS2D01G025500;TraesCS7D01G115100;TraesCS7A01G226500;TraesCS2B01G043700;TraesCS7B01G292700;TraesCS6D01G396900;TraesCS2D01G455900;TraesCS2D01G222100;TraesCS7B01G122800;TraesCS3B01G038900;TraesCS6B01G197000;TraesCS1A01G309500;TraesCS5A01G210300;TraesCS6D01G158400;TraesCS3A01G122300;TraesCS2B01G401300;TraesCS3B01G053800;TraesCS7B01G273000;TraesCS6B01G205900;TraesCS2A01G031400;TraesCS3D01G124200;TraesCS1A01G235200;TraesCS4B01G111300;TraesCS5A01G016200;TraesCS7A01G455800;TraesCS2D01G013300;TraesCS4D01G109000;TraesCS2A01G485600;TraesCS5A01G237700;TraesCS2B01G394700;TraesCS3D01G276200;TraesCS1D01G439300</t>
  </si>
  <si>
    <t>TraesCS2D01G261100;TraesCS3D01G537800;TraesCSU01G009100;TraesCS2B01G445600;TraesCS7B01G440900;TraesCS2B01G279200;TraesCS5A01G403200;TraesCS6B01G416100;TraesCS4D01G238600;TraesCS2A01G152200;TraesCS7D01G393100;TraesCS6D01G300600;TraesCS7B01G441100;TraesCS6A01G181000;TraesCS5D01G462500;TraesCS7A01G215500;TraesCS1A01G239400;TraesCS5D01G012000;TraesCS2D01G157300;TraesCS4D01G195700;TraesCS4A01G109200;TraesCS4B01G312300;TraesCS2A01G577800;TraesCS4D01G309900;TraesCS2B01G182500;TraesCS7B01G299500;TraesCS5A01G004700;TraesCS2A01G053300;TraesCS2D01G491000;TraesCS2A01G019400</t>
  </si>
  <si>
    <t>TraesCS6D01G232400;TraesCS6B01G274800;TraesCS6A01G250600</t>
  </si>
  <si>
    <t>TraesCS1B01G276900;TraesCS1D01G266100;TraesCS1D01G266000;TraesCS1A01G021000;TraesCS1B01G276800;TraesCS1B01G276500;TraesCS1A01G021400;TraesCS1D01G265900;TraesCS1D01G265800;TraesCS1A01G265900;TraesCS1A01G265700</t>
  </si>
  <si>
    <t>TraesCS2A01G380800;TraesCS6A01G222700;TraesCS2A01G196400;TraesCS2A01G196700;TraesCS1A01G070400;TraesCS1D01G103500;TraesCS2D01G349400;TraesCS2A01G350800;TraesCS2A01G350900;TraesCS5D01G364600;TraesCS2D01G218700;TraesCS2D01G348900;TraesCS5B01G468400;TraesCS2D01G377200;TraesCS1B01G122800;TraesCS2D01G377500;TraesCS4A01G401300;TraesCS2D01G377400;TraesCS1D01G039500;TraesCS2B01G398300;TraesCS2D01G204400;TraesCS2A01G384100;TraesCS2B01G398000;TraesCS2D01G204700;TraesCS1A01G203600;TraesCS2B01G614100</t>
  </si>
  <si>
    <t>TraesCS1D01G362900</t>
  </si>
  <si>
    <t>TraesCS1D01G363300</t>
  </si>
  <si>
    <t>TraesCS2A01G563900;TraesCS2B01G208900;TraesCS4A01G207800;TraesCS5B01G526200;TraesCS2D01G223000;TraesCS2A01G012500;TraesCS5D01G187700;TraesCS7B01G273000;TraesCS7D01G125100;TraesCS1D01G048900;TraesCS4D01G312400;TraesCS5B01G239600;TraesCS6D01G191400;TraesCS7D01G217500;TraesCS2B01G242500;TraesCS1A01G422800;TraesCS2D01G025500;TraesCS2A01G216400;TraesCS7D01G463700;TraesCS2A01G216300;TraesCS5B01G410900;TraesCS6D01G396900;TraesCS2B01G536500;TraesCS6B01G152800;TraesCS7A01G455800;TraesCS2D01G013300;TraesCS4D01G109000;TraesCS1D01G259700;TraesCS3D01G049000;TraesCS7B01G333700;TraesCS2A01G485600;TraesCS5A01G237700;TraesCS6D01G242000;TraesCS7B01G071100</t>
  </si>
  <si>
    <t>TraesCS1D01G381800</t>
  </si>
  <si>
    <t>TraesCS2D01G261100;TraesCS5D01G012000;TraesCSU01G009100;TraesCS2B01G445600;TraesCS7B01G440900;TraesCS2B01G279200;TraesCS5A01G403200;TraesCS6B01G416100;TraesCS2A01G577800;TraesCS4D01G309900;TraesCS7D01G393100;TraesCS7B01G441100;TraesCS6A01G181000;TraesCS2B01G182500;TraesCS5D01G462500;TraesCS5A01G004700;TraesCS7A01G215500;TraesCS2A01G019400</t>
  </si>
  <si>
    <t>TraesCS6B01G217200;TraesCS7B01G241200;TraesCS6D01G232400;TraesCS2A01G380800;TraesCS1A01G413400;TraesCS6A01G222700;TraesCS2A01G196400;TraesCS2A01G196700;TraesCS4D01G232700;TraesCS1A01G070400;TraesCS4A01G419400;TraesCS1D01G103500;TraesCS6A01G250600;TraesCS7D01G028100;TraesCS1A01G235200;TraesCS7B01G301400;TraesCS7D01G337900;TraesCS2D01G218700;TraesCS6B01G274800;TraesCS5B01G468400;TraesCS2D01G377200;TraesCS4A01G075600;TraesCS1B01G122800;TraesCS7D01G350500;TraesCS2D01G377500;TraesCS4A01G401300;TraesCS2D01G377400;TraesCS1D01G039500;TraesCS1D01G144100;TraesCS2B01G398300;TraesCS2D01G204400;TraesCS2A01G384100;TraesCS5D01G333800;TraesCS2B01G398000;TraesCS2D01G204700;TraesCS4B01G231400;TraesCS5A01G327900</t>
  </si>
  <si>
    <t>TraesCS1D01G409200</t>
  </si>
  <si>
    <t>TraesCS2D01G261100;TraesCS3D01G537800;TraesCSU01G009100;TraesCS2B01G445600;TraesCS7B01G440900;TraesCS2B01G279200;TraesCS5A01G403200;TraesCS6B01G416100;TraesCS4D01G238600;TraesCS2A01G152200;TraesCS7D01G393100;TraesCS7B01G441100;TraesCS6A01G181000;TraesCS5D01G462500;TraesCS7A01G215500;TraesCS5B01G405300;TraesCS7D01G347300;TraesCS1A01G239400;TraesCS3D01G518200;TraesCS5D01G012000;TraesCS5D01G364600;TraesCS2D01G157300;TraesCS3D01G305400;TraesCS4B01G312300;TraesCS2A01G577800;TraesCS4D01G309900;TraesCS3A01G297100;TraesCS2B01G182500;TraesCS7B01G299500;TraesCS5A01G004700;TraesCS2A01G053300;TraesCS2B01G614100;TraesCS2D01G491000;TraesCS2A01G019400</t>
  </si>
  <si>
    <t>TraesCS1D01G418400</t>
  </si>
  <si>
    <t>TraesCS3D01G467600;TraesCS3A01G471900;TraesCS4D01G142000</t>
  </si>
  <si>
    <t>TraesCS1D01G433200</t>
  </si>
  <si>
    <t>TraesCS1D01G439200</t>
  </si>
  <si>
    <t>TraesCS2A01G011000</t>
  </si>
  <si>
    <t>TraesCS2A01G012500</t>
  </si>
  <si>
    <t>TraesCS7B01G325900;TraesCS2A01G217200;TraesCS2B01G208900;TraesCS2D01G223000;TraesCS4D01G232700;TraesCS2B01G414800;TraesCS7A01G215800;TraesCS5D01G187700;TraesCS4A01G491600;TraesCS6D01G157900;TraesCS2B01G053300;TraesCS2A01G056800;TraesCS5D01G452500;TraesCS5B01G239600;TraesCS6D01G191400;TraesCS7D01G217500;TraesCSU01G097600;TraesCS7D01G028100;TraesCS1A01G422800;TraesCS7D01G368700;TraesCS3D01G452300;TraesCS7B01G301400;TraesCS6D01G166100;TraesCS3D01G234300;TraesCS2A01G216400;TraesCS7D01G463700;TraesCS5A01G261400;TraesCS5B01G410900;TraesCS6B01G152800;TraesCS1D01G144100;TraesCS5D01G333800;TraesCS3A01G276200;TraesCS1A01G312300;TraesCS3D01G049000;TraesCS6D01G242000;TraesCS2D01G380500;TraesCS1D01G381800;TraesCS5A01G327900;TraesCS1D01G439200;TraesCS2A01G026600;TraesCS2A01G563900;TraesCS2B01G040000;TraesCS4A01G207800;TraesCS5B01G526200;TraesCS7B01G453400;TraesCS5A01G447200;TraesCS3A01G218000;TraesCS7D01G125100;TraesCS1D01G048900;TraesCS7B01G378300;TraesCS4D01G312400;TraesCS4A01G130300;TraesCS2A01G216300;TraesCS4A01G075600;TraesCS2B01G536500;TraesCS3B01G141500;TraesCS2A01G384100;TraesCS1D01G259700;TraesCS5A01G222300;TraesCS3D01G257900;TraesCS6B01G145700;TraesCS7B01G333700;TraesCS5D01G063800;TraesCS3B01G248500;TraesCS4B01G174300;TraesCS3D01G104000;TraesCS7D01G386600;TraesCS7B01G071100;TraesCS1B01G355700;TraesCS3A01G258000;TraesCS3B01G310000;TraesCS2D01G028600;TraesCS6B01G353200;TraesCS4D01G238600;TraesCS2A01G012500;TraesCS3B01G321300;TraesCS3D01G500800;TraesCS1A01G342600;TraesCS4A01G331100;TraesCS2D01G190200;TraesCS5B01G449500;TraesCS6D01G107600;TraesCS3D01G518600;TraesCS6A01G168900;TraesCS1D01G344700;TraesCS2B01G242500;TraesCS2D01G025500;TraesCS7D01G115100;TraesCS7A01G226500;TraesCS2B01G043700;TraesCS7B01G292700;TraesCS6D01G396900;TraesCS2D01G455900;TraesCS2D01G222100;TraesCS7B01G122800;TraesCS3B01G038900;TraesCS3D01G475800;TraesCS6B01G197000;TraesCS1A01G309500;TraesCS4B01G197500;TraesCS4B01G231400;TraesCS5A01G210300;TraesCS6D01G158400;TraesCS3A01G122300;TraesCS2B01G401300;TraesCS3B01G053800;TraesCS7B01G273000;TraesCS4D01G270000;TraesCS6B01G205900;TraesCS2A01G031400;TraesCS3D01G124200;TraesCS4B01G270800;TraesCS1A01G235200;TraesCS4B01G111300;TraesCS4A01G034500;TraesCS5A01G016200;TraesCS7A01G455800;TraesCS2D01G013300;TraesCS4D01G109000;TraesCS7A01G317500;TraesCS2A01G485600;TraesCS5A01G237700;TraesCS2B01G394700;TraesCS5D01G268800;TraesCS3D01G276200;TraesCS1D01G439300</t>
  </si>
  <si>
    <t>TraesCS2A01G027800</t>
  </si>
  <si>
    <t>TraesCS6D01G232400;TraesCS6B01G274800;TraesCS4A01G075600;TraesCS4B01G231400;TraesCS4A01G419400;TraesCS6A01G250600;TraesCS4D01G232700</t>
  </si>
  <si>
    <t>TraesCS7B01G325900;TraesCS2A01G217200;TraesCS2B01G208900;TraesCS2D01G223000;TraesCS7A01G215800;TraesCS5D01G187700;TraesCS4A01G491600;TraesCS6D01G157900;TraesCS2B01G053300;TraesCS2A01G056800;TraesCS5D01G452500;TraesCS5B01G239600;TraesCS6D01G191400;TraesCS7D01G217500;TraesCSU01G097600;TraesCS7D01G028100;TraesCS1A01G422800;TraesCS7D01G368700;TraesCS3D01G452300;TraesCS7B01G301400;TraesCS6D01G166100;TraesCS3D01G234300;TraesCS2A01G216400;TraesCS7D01G463700;TraesCS5A01G261400;TraesCS5B01G410900;TraesCS6B01G152800;TraesCS1D01G144100;TraesCS5D01G333800;TraesCS3A01G276200;TraesCS1A01G312300;TraesCS3D01G049000;TraesCS6D01G242000;TraesCS2D01G380500;TraesCS1D01G381800;TraesCS5A01G327900;TraesCS1D01G439200;TraesCS2A01G026600;TraesCS2A01G563900;TraesCS2B01G040000;TraesCS4A01G207800;TraesCS5B01G526200;TraesCS7B01G453400;TraesCS5A01G447200;TraesCS3A01G218000;TraesCS7D01G125100;TraesCS1D01G048900;TraesCS7B01G378300;TraesCS4D01G312400;TraesCS4A01G130300;TraesCS2A01G216300;TraesCS2B01G536500;TraesCS3B01G141500;TraesCS2A01G384100;TraesCS1D01G259700;TraesCS5A01G222300;TraesCS3D01G257900;TraesCS6B01G145700;TraesCS7B01G333700;TraesCS5D01G063800;TraesCS3B01G248500;TraesCS4B01G174300;TraesCS3D01G104000;TraesCS7D01G386600;TraesCS7B01G071100;TraesCS1B01G355700;TraesCS3A01G258000;TraesCS3B01G310000;TraesCS2D01G028600;TraesCS6B01G353200;TraesCS2A01G012500;TraesCS3B01G321300;TraesCS3D01G500800;TraesCS1A01G342600;TraesCS4A01G331100;TraesCS2D01G190200;TraesCS5B01G449500;TraesCS6D01G107600;TraesCS3D01G518600;TraesCS6A01G168900;TraesCS1D01G344700;TraesCS2B01G242500;TraesCS2D01G025500;TraesCS7D01G115100;TraesCS7A01G226500;TraesCS2B01G043700;TraesCS7B01G292700;TraesCS6D01G396900;TraesCS2D01G455900;TraesCS2D01G222100;TraesCS7B01G122800;TraesCS3B01G038900;TraesCS3D01G475800;TraesCS6B01G197000;TraesCS1A01G309500;TraesCS4B01G197500;TraesCS5A01G210300;TraesCS6D01G158400;TraesCS3A01G122300;TraesCS2B01G401300;TraesCS3B01G053800;TraesCS7B01G273000;TraesCS4D01G270000;TraesCS6B01G205900;TraesCS2A01G031400;TraesCS3D01G124200;TraesCS4B01G270800;TraesCS1A01G235200;TraesCS4B01G111300;TraesCS4A01G034500;TraesCS5A01G016200;TraesCS7A01G455800;TraesCS2D01G013300;TraesCS4D01G109000;TraesCS7A01G317500;TraesCS2A01G485600;TraesCS5A01G237700;TraesCS2B01G394700;TraesCS5D01G268800;TraesCS3D01G276200;TraesCS1D01G439300</t>
  </si>
  <si>
    <t>TraesCS2A01G053300</t>
  </si>
  <si>
    <t>TraesCS1D01G266000;TraesCS1A01G021000;TraesCS1B01G276800;TraesCS1B01G276500;TraesCS1A01G021400;TraesCS1A01G277900;TraesCS1D01G265900;TraesCS1A01G265700</t>
  </si>
  <si>
    <t>TraesCS2A01G136700</t>
  </si>
  <si>
    <t>TraesCS3D01G537800;TraesCSU01G009100;TraesCS2D01G028600;TraesCS7B01G440900;TraesCS6B01G353200;TraesCS5A01G403200;TraesCS6B01G416100;TraesCS4D01G238600;TraesCS2A01G152200;TraesCS4D01G232700;TraesCS2B01G414800;TraesCS7D01G393100;TraesCS6A01G181000;TraesCS5D01G462500;TraesCS3D01G518200;TraesCS7D01G368700;TraesCS5D01G012000;TraesCS5D01G364600;TraesCS5A01G261400;TraesCS3D01G475800;TraesCS7B01G299500;TraesCS4B01G231400;TraesCS2D01G491000;TraesCS2A01G019400;TraesCS2A01G026600;TraesCS2D01G261100;TraesCS2B01G445600;TraesCS2B01G040000;TraesCS2B01G279200;TraesCS7B01G441100;TraesCS7A01G215500;TraesCS4D01G270000;TraesCS5B01G405300;TraesCS3D01G514300;TraesCS7D01G347300;TraesCS4B01G270800;TraesCS1A01G239400;TraesCS2D01G157300;TraesCS4A01G075600;TraesCS3D01G305400;TraesCS4A01G034500;TraesCS4B01G312300;TraesCS2A01G577800;TraesCS4D01G309900;TraesCS3A01G297100;TraesCS2B01G182500;TraesCS7A01G317500;TraesCS5A01G004700;TraesCS2A01G053300;TraesCS2B01G614100;TraesCS5D01G268800</t>
  </si>
  <si>
    <t>TraesCS2A01G156400</t>
  </si>
  <si>
    <t>TraesCS2A01G166000</t>
  </si>
  <si>
    <t>TraesCS2A01G384100;TraesCS2B01G208900;TraesCS1A01G070400;TraesCS4D01G238600</t>
  </si>
  <si>
    <t>TraesCS2A01G350800;TraesCS2A01G350900;TraesCS2D01G348900;TraesCS1A01G203600;TraesCS2D01G349400</t>
  </si>
  <si>
    <t>TraesCS2A01G345900</t>
  </si>
  <si>
    <t>TraesCS2A01G384100</t>
  </si>
  <si>
    <t>TraesCS5A01G337400;TraesCS5D01G342000;TraesCS4A01G419400;TraesCS5B01G336200</t>
  </si>
  <si>
    <t>TraesCS2A01G485600</t>
  </si>
  <si>
    <t>TraesCS2A01G490700</t>
  </si>
  <si>
    <t>TraesCS2A01G563900</t>
  </si>
  <si>
    <t>TraesCS6D01G232400;TraesCS6B01G274800;TraesCS4A01G419400;TraesCS6A01G250600</t>
  </si>
  <si>
    <t>TraesCS2A01G577800</t>
  </si>
  <si>
    <t>TraesCS2A01G583000</t>
  </si>
  <si>
    <t>TraesCS7B01G325900;TraesCS2A01G217200;TraesCS2B01G208900;TraesCS1B01G345000;TraesCS5D01G342000;TraesCS2A01G380800;TraesCS2A01G196700;TraesCS2D01G223000;TraesCS4D01G232700;TraesCS7A01G215800;TraesCS3D01G493700;TraesCS5D01G187700;TraesCS4A01G491600;TraesCS6D01G157900;TraesCS2B01G053300;TraesCS1A01G070400;TraesCS1D01G103500;TraesCS5B01G239600;TraesCS6D01G191400;TraesCS7D01G217500;TraesCS2D01G349400;TraesCS7D01G028100;TraesCS1A01G422800;TraesCS3B01G547500;TraesCS3D01G452300;TraesCS7B01G301400;TraesCS7D01G337900;TraesCS5D01G194400;TraesCS2A01G216400;TraesCS7D01G463700;TraesCS1B01G122800;TraesCS5B01G410900;TraesCS6B01G152800;TraesCS1D01G144100;TraesCS5D01G333800;TraesCS2B01G398000;TraesCS3A01G276200;TraesCS3D01G049000;TraesCS6D01G242000;TraesCS1D01G381800;TraesCS5A01G327900;TraesCS2A01G563900;TraesCS4A01G207800;TraesCS5B01G526200;TraesCS2A01G196400;TraesCS7A01G195800;TraesCS7D01G125100;TraesCS1D01G048900;TraesCS7B01G378300;TraesCS4A01G419400;TraesCS4D01G312400;TraesCS6A01G250600;TraesCS2A01G350900;TraesCS2D01G218700;TraesCS2A01G216300;TraesCS4A01G075600;TraesCS5B01G336200;TraesCS2B01G536500;TraesCS3B01G141500;TraesCS2D01G377400;TraesCS3D01G467600;TraesCS2B01G398300;TraesCS2A01G384100;TraesCS1D01G259700;TraesCS5A01G222300;TraesCS2D01G204700;TraesCS1A01G203600;TraesCS7B01G444800;TraesCS7B01G333700;TraesCS5D01G063800;TraesCS7A01G537200;TraesCS3D01G104000;TraesCS7B01G071100;TraesCS1B01G355700;TraesCS3B01G310000;TraesCS6D01G232400;TraesCS2A01G012500;TraesCS3D01G500800;TraesCS1A01G342600;TraesCS3A01G471900;TraesCS2D01G190200;TraesCS3D01G518600;TraesCS6A01G168900;TraesCS1D01G344700;TraesCS2B01G242500;TraesCS3B01G547300;TraesCS2A01G350800;TraesCS2D01G025500;TraesCS5B01G468400;TraesCS6D01G396900;TraesCS2D01G455900;TraesCS2D01G222100;TraesCS7B01G122800;TraesCS3B01G038900;TraesCS2D01G377500;TraesCS3D01G475800;TraesCS1D01G039500;TraesCS2D01G204400;TraesCS6B01G197000;TraesCS7D01G516400;TraesCS4B01G231400;TraesCS5A01G210300;TraesCS6D01G158400;TraesCS6B01G217200;TraesCS7B01G241200;TraesCS3A01G122300;TraesCS6A01G222700;TraesCS6B01G342800;TraesCS3B01G053800;TraesCS7B01G273000;TraesCS3D01G124200;TraesCS1A01G235200;TraesCS5A01G337400;TraesCS2D01G348900;TraesCS6B01G274800;TraesCS4B01G111300;TraesCS2D01G377200;TraesCS4A01G401300;TraesCS7A01G455800;TraesCS2D01G013300;TraesCS4D01G109000;TraesCS2A01G485600;TraesCS5A01G237700;TraesCS2B01G394700;TraesCS3D01G276200</t>
  </si>
  <si>
    <t>TraesCS2B01G053300</t>
  </si>
  <si>
    <t>TraesCS3B01G310000;TraesCS7B01G325900;TraesCS2A01G217200;TraesCS2B01G208900;TraesCS2D01G223000;TraesCS2A01G012500;TraesCS7A01G215800;TraesCS3D01G493700;TraesCS3D01G500800;TraesCS5D01G187700;TraesCS1A01G342600;TraesCS4A01G491600;TraesCS6D01G157900;TraesCS2B01G053300;TraesCS2D01G190200;TraesCS1A01G070400;TraesCS3D01G518600;TraesCS6A01G168900;TraesCS5B01G239600;TraesCS6D01G191400;TraesCS7D01G217500;TraesCS1D01G344700;TraesCS2B01G242500;TraesCS3B01G547300;TraesCS1A01G422800;TraesCS3B01G547500;TraesCS2D01G025500;TraesCS3D01G452300;TraesCS2A01G216400;TraesCS7D01G463700;TraesCS5B01G410900;TraesCS6D01G396900;TraesCS2D01G455900;TraesCS2D01G222100;TraesCS7B01G122800;TraesCS3B01G038900;TraesCS6B01G152800;TraesCS6B01G197000;TraesCS3A01G276200;TraesCS3D01G049000;TraesCS6D01G242000;TraesCS5A01G210300;TraesCS1D01G381800;TraesCS6D01G158400;TraesCS2A01G563900;TraesCS4A01G207800;TraesCS3A01G122300;TraesCS5B01G526200;TraesCS1D01G090000;TraesCS3B01G053800;TraesCS7B01G273000;TraesCS7D01G125100;TraesCS1D01G048900;TraesCS7B01G378300;TraesCS4D01G312400;TraesCS3D01G124200;TraesCS1B01G107600;TraesCS2A01G216300;TraesCS4B01G111300;TraesCS2B01G536500;TraesCS3B01G141500;TraesCS7A01G455800;TraesCS2D01G013300;TraesCS4D01G109000;TraesCS2A01G384100;TraesCS1D01G259700;TraesCS5A01G222300;TraesCS7B01G333700;TraesCS2A01G485600;TraesCS5A01G237700;TraesCS5D01G063800;TraesCS2B01G394700;TraesCS3D01G104000;TraesCS3D01G276200;TraesCS7B01G071100;TraesCS1B01G355700</t>
  </si>
  <si>
    <t>TraesCS2B01G097800</t>
  </si>
  <si>
    <t>TraesCS2B01G182000</t>
  </si>
  <si>
    <t>TraesCS2B01G182500</t>
  </si>
  <si>
    <t>TraesCS3D01G493700;TraesCS4A01G075600;TraesCS4B01G231400;TraesCS4A01G419400;TraesCS3B01G547300;TraesCS4D01G232700;TraesCS3B01G547500</t>
  </si>
  <si>
    <t>TraesCS2A01G380800;TraesCS6A01G222700;TraesCS2A01G196400;TraesCS2A01G196700;TraesCS3A01G471900;TraesCS4B01G286600;TraesCS4D01G142000;TraesCS4A01G419400;TraesCS1D01G103500;TraesCS2D01G349400;TraesCS2A01G350800;TraesCS2A01G350900;TraesCS2D01G218700;TraesCS2D01G348900;TraesCS4D01G285300;TraesCS5B01G468400;TraesCS2D01G377200;TraesCS1B01G122800;TraesCS2D01G377500;TraesCS4A01G401300;TraesCS2D01G377400;TraesCS1D01G039500;TraesCS3D01G467600;TraesCS2B01G398300;TraesCS2D01G204400;TraesCS2B01G398000;TraesCS2D01G204700;TraesCS1A01G203600</t>
  </si>
  <si>
    <t>TraesCS2B01G200100</t>
  </si>
  <si>
    <t>TraesCS2A01G350800;TraesCS7A01G427300;TraesCS2A01G350900;TraesCS3D01G467600;TraesCS2D01G348900;TraesCS3A01G471900;TraesCS1A01G203600;TraesCS4D01G142000;TraesCS2D01G349400</t>
  </si>
  <si>
    <t>detection of biotic stimulus</t>
  </si>
  <si>
    <t>TraesCS2A01G384100;TraesCS2B01G208900;TraesCS1A01G070400</t>
  </si>
  <si>
    <t>TraesCS3B01G310000;TraesCS7B01G325900;TraesCS2A01G217200;TraesCS2B01G208900;TraesCS2D01G223000;TraesCS2A01G012500;TraesCS7A01G215800;TraesCS3D01G500800;TraesCS5D01G187700;TraesCS1A01G342600;TraesCS4A01G491600;TraesCS6D01G157900;TraesCS2B01G053300;TraesCS2D01G190200;TraesCS1A01G070400;TraesCS3D01G518600;TraesCS6A01G168900;TraesCS5B01G239600;TraesCS6D01G191400;TraesCS7D01G217500;TraesCS1D01G344700;TraesCS2B01G242500;TraesCS1A01G422800;TraesCS2D01G025500;TraesCS3D01G452300;TraesCS2A01G216400;TraesCS7D01G463700;TraesCS5B01G410900;TraesCS6D01G396900;TraesCS2D01G455900;TraesCS2D01G222100;TraesCS7B01G122800;TraesCS3B01G038900;TraesCS6B01G152800;TraesCS6B01G197000;TraesCS3A01G276200;TraesCS3D01G049000;TraesCS6D01G242000;TraesCS5A01G210300;TraesCS1D01G381800;TraesCS6D01G158400;TraesCS2A01G563900;TraesCS4A01G207800;TraesCS3A01G122300;TraesCS5B01G526200;TraesCS6B01G342800;TraesCS3B01G053800;TraesCS7B01G273000;TraesCS7D01G125100;TraesCS1D01G048900;TraesCS7B01G378300;TraesCS4D01G312400;TraesCS3D01G124200;TraesCS2A01G216300;TraesCS4B01G111300;TraesCS2B01G536500;TraesCS3B01G141500;TraesCS7A01G455800;TraesCS2D01G013300;TraesCS4D01G109000;TraesCS2A01G384100;TraesCS1D01G259700;TraesCS5A01G222300;TraesCS7B01G333700;TraesCS2A01G485600;TraesCS5A01G237700;TraesCS5D01G063800;TraesCS2B01G394700;TraesCS3D01G104000;TraesCS3D01G276200;TraesCS7B01G071100;TraesCS1B01G355700</t>
  </si>
  <si>
    <t>aspartate-tRNA ligase activity</t>
  </si>
  <si>
    <t>TraesCS5D01G333800;TraesCS5A01G327900</t>
  </si>
  <si>
    <t>aspartyl-tRNA aminoacylation</t>
  </si>
  <si>
    <t>TraesCS2B01G398000</t>
  </si>
  <si>
    <t>TraesCS2A01G026800;TraesCS6D01G300600;TraesCS2B01G040100;TraesCS4B01G195000;TraesCS4D01G195700;TraesCS4A01G109200;TraesCS6D01G038500</t>
  </si>
  <si>
    <t>TraesCS2B01G401300</t>
  </si>
  <si>
    <t>sugar-phosphatase activity</t>
  </si>
  <si>
    <t>arginine biosynthetic process</t>
  </si>
  <si>
    <t>TraesCS2B01G436300</t>
  </si>
  <si>
    <t>TraesCS2B01G445200</t>
  </si>
  <si>
    <t>TraesCS2B01G445600</t>
  </si>
  <si>
    <t>TraesCS2A01G380800;TraesCS6A01G222700;TraesCS2A01G196400;TraesCS2A01G196700;TraesCS3A01G471900;TraesCS4B01G286600;TraesCS4D01G142000;TraesCS4A01G419400;TraesCS1D01G103500;TraesCS2D01G349400;TraesCS2A01G350800;TraesCS2A01G350900;TraesCS5D01G364600;TraesCS2D01G218700;TraesCS2D01G348900;TraesCS4D01G285300;TraesCS5B01G468400;TraesCS2D01G377200;TraesCS1B01G122800;TraesCS2D01G377500;TraesCS4A01G401300;TraesCS2D01G377400;TraesCS1D01G039500;TraesCS3D01G467600;TraesCS2B01G398300;TraesCS2D01G204400;TraesCS2B01G398000;TraesCS2D01G204700;TraesCS1A01G203600;TraesCS2B01G614100</t>
  </si>
  <si>
    <t>ATPase activity, coupled to movement of substances</t>
  </si>
  <si>
    <t>TraesCS7D01G115100;TraesCS3A01G258000;TraesCS3D01G257900;TraesCS1A01G312300;TraesCS6D01G107600;TraesCS6B01G145700;TraesCS2A01G056800;TraesCS4B01G174300;TraesCS4A01G130300</t>
  </si>
  <si>
    <t>TraesCS2B01G518900</t>
  </si>
  <si>
    <t>TraesCS2B01G519100</t>
  </si>
  <si>
    <t>phosphotransferase activity, carboxyl group as acceptor</t>
  </si>
  <si>
    <t>TraesCS7D01G337900;TraesCS5A01G337400;TraesCS7B01G241200;TraesCS5D01G342000;TraesCS4A01G419400;TraesCS5B01G336200</t>
  </si>
  <si>
    <t>TraesCS2B01G574500</t>
  </si>
  <si>
    <t>TraesCS2B01G614100</t>
  </si>
  <si>
    <t>cellular response to jasmonic acid stimulus</t>
  </si>
  <si>
    <t>TraesCS2A01G384100;TraesCS2B01G208900;TraesCS1A01G070400;TraesCS3A01G209800</t>
  </si>
  <si>
    <t>TraesCS2D01G000200</t>
  </si>
  <si>
    <t>jasmonic acid mediated signaling pathway</t>
  </si>
  <si>
    <t>TraesCS2A01G384100;TraesCS2B01G208900;TraesCS1A01G070400;TraesCS2A01G406000</t>
  </si>
  <si>
    <t>TraesCS7B01G325900;TraesCS7B01G440900;TraesCS2A01G217200;TraesCS2B01G208900;TraesCS6B01G416100;TraesCS4D01G232700;TraesCS2B01G414800;TraesCS5D01G187700;TraesCS4A01G491600;TraesCS1D01G072900;TraesCS1A01G070400;TraesCS2A01G056800;TraesCS2A01G427700;TraesCS6D01G191400;TraesCSU01G097600;TraesCS6B01G257200;TraesCS7D01G028100;TraesCS1A01G422800;TraesCS3D01G452300;TraesCS5D01G364600;TraesCS6D01G166100;TraesCS1B01G392000;TraesCS3D01G234300;TraesCS7D01G463700;TraesCS5A01G261400;TraesCS1B01G088900;TraesCS5B01G410900;TraesCS6B01G152800;TraesCS3D01G113200;TraesCS3A01G276200;TraesCS3D01G049000;TraesCS2D01G380500;TraesCS1D01G381800;TraesCS5A01G327900;TraesCS1D01G439200;TraesCS2D01G491000;TraesCS2A01G026600;TraesCS2B01G279200;TraesCS5B01G526200;TraesCS7B01G453400;TraesCS5A01G447200;TraesCS3B01G105700;TraesCS7D01G125100;TraesCS1D01G048900;TraesCS7B01G378300;TraesCS5B01G405300;TraesCS6B01G257100;TraesCS3A01G297100;TraesCS2A01G384100;TraesCS1D01G259700;TraesCS3D01G257900;TraesCS5A01G004700;TraesCS6B01G145700;TraesCS3A01G209800;TraesCS1B01G355700;TraesCS3A01G258000;TraesCS3B01G310000;TraesCS3D01G537800;TraesCS2D01G028600;TraesCS6B01G353200;TraesCS5A01G403200;TraesCS6B01G175100;TraesCS2A01G012500;TraesCS3B01G321300;TraesCS3D01G500800;TraesCS1A01G342600;TraesCS4A01G331100;TraesCS5D01G462500;TraesCS6A01G168900;TraesCS1D01G344700;TraesCS6D01G136200;TraesCS3D01G518200;TraesCS6B01G257000;TraesCS7A01G226500;TraesCS2B01G043700;TraesCS7B01G292700;TraesCS2D01G455900;TraesCS6B01G281000;TraesCS6B01G197000;TraesCS6D01G211200;TraesCS1A01G309500;TraesCS4B01G231400;TraesCS1D01G418400;TraesCS1A01G121500;TraesCS6D01G158400;TraesCS1B01G374900;TraesCS2B01G445600;TraesCS3A01G122300;TraesCS1B01G308200;TraesCS1A01G358400;TraesCS7B01G441100;TraesCS7A01G215500;TraesCS4D01G270000;TraesCS1A01G235200;TraesCS2A01G583000;TraesCS6D01G225500;TraesCS3D01G341100;TraesCS4B01G312300;TraesCS2A01G577800;TraesCS7A01G455800;TraesCS2A01G417100;TraesCS4D01G109000;TraesCS3D01G090300;TraesCS5A01G237700;TraesCS6A01G146900;TraesCS3D01G276200;TraesCS1D01G439300;TraesCSU01G009100;TraesCS2A01G152200;TraesCS2D01G223000;TraesCS7A01G215800;TraesCS7D01G393100;TraesCS1D01G363300;TraesCS6A01G181000;TraesCS2D01G414300;TraesCS6D01G157900;TraesCS2B01G053300;TraesCS1A01G298600;TraesCS5D01G452500;TraesCS5B01G239600;TraesCS7D01G217500;TraesCS3B01G379200;TraesCS7D01G368700;TraesCS7B01G301400;TraesCS5D01G012000;TraesCS2A01G216400;TraesCS3A01G492300;TraesCS1D01G144100;TraesCS5D01G333800;TraesCS2B01G436300;TraesCS1A01G312300;TraesCS1D01G362900;TraesCS6D01G242000;TraesCS2A01G563900;TraesCS2B01G040000;TraesCS4A01G207800;TraesCS3A01G218000;TraesCS4D01G312400;TraesCS7D01G347300;TraesCS4A01G130300;TraesCS2A01G216300;TraesCS4A01G075600;TraesCS2B01G536500;TraesCS3B01G141500;TraesCS3D01G305400;TraesCS4D01G309900;TraesCS2B01G182500;TraesCS5A01G222300;TraesCS7B01G333700;TraesCS5D01G063800;TraesCS3B01G248500;TraesCS4B01G174300;TraesCS3D01G104000;TraesCS7D01G386600;TraesCS7B01G071100;TraesCS4D01G238600;TraesCS1A01G358100;TraesCS2D01G190200;TraesCS5B01G449500;TraesCS6D01G107600;TraesCS3D01G518600;TraesCS2B01G242500;TraesCS2D01G025500;TraesCS7D01G115100;TraesCS4D01G128800;TraesCS6D01G396900;TraesCS2D01G222100;TraesCS7B01G122800;TraesCS3B01G038900;TraesCS3D01G475800;TraesCS3B01G003700;TraesCS7B01G299500;TraesCS2D01G162300;TraesCS4B01G197500;TraesCS5A01G210300;TraesCS2A01G011000;TraesCS2A01G019400;TraesCS1A01G350400;TraesCS2D01G261100;TraesCS2B01G401300;TraesCS3B01G053800;TraesCS7B01G273000;TraesCS6B01G205900;TraesCS2A01G031400;TraesCS3D01G124200;TraesCS4B01G270800;TraesCS1A01G239400;TraesCS2D01G157300;TraesCS4B01G111300;TraesCS4A01G034500;TraesCS3A01G347500;TraesCS5A01G016200;TraesCS5A01G185600;TraesCS2D01G013300;TraesCS7A01G317500;TraesCS2A01G053300;TraesCS2A01G485600;TraesCS2B01G614100;TraesCS2B01G394700;TraesCS5D01G268800</t>
  </si>
  <si>
    <t>TraesCS2D01G029600</t>
  </si>
  <si>
    <t>TraesCS7D01G337900;TraesCS5A01G337400;TraesCS7B01G241200;TraesCS5D01G342000;TraesCS4A01G419400;TraesCS5B01G336200;TraesCS3D01G475800</t>
  </si>
  <si>
    <t>TraesCS2D01G072600</t>
  </si>
  <si>
    <t>TraesCS2D01G139400</t>
  </si>
  <si>
    <t>TraesCS3B01G310000;TraesCS7B01G325900;TraesCS2A01G217200;TraesCS2B01G208900;TraesCS2D01G223000;TraesCS2A01G012500;TraesCS7A01G215800;TraesCS3D01G500800;TraesCS5D01G187700;TraesCS1A01G342600;TraesCS4A01G491600;TraesCS6D01G157900;TraesCS2B01G053300;TraesCS2D01G190200;TraesCS1A01G070400;TraesCS3D01G518600;TraesCS6A01G168900;TraesCS5B01G239600;TraesCS6D01G191400;TraesCS7D01G217500;TraesCS1D01G344700;TraesCS2B01G242500;TraesCS1A01G422800;TraesCS2D01G025500;TraesCS3D01G452300;TraesCS2A01G216400;TraesCS7D01G463700;TraesCS5B01G410900;TraesCS6D01G396900;TraesCS2D01G455900;TraesCS2D01G222100;TraesCS7B01G122800;TraesCS3B01G038900;TraesCS6B01G152800;TraesCS6B01G197000;TraesCS3A01G276200;TraesCS3D01G049000;TraesCS6D01G242000;TraesCS5A01G210300;TraesCS1D01G381800;TraesCS6D01G158400;TraesCS2A01G563900;TraesCS4A01G207800;TraesCS3A01G122300;TraesCS5B01G526200;TraesCS7A01G195800;TraesCS6B01G342800;TraesCS3B01G053800;TraesCS7B01G273000;TraesCS7D01G125100;TraesCS1D01G048900;TraesCS7B01G378300;TraesCS4D01G312400;TraesCS3D01G124200;TraesCS2A01G216300;TraesCS4B01G111300;TraesCS2B01G536500;TraesCS3B01G141500;TraesCS7A01G455800;TraesCS2D01G013300;TraesCS4D01G109000;TraesCS2A01G384100;TraesCS1D01G259700;TraesCS5A01G222300;TraesCS7B01G333700;TraesCS2A01G485600;TraesCS5A01G237700;TraesCS5D01G063800;TraesCS2B01G394700;TraesCS3D01G104000;TraesCS3D01G276200;TraesCS7B01G071100;TraesCS1B01G355700</t>
  </si>
  <si>
    <t>TraesCS1D01G266000;TraesCS1A01G021000;TraesCS2A01G384100;TraesCS1B01G276800;TraesCS2B01G208900;TraesCS1B01G276500;TraesCS1A01G021400;TraesCS1A01G070400;TraesCS1A01G277900;TraesCS1D01G265900;TraesCS1A01G265700</t>
  </si>
  <si>
    <t>TraesCS2D01G162200</t>
  </si>
  <si>
    <t>TraesCS2D01G162300</t>
  </si>
  <si>
    <t>TraesCS2D01G173300</t>
  </si>
  <si>
    <t>negative regulation of programmed cell death</t>
  </si>
  <si>
    <t>TraesCS5B01G468400;TraesCS2A01G380800;TraesCS1A01G413400;TraesCS1B01G122800;TraesCS7D01G350500;TraesCS2A01G196400;TraesCS4A01G401300;TraesCS2D01G377400;TraesCS1D01G039500;TraesCS2B01G398300;TraesCS2A01G384100;TraesCS1A01G070400;TraesCS1D01G103500</t>
  </si>
  <si>
    <t>ATPase activity, coupled to transmembrane movement of substances</t>
  </si>
  <si>
    <t>TraesCS7D01G115100;TraesCS3A01G258000;TraesCS3D01G257900;TraesCS1A01G312300;TraesCS6D01G107600;TraesCS6B01G145700;TraesCS2A01G056800;TraesCS4A01G130300</t>
  </si>
  <si>
    <t>tRNA aminoacylation for protein translation</t>
  </si>
  <si>
    <t>TraesCS7B01G301400;TraesCS1D01G144100;TraesCS5D01G333800;TraesCS5A01G327900;TraesCS7D01G028100;TraesCS1A01G235200</t>
  </si>
  <si>
    <t>TraesCS2D01G222100</t>
  </si>
  <si>
    <t>TraesCS1D01G191100;TraesCS4B01G059100</t>
  </si>
  <si>
    <t>amino acid activation</t>
  </si>
  <si>
    <t>TraesCS2D01G344600</t>
  </si>
  <si>
    <t>tRNA aminoacylation</t>
  </si>
  <si>
    <t>TraesCS3B01G310000;TraesCS7B01G325900;TraesCS2A01G217200;TraesCS2B01G208900;TraesCS1B01G345000;TraesCS2D01G223000;TraesCS2A01G012500;TraesCS7A01G215800;TraesCS3D01G500800;TraesCS5D01G187700;TraesCS1A01G342600;TraesCS3A01G471900;TraesCS4A01G491600;TraesCS6D01G157900;TraesCS2B01G053300;TraesCS2D01G190200;TraesCS3D01G518600;TraesCS6A01G168900;TraesCS5B01G239600;TraesCS6D01G191400;TraesCS7D01G217500;TraesCS1D01G344700;TraesCS2B01G242500;TraesCS1A01G422800;TraesCS2D01G025500;TraesCS3D01G452300;TraesCS5D01G194400;TraesCS2A01G216400;TraesCS7D01G463700;TraesCS5B01G410900;TraesCS6D01G396900;TraesCS2D01G455900;TraesCS2D01G222100;TraesCS7B01G122800;TraesCS3B01G038900;TraesCS6B01G152800;TraesCS6B01G197000;TraesCS7D01G516400;TraesCS3A01G276200;TraesCS3D01G049000;TraesCS6D01G242000;TraesCS5A01G210300;TraesCS1D01G381800;TraesCS6D01G158400;TraesCS2A01G563900;TraesCS4A01G207800;TraesCS3A01G122300;TraesCS5B01G526200;TraesCS7A01G195800;TraesCS6B01G342800;TraesCS3B01G053800;TraesCS7B01G273000;TraesCS7D01G125100;TraesCS1D01G048900;TraesCS7B01G378300;TraesCS4D01G312400;TraesCS3D01G124200;TraesCS2A01G216300;TraesCS4B01G111300;TraesCS2B01G536500;TraesCS3B01G141500;TraesCS7A01G455800;TraesCS2D01G013300;TraesCS3D01G467600;TraesCS4D01G109000;TraesCS1D01G259700;TraesCS5A01G222300;TraesCS7B01G444800;TraesCS7B01G333700;TraesCS2A01G485600;TraesCS5A01G237700;TraesCS5D01G063800;TraesCS7A01G537200;TraesCS2B01G394700;TraesCS3D01G104000;TraesCS3D01G276200;TraesCS7B01G071100;TraesCS1B01G355700</t>
  </si>
  <si>
    <t>FAD binding</t>
  </si>
  <si>
    <t>TraesCS4D01G270000;TraesCS4A01G034500;TraesCS4B01G270800</t>
  </si>
  <si>
    <t>TraesCS2D01G377200</t>
  </si>
  <si>
    <t>TraesCS3A01G122300;TraesCS5B01G410900;TraesCS2B01G536500;TraesCS2D01G455900;TraesCS3B01G141500;TraesCS3D01G262000;TraesCS3B01G053800;TraesCS7B01G231700;TraesCS3D01G518600;TraesCS1D01G048900;TraesCS1D01G381800;TraesCS6D01G191400;TraesCS2B01G394700;TraesCS3D01G104000;TraesCS3D01G124200;TraesCS2D01G550600</t>
  </si>
  <si>
    <t>ligase activity, forming carbon-oxygen bonds</t>
  </si>
  <si>
    <t>aminoacyl-tRNA ligase activity</t>
  </si>
  <si>
    <t>carbohydrate phosphatase activity</t>
  </si>
  <si>
    <t>TraesCS2D01G436100</t>
  </si>
  <si>
    <t>amine biosynthetic process</t>
  </si>
  <si>
    <t>TraesCS2D01G436200</t>
  </si>
  <si>
    <t>cellular biogenic amine biosynthetic process</t>
  </si>
  <si>
    <t>detection of stimulus</t>
  </si>
  <si>
    <t>TraesCS2D01G491000</t>
  </si>
  <si>
    <t>negative regulation of cell death</t>
  </si>
  <si>
    <t>TraesCS2D01G491100</t>
  </si>
  <si>
    <t>TraesCS2A01G380800;TraesCS6A01G222700;TraesCS2A01G196400;TraesCS2A01G196700;TraesCS4A01G419400;TraesCS1D01G103500;TraesCS2D01G349400;TraesCS2A01G350800;TraesCS2A01G350900;TraesCS5D01G364600;TraesCS2D01G218700;TraesCS2D01G348900;TraesCS5B01G468400;TraesCS2D01G377200;TraesCS1B01G122800;TraesCS2D01G377500;TraesCS4A01G401300;TraesCS2D01G377400;TraesCS1D01G039500;TraesCS2B01G398300;TraesCS2D01G204400;TraesCS2B01G398000;TraesCS2D01G204700;TraesCS1A01G203600;TraesCS2B01G614100</t>
  </si>
  <si>
    <t>TraesCS2D01G491800</t>
  </si>
  <si>
    <t>TraesCS2A01G384100;TraesCS2B01G208900;TraesCS1A01G070400;TraesCS7D01G217500</t>
  </si>
  <si>
    <t>cellular response to acid chemical</t>
  </si>
  <si>
    <t>TraesCS2A01G384100;TraesCS2B01G208900;TraesCS1A01G070400;TraesCS3A01G209800;TraesCS4D01G238600</t>
  </si>
  <si>
    <t>TraesCS2D01G543300</t>
  </si>
  <si>
    <t>magnesium ion binding</t>
  </si>
  <si>
    <t>TraesCS2B01G445200;TraesCS1A01G088600;TraesCS2A01G027800;TraesCS1B01G107600;TraesCS2D01G029600;TraesCS1D01G090000;TraesCS4B01G174300;TraesCS4A01G130300</t>
  </si>
  <si>
    <t>TraesCS3A01G183200</t>
  </si>
  <si>
    <t>primary active transmembrane transporter activity</t>
  </si>
  <si>
    <t>TraesCS3A01G204800</t>
  </si>
  <si>
    <t>P-P-bond-hydrolysis-driven transmembrane transporter activity</t>
  </si>
  <si>
    <t>TraesCS3A01G206400</t>
  </si>
  <si>
    <t>glutamine family amino acid biosynthetic process</t>
  </si>
  <si>
    <t>TraesCS2A01G384100;TraesCS2B01G208900;TraesCS1A01G070400;TraesCS7D01G217500;TraesCS2A01G406000</t>
  </si>
  <si>
    <t>TraesCS2A01G350800;TraesCS2A01G350900;TraesCS5A01G526200;TraesCS2D01G348900;TraesCS3B01G526700;TraesCS1B01G422700;TraesCS1B01G158000;TraesCS7A01G427300;TraesCS3B01G406000;TraesCS3A01G471900;TraesCS1A01G203600;TraesCS1D01G402500;TraesCS1A01G141500;TraesCS4D01G142000;TraesCS1A01G277900;TraesCS4D01G350500;TraesCS3A01G483100;TraesCS2D01G349400;TraesCS2D01G550600</t>
  </si>
  <si>
    <t>nucleobase metabolic process</t>
  </si>
  <si>
    <t>TraesCS3A01G258000</t>
  </si>
  <si>
    <t>pyrimidine ribonucleoside monophosphate biosynthetic process</t>
  </si>
  <si>
    <t>UMP metabolic process</t>
  </si>
  <si>
    <t>UMP biosynthetic process</t>
  </si>
  <si>
    <t>TraesCS3A01G309000</t>
  </si>
  <si>
    <t>nucleoside-triphosphatase activity</t>
  </si>
  <si>
    <t>TraesCS7D01G115100;TraesCS3A01G258000;TraesCS6D01G166100;TraesCS7B01G292700;TraesCS3D01G234300;TraesCS5A01G447200;TraesCS5A01G016200;TraesCS2A01G384100;TraesCS3A01G218000;TraesCS4A01G331100;TraesCS3D01G257900;TraesCS5B01G449500;TraesCS1A01G312300;TraesCS6D01G107600;TraesCS6B01G145700;TraesCS6B01G205900;TraesCS2A01G056800;TraesCS5D01G452500;TraesCS3B01G248500;TraesCS4B01G174300;TraesCSU01G097600;TraesCS7D01G386600;TraesCS4A01G130300</t>
  </si>
  <si>
    <t>MAPK cascade</t>
  </si>
  <si>
    <t>TraesCS3A01G446600</t>
  </si>
  <si>
    <t>TraesCS3A01G471900</t>
  </si>
  <si>
    <t>pyrimidine ribonucleoside monophosphate metabolic process</t>
  </si>
  <si>
    <t>pyrimidine nucleoside monophosphate biosynthetic process</t>
  </si>
  <si>
    <t>TraesCS4B01G174300;TraesCS4A01G130300</t>
  </si>
  <si>
    <t>TraesCS3B01G053800</t>
  </si>
  <si>
    <t>TraesCS3B01G105700</t>
  </si>
  <si>
    <t>TraesCS6B01G217200;TraesCS7B01G241200;TraesCS6D01G232400;TraesCS2A01G380800;TraesCS1A01G413400;TraesCS6A01G222700;TraesCS2A01G196400;TraesCS2A01G196700;TraesCS4D01G232700;TraesCS3D01G493700;TraesCS1A01G070400;TraesCS4A01G419400;TraesCS1D01G103500;TraesCS3B01G547300;TraesCS6A01G250600;TraesCS7D01G028100;TraesCS1A01G235200;TraesCS3B01G547500;TraesCS7B01G301400;TraesCS7D01G337900;TraesCS2D01G218700;TraesCS6B01G274800;TraesCS5B01G468400;TraesCS2D01G377200;TraesCS4A01G075600;TraesCS1B01G122800;TraesCS7D01G350500;TraesCS2D01G377500;TraesCS4A01G401300;TraesCS2D01G377400;TraesCS1D01G039500;TraesCS1D01G144100;TraesCS2B01G398300;TraesCS2D01G204400;TraesCS2A01G384100;TraesCS5D01G333800;TraesCS2B01G398000;TraesCS2D01G204700;TraesCS4B01G231400;TraesCS5A01G327900</t>
  </si>
  <si>
    <t>TraesCS2A01G350800;TraesCS2A01G350900;TraesCS5A01G526200;TraesCS2D01G348900;TraesCS3B01G526700;TraesCS1B01G422700;TraesCS1B01G158000;TraesCS7A01G427300;TraesCS3B01G406000;TraesCS1A01G203600;TraesCS1D01G402500;TraesCS1A01G141500;TraesCS4D01G142000;TraesCS4D01G350500;TraesCS3A01G483100;TraesCS2D01G349400;TraesCS2D01G550600</t>
  </si>
  <si>
    <t>pyrimidine nucleoside monophosphate metabolic process</t>
  </si>
  <si>
    <t>TraesCS3B01G248500</t>
  </si>
  <si>
    <t>TraesCS6B01G217200;TraesCS6D01G232400;TraesCS6B01G274800;TraesCS5B01G468400;TraesCS2A01G380800;TraesCS1A01G413400;TraesCS1B01G122800;TraesCS7D01G350500;TraesCS2A01G196400;TraesCS4A01G401300;TraesCS2D01G377400;TraesCS1D01G039500;TraesCS2B01G398300;TraesCS2A01G384100;TraesCS1A01G070400;TraesCS1D01G103500;TraesCS6A01G250600</t>
  </si>
  <si>
    <t>pyrophosphatase activity</t>
  </si>
  <si>
    <t>TraesCS2A01G026600;TraesCS2D01G028600;TraesCS2B01G040000;TraesCS6B01G353200</t>
  </si>
  <si>
    <t>detection of external biotic stimulus</t>
  </si>
  <si>
    <t>TraesCS3B01G406000</t>
  </si>
  <si>
    <t>detection of other organism</t>
  </si>
  <si>
    <t>detection of bacterium</t>
  </si>
  <si>
    <t>TraesCS3B01G510100</t>
  </si>
  <si>
    <t>negative regulation of response to stimulus</t>
  </si>
  <si>
    <t>TraesCS5A01G092800;TraesCS1A01G312300;TraesCS2B01G097800;TraesCS5D01G105100</t>
  </si>
  <si>
    <t>TraesCS3D01G023300</t>
  </si>
  <si>
    <t>hydrolase activity, acting on acid anhydrides, in phosphorus-containing anhydrides</t>
  </si>
  <si>
    <t>TraesCS3D01G034700</t>
  </si>
  <si>
    <t>TraesCS2A01G156400;TraesCS5A01G229000;TraesCS5B01G227700;TraesCS2B01G536500;TraesCS5D01G238700;TraesCS1A01G394100;TraesCS2B01G182000;TraesCS5A01G239000;TraesCS2D01G162300;TraesCS3D01G518600;TraesCS2D01G162200;TraesCS6D01G242000;TraesCS2B01G394700;TraesCS7B01G350200</t>
  </si>
  <si>
    <t>regulation of response to stress</t>
  </si>
  <si>
    <t>TraesCS3D01G090300</t>
  </si>
  <si>
    <t>TraesCS3B01G053800;TraesCS3A01G122300;TraesCS3D01G518600;TraesCS2B01G536500;TraesCS3B01G141500;TraesCS1D01G381800;TraesCS2B01G394700;TraesCS3D01G124200;TraesCS3D01G262000</t>
  </si>
  <si>
    <t>TraesCS3D01G113200</t>
  </si>
  <si>
    <t>hydrolase activity, acting on acid anhydrides</t>
  </si>
  <si>
    <t>steroid dehydrogenase activity, acting on the CH-OH group of donors, NAD or NADP as acceptor</t>
  </si>
  <si>
    <t>TraesCS5A01G004800;TraesCS5D01G011900</t>
  </si>
  <si>
    <t>3-beta-hydroxy-delta5-steroid dehydrogenase activity</t>
  </si>
  <si>
    <t>TraesCS3D01G257900</t>
  </si>
  <si>
    <t>TraesCS3D01G262000</t>
  </si>
  <si>
    <t>TraesCS5A01G337500;TraesCS1A01G413400;TraesCS5B01G436800;TraesCS5B01G336300;TraesCS5D01G342100;TraesCS2B01G518900;TraesCS5D01G441800;TraesCS7D01G315000;TraesCS7D01G350500;TraesCS2A01G490700;TraesCS2D01G491100;TraesCS5A01G433900;TraesCS2B01G519100;TraesCS4A01G436200;TraesCS4B01G302200</t>
  </si>
  <si>
    <t>TraesCS7D01G115100;TraesCS3A01G258000;TraesCS4A01G066200;TraesCS4D01G243100;TraesCS3B01G336100;TraesCS3D01G257900;TraesCS1A01G312300;TraesCS6D01G107600;TraesCS6B01G145700;TraesCS2A01G056800;TraesCS3B01G562500;TraesCS4A01G130300</t>
  </si>
  <si>
    <t>steroid dehydrogenase activity</t>
  </si>
  <si>
    <t>TraesCS3D01G326200</t>
  </si>
  <si>
    <t>TraesCS6B01G217200;TraesCS6D01G232400;TraesCS6B01G274800;TraesCS5B01G468400;TraesCS2A01G380800;TraesCS1A01G413400;TraesCS1B01G122800;TraesCS7D01G350500;TraesCS2A01G196400;TraesCS4A01G401300;TraesCS2D01G377400;TraesCS1D01G039500;TraesCS3D01G493700;TraesCS2B01G398300;TraesCS2A01G384100;TraesCS1A01G070400;TraesCS1D01G103500;TraesCS3B01G547300;TraesCS6A01G250600</t>
  </si>
  <si>
    <t>phytoalexin metabolic process</t>
  </si>
  <si>
    <t>indole phytoalexin metabolic process</t>
  </si>
  <si>
    <t>phytoalexin biosynthetic process</t>
  </si>
  <si>
    <t>TraesCS3D01G461200</t>
  </si>
  <si>
    <t>indole phytoalexin biosynthetic process</t>
  </si>
  <si>
    <t>cellular heat acclimation</t>
  </si>
  <si>
    <t>cyclic-nucleotide phosphodiesterase activity</t>
  </si>
  <si>
    <t>intramolecular oxidoreductase activity, interconverting aldoses and ketoses</t>
  </si>
  <si>
    <t>response to organic cyclic compound</t>
  </si>
  <si>
    <t>transferase activity, transferring pentosyl groups</t>
  </si>
  <si>
    <t>TraesCS3D01G518200</t>
  </si>
  <si>
    <t>TraesCS7A01G317500;TraesCS4D01G270000;TraesCS5A01G261400;TraesCS4A01G034500;TraesCS5D01G268800;TraesCS3D01G475800;TraesCS4B01G270800;TraesCS7D01G368700</t>
  </si>
  <si>
    <t>TraesCS3D01G518600</t>
  </si>
  <si>
    <t>TraesCS3D01G537800</t>
  </si>
  <si>
    <t>signal transduction by protein phosphorylation</t>
  </si>
  <si>
    <t>TraesCS4A01G034500</t>
  </si>
  <si>
    <t>TraesCS7D01G337900;TraesCS7B01G241200;TraesCS1A01G070400</t>
  </si>
  <si>
    <t>catalytic activity, acting on a tRNA</t>
  </si>
  <si>
    <t>TraesCS4A01G044000</t>
  </si>
  <si>
    <t>regulation of cellular response to stress</t>
  </si>
  <si>
    <t>TraesCS4A01G066200;TraesCS4D01G243100;TraesCS4B01G174300;TraesCS2A01G406000;TraesCS4A01G130300</t>
  </si>
  <si>
    <t>response to antibiotic</t>
  </si>
  <si>
    <t>TraesCS3B01G310000;TraesCS7B01G325900;TraesCS2A01G217200;TraesCS2B01G208900;TraesCS2D01G223000;TraesCS2A01G012500;TraesCS7A01G215800;TraesCS3D01G500800;TraesCS5D01G187700;TraesCS1A01G342600;TraesCS4A01G491600;TraesCS6D01G157900;TraesCS2B01G053300;TraesCS2D01G190200;TraesCS1A01G070400;TraesCS3D01G518600;TraesCS6A01G168900;TraesCS5B01G239600;TraesCS6D01G191400;TraesCS7D01G217500;TraesCS1D01G344700;TraesCS2B01G242500;TraesCS7D01G028100;TraesCS1A01G422800;TraesCS2D01G025500;TraesCS3D01G452300;TraesCS7B01G301400;TraesCS2A01G216400;TraesCS7D01G463700;TraesCS5B01G410900;TraesCS6D01G396900;TraesCS2D01G455900;TraesCS2D01G222100;TraesCS7B01G122800;TraesCS3B01G038900;TraesCS6B01G152800;TraesCS1D01G144100;TraesCS5D01G333800;TraesCS6B01G197000;TraesCS3A01G276200;TraesCS3D01G049000;TraesCS6D01G242000;TraesCS5A01G210300;TraesCS1D01G381800;TraesCS5A01G327900;TraesCS6D01G158400;TraesCS2A01G563900;TraesCS4A01G207800;TraesCS3A01G122300;TraesCS5B01G526200;TraesCS6B01G342800;TraesCS3B01G053800;TraesCS7B01G273000;TraesCS7D01G125100;TraesCS1D01G048900;TraesCS7B01G378300;TraesCS4D01G312400;TraesCS3D01G124200;TraesCS1A01G235200;TraesCS2A01G216300;TraesCS4B01G111300;TraesCS2B01G536500;TraesCS3B01G141500;TraesCS7A01G455800;TraesCS2D01G013300;TraesCS4D01G109000;TraesCS2A01G384100;TraesCS1D01G259700;TraesCS5A01G222300;TraesCS7B01G333700;TraesCS2A01G485600;TraesCS5A01G237700;TraesCS5D01G063800;TraesCS2B01G394700;TraesCS3D01G104000;TraesCS3D01G276200;TraesCS7B01G071100;TraesCS1B01G355700</t>
  </si>
  <si>
    <t>TraesCS1A01G350400;TraesCS1D01G266000;TraesCS1A01G021000;TraesCS2B01G208900;TraesCS1A01G021400;TraesCS1B01G308200;TraesCS6B01G175100;TraesCS4D01G238600;TraesCS1A01G358400;TraesCS1A01G358100;TraesCS1D01G363300;TraesCS1B01G276800;TraesCS2D01G414300;TraesCS1B01G276500;TraesCS1D01G072900;TraesCS3B01G105700;TraesCS1A01G070400;TraesCS1A01G298600;TraesCS1A01G277900;TraesCS2A01G427700;TraesCS3B01G379200;TraesCS6D01G136200;TraesCS1B01G392000;TraesCS6D01G225500;TraesCS3D01G341100;TraesCS1B01G088900;TraesCS1D01G265900;TraesCS1D01G265800;TraesCS6B01G281000;TraesCS1A01G265700;TraesCS3A01G347500;TraesCS5A01G185600;TraesCS2A01G417100;TraesCS3D01G113200;TraesCS2A01G384100;TraesCS2B01G436300;TraesCS3A01G209800;TraesCS1D01G362900;TraesCS3D01G090300;TraesCS1D01G418400;TraesCS1A01G121500;TraesCS6A01G146900;TraesCS1B01G374900;TraesCS2A01G011000</t>
  </si>
  <si>
    <t>TraesCS4A01G201900</t>
  </si>
  <si>
    <t>TraesCS4A01G202000</t>
  </si>
  <si>
    <t>TraesCS2B01G208900;TraesCS2A01G406000</t>
  </si>
  <si>
    <t>TraesCS1D01G266000;TraesCS1A01G021000;TraesCS2A01G384100;TraesCS1B01G276800;TraesCS2B01G208900;TraesCS1B01G276500;TraesCS1A01G021400;TraesCS1A01G070400;TraesCS1A01G277900;TraesCS1D01G265900;TraesCS1A01G265700;TraesCS2A01G406000</t>
  </si>
  <si>
    <t>TraesCS4A01G419400</t>
  </si>
  <si>
    <t>ATPase activity, coupled</t>
  </si>
  <si>
    <t>TraesCS2A01G384100;TraesCS1A01G070400</t>
  </si>
  <si>
    <t>TraesCS4B01G111300</t>
  </si>
  <si>
    <t>TraesCS4B01G117200</t>
  </si>
  <si>
    <t>TraesCS4B01G265100</t>
  </si>
  <si>
    <t>TraesCS4B01G302200</t>
  </si>
  <si>
    <t>TraesCS4B01G344200</t>
  </si>
  <si>
    <t>TraesCS4D01G102900</t>
  </si>
  <si>
    <t>TraesCS4D01G103100</t>
  </si>
  <si>
    <t>TraesCS4D01G128800</t>
  </si>
  <si>
    <t>TraesCS4D01G180100</t>
  </si>
  <si>
    <t>TraesCS4D01G227300</t>
  </si>
  <si>
    <t>TraesCS4D01G271000</t>
  </si>
  <si>
    <t>TraesCS4D01G271100</t>
  </si>
  <si>
    <t>TraesCS4D01G312400</t>
  </si>
  <si>
    <t>TraesCS4D01G353900</t>
  </si>
  <si>
    <t>TraesCS5A01G016200</t>
  </si>
  <si>
    <t>TraesCS5A01G132700</t>
  </si>
  <si>
    <t>TraesCS5A01G222300</t>
  </si>
  <si>
    <t>TraesCS5A01G231300</t>
  </si>
  <si>
    <t>TraesCS5A01G237700</t>
  </si>
  <si>
    <t>TraesCS5A01G262800</t>
  </si>
  <si>
    <t>TraesCS5A01G327900</t>
  </si>
  <si>
    <t>TraesCS5A01G337500</t>
  </si>
  <si>
    <t>TraesCS5A01G385900</t>
  </si>
  <si>
    <t>TraesCS5A01G403200</t>
  </si>
  <si>
    <t>TraesCS5A01G427400</t>
  </si>
  <si>
    <t>TraesCS5A01G433300</t>
  </si>
  <si>
    <t>TraesCS5A01G433900</t>
  </si>
  <si>
    <t>TraesCS5A01G447200</t>
  </si>
  <si>
    <t>TraesCS5B01G072300</t>
  </si>
  <si>
    <t>TraesCS5B01G100700</t>
  </si>
  <si>
    <t>TraesCS5B01G148500</t>
  </si>
  <si>
    <t>TraesCS5B01G227700</t>
  </si>
  <si>
    <t>TraesCS5B01G239600</t>
  </si>
  <si>
    <t>TraesCS5B01G261300</t>
  </si>
  <si>
    <t>TraesCS5B01G336200</t>
  </si>
  <si>
    <t>TraesCS5B01G336300</t>
  </si>
  <si>
    <t>TraesCS5B01G405300</t>
  </si>
  <si>
    <t>TraesCS5B01G436500</t>
  </si>
  <si>
    <t>TraesCS5B01G436800</t>
  </si>
  <si>
    <t>TraesCS5D01G063800</t>
  </si>
  <si>
    <t>TraesCS5D01G143100</t>
  </si>
  <si>
    <t>TraesCS5D01G143300</t>
  </si>
  <si>
    <t>TraesCS5D01G270400</t>
  </si>
  <si>
    <t>TraesCS5D01G333800</t>
  </si>
  <si>
    <t>TraesCS5D01G441500</t>
  </si>
  <si>
    <t>TraesCS5D01G441800</t>
  </si>
  <si>
    <t>TraesCS5D01G462500</t>
  </si>
  <si>
    <t>TraesCS6A01G015400</t>
  </si>
  <si>
    <t>TraesCS6A01G018200</t>
  </si>
  <si>
    <t>TraesCS6A01G099800</t>
  </si>
  <si>
    <t>TraesCS6A01G126500</t>
  </si>
  <si>
    <t>TraesCS6A01G149200</t>
  </si>
  <si>
    <t>TraesCS6A01G181000</t>
  </si>
  <si>
    <t>TraesCS6A01G222700</t>
  </si>
  <si>
    <t>TraesCS6A01G268400</t>
  </si>
  <si>
    <t>TraesCS6A01G268500</t>
  </si>
  <si>
    <t>TraesCS6A01G303400</t>
  </si>
  <si>
    <t>TraesCS6B01G085600</t>
  </si>
  <si>
    <t>TraesCS6B01G145700</t>
  </si>
  <si>
    <t>TraesCS6B01G152800</t>
  </si>
  <si>
    <t>TraesCS6B01G156100</t>
  </si>
  <si>
    <t>TraesCS6B01G197000</t>
  </si>
  <si>
    <t>TraesCS6B01G257000</t>
  </si>
  <si>
    <t>TraesCS6B01G257100</t>
  </si>
  <si>
    <t>TraesCS6B01G257200</t>
  </si>
  <si>
    <t>TraesCS6B01G274800</t>
  </si>
  <si>
    <t>TraesCS6B01G295600</t>
  </si>
  <si>
    <t>TraesCS6B01G342800</t>
  </si>
  <si>
    <t>TraesCS6B01G416100</t>
  </si>
  <si>
    <t>TraesCS6D01G060900</t>
  </si>
  <si>
    <t>TraesCS6D01G061000</t>
  </si>
  <si>
    <t>TraesCS6D01G107600</t>
  </si>
  <si>
    <t>TraesCS6D01G138500</t>
  </si>
  <si>
    <t>TraesCS6D01G146200</t>
  </si>
  <si>
    <t>TraesCS6D01G157600</t>
  </si>
  <si>
    <t>TraesCS6D01G157700</t>
  </si>
  <si>
    <t>TraesCS6D01G157900</t>
  </si>
  <si>
    <t>TraesCS6D01G158100</t>
  </si>
  <si>
    <t>TraesCS6D01G158400</t>
  </si>
  <si>
    <t>TraesCS6D01G211200</t>
  </si>
  <si>
    <t>TraesCS6D01G225500</t>
  </si>
  <si>
    <t>TraesCS6D01G232400</t>
  </si>
  <si>
    <t>TraesCS6D01G246400</t>
  </si>
  <si>
    <t>TraesCS6D01G246500</t>
  </si>
  <si>
    <t>TraesCS7A01G083700</t>
  </si>
  <si>
    <t>TraesCS7A01G089500</t>
  </si>
  <si>
    <t>TraesCS7A01G173000</t>
  </si>
  <si>
    <t>TraesCS7A01G195800</t>
  </si>
  <si>
    <t>TraesCS7A01G215500</t>
  </si>
  <si>
    <t>TraesCS7A01G216000</t>
  </si>
  <si>
    <t>TraesCS7A01G330800</t>
  </si>
  <si>
    <t>TraesCS7A01G349400</t>
  </si>
  <si>
    <t>TraesCS7A01G352100</t>
  </si>
  <si>
    <t>TraesCS7A01G387200</t>
  </si>
  <si>
    <t>TraesCS7A01G455800</t>
  </si>
  <si>
    <t>TraesCS7A01G467800</t>
  </si>
  <si>
    <t>TraesCS7A01G469000</t>
  </si>
  <si>
    <t>TraesCS7A01G525700</t>
  </si>
  <si>
    <t>TraesCS7B01G024200</t>
  </si>
  <si>
    <t>TraesCS7B01G078300</t>
  </si>
  <si>
    <t>TraesCS7B01G089400</t>
  </si>
  <si>
    <t>TraesCS7B01G124500</t>
  </si>
  <si>
    <t>TraesCS7B01G216700</t>
  </si>
  <si>
    <t>TraesCS7B01G233400</t>
  </si>
  <si>
    <t>TraesCS7B01G276000</t>
  </si>
  <si>
    <t>TraesCS7B01G299500</t>
  </si>
  <si>
    <t>TraesCS7B01G301400</t>
  </si>
  <si>
    <t>TraesCS7B01G370900</t>
  </si>
  <si>
    <t>TraesCS7B01G399300</t>
  </si>
  <si>
    <t>TraesCS7D01G019400</t>
  </si>
  <si>
    <t>TraesCS7D01G028100</t>
  </si>
  <si>
    <t>TraesCS7D01G030800</t>
  </si>
  <si>
    <t>TraesCS7D01G115100</t>
  </si>
  <si>
    <t>TraesCS7D01G125100</t>
  </si>
  <si>
    <t>TraesCS7D01G174100</t>
  </si>
  <si>
    <t>TraesCS7D01G174300</t>
  </si>
  <si>
    <t>TraesCS7D01G217800</t>
  </si>
  <si>
    <t>TraesCS7D01G315000</t>
  </si>
  <si>
    <t>TraesCS7D01G350500</t>
  </si>
  <si>
    <t>TraesCS7D01G370800</t>
  </si>
  <si>
    <t>TraesCS7D01G393100</t>
  </si>
  <si>
    <t>TraesCS7D01G425600</t>
  </si>
  <si>
    <t>TraesCS7D01G455200</t>
  </si>
  <si>
    <t>TraesCS7D01G516400</t>
  </si>
  <si>
    <t>Fg_up &amp; AS6+Fg_vs_Fg_down</t>
  </si>
  <si>
    <t>Gene list (2685)</t>
  </si>
  <si>
    <t>TraesCS1A01G004400</t>
  </si>
  <si>
    <t>TraesCS1A01G008000</t>
  </si>
  <si>
    <t>TraesCS1A01G014000</t>
  </si>
  <si>
    <t>TraesCS1A01G029400</t>
  </si>
  <si>
    <t>TraesCS1A01G030800</t>
  </si>
  <si>
    <t>TraesCS1A01G039100</t>
  </si>
  <si>
    <t>TraesCS1A01G041900</t>
  </si>
  <si>
    <t>TraesCS1A01G042100</t>
  </si>
  <si>
    <t>TraesCS2B01G611300;TraesCS3D01G025700;TraesCS5A01G281800;TraesCSU01G101900;TraesCS7D01G472800;TraesCS2B01G474300;TraesCS3D01G061400;TraesCS3A01G086500;TraesCS3B01G102000;TraesCS4A01G460700;TraesCS7D01G168000;TraesCS2B01G512500;TraesCS4A01G461400;TraesCS6D01G000200;TraesCS4A01G052100;TraesCS2B01G330200;TraesCS2D01G089400;TraesCS3B01G008900;TraesCS7D01G026200;TraesCS2A01G578500;TraesCS5D01G561900;TraesCS5A01G024200;TraesCS7B01G001900;TraesCS7D01G473100;TraesCS2D01G589700;TraesCS3D01G095700;TraesCS3B01G065300;TraesCS3D01G511600;TraesCS3D01G005700;TraesCS4D01G252300;TraesCS7A01G029500;TraesCS1B01G302400;TraesCS6B01G283100;TraesCS4A01G460200;TraesCS7D01G025800;TraesCS5A01G327500;TraesCS1A01G366600;TraesCS7D01G025400;TraesCSU01G048700;TraesCS6D01G324600;TraesCS2D01G586300;TraesCS2B01G611200;TraesCS4B01G328000;TraesCS7A01G030000;TraesCS7B01G241000;TraesCS2D01G485800;TraesCS2A01G452800;TraesCS7A01G028600;TraesCS2B01G474200;TraesCS2D01G452600;TraesCS4A01G460600;TraesCS3D01G061300;TraesCS3B01G037600;TraesCS4A01G052000;TraesCS5B01G281000;TraesCS3D01G086800;TraesCS5A01G293400;TraesCS7B01G206800;TraesCS7D01G391100;TraesCS4A01G247900;TraesCS5D01G030100;TraesCS3A01G005800;TraesCS7D01G303400;TraesCS6D01G380700;TraesCS2A01G576100;TraesCS2B01G502800;TraesCS4A01G459900;TraesCS3B01G008200;TraesCS5D01G561800;TraesCS7D01G322200;TraesCS5B01G556900;TraesCS6B01G033400;TraesCS4A01G369900;TraesCS5B01G502800;TraesCS4A01G451000;TraesCS7A01G486600;TraesCS1B01G384400;TraesCS7A01G029400;TraesCS4D01G252400;TraesCS7A01G341900;TraesCS7A01G395600;TraesCS7D01G025700;TraesCS2D01G311600;TraesCS4A01G460500;TraesCS5D01G004000;TraesCSU01G048800;TraesCS7A01G038100;TraesCS7B01G297500;TraesCS3B01G009700;TraesCS1D01G291800;TraesCS2B01G501700;TraesCS2A01G485800;TraesCS1D01G232800;TraesCS5B01G570900;TraesCS4B01G328100;TraesCS4B01G252200;TraesCS2D01G452500;TraesCS3D01G004800;TraesCS7A01G028500;TraesCS2D01G586800;TraesCS2B01G609300;TraesCS4A01G460900;TraesCS5B01G564900;TraesCS6B01G435500;TraesCS3B01G077600;TraesCS2D01G102900;TraesCS2A01G576000;TraesCS3B01G111200;TraesCS6B01G375900;TraesCS3B01G568800;TraesCS5B01G292500;TraesCS4A01G338000;TraesCS2D01G371800;TraesCS3D01G102800;TraesCS4D01G252500;TraesCS1B01G409000;TraesCS2A01G575600;TraesCS6A01G241600;TraesCS4A01G460400;TraesCS4D01G325000;TraesCS5D01G004300;TraesCS3A01G006000;TraesCS3B01G074200;TraesCS7D01G025600;TraesCS1B01G059200;TraesCS7A01G038200;TraesCS7B01G389000;TraesCS2A01G313100;TraesCS2B01G501800;TraesCS3B01G068600;TraesCS2B01G392500;TraesCS5D01G029900;TraesCS5D01G300700;TraesCS3B01G416500;TraesCS4A01G450800;TraesCS4D01G066000;TraesCS7D01G034200;TraesCS2B01G474400;TraesCS3D01G004900;TraesCS5D01G390900;TraesCS3D01G096000;TraesCS3A01G384600;TraesCS4A01G460800;TraesCS3D01G055900;TraesCS3A01G003700;TraesCS3A01G005600;TraesCS3B01G008800;TraesCS7B01G072000;TraesCS2A01G453000;TraesCS7A01G306500;TraesCS2D01G478900;TraesCS1B01G302500;TraesCS6D01G094500;TraesCS4D01G252600;TraesCS4D01G325100;TraesCS5D01G534700;TraesCS7D01G157800;TraesCS4A01G460300;TraesCS3A01G061500;TraesCS3D01G377500;TraesCS3B01G074100;TraesCS7D01G025500;TraesCS4A01G248000;TraesCS7B01G389100;TraesCS1A01G293000;TraesCS3B01G569500;TraesCS7A01G485700;TraesCS7D01G472500;TraesCS3A01G054300</t>
  </si>
  <si>
    <t>TraesCS1A01G045500</t>
  </si>
  <si>
    <t>TraesCS1A01G049500</t>
  </si>
  <si>
    <t>phosphorelay signal transduction system</t>
  </si>
  <si>
    <t>TraesCS4B01G011600;TraesCS4B01G011200;TraesCS6A01G020400;TraesCS4B01G011000;TraesCS7A01G502300;TraesCS7D01G525900;TraesCS7D01G489600;TraesCS7D01G500600;TraesCS4D01G008700;TraesCS7A01G511300;TraesCS4D01G008900;TraesCS5A01G458200;TraesCS4A01G302300;TraesCS4A01G304200;TraesCS4A01G302700;TraesCSU01G059800;TraesCS7B01G422000;TraesCS4A01G302500;TraesCS6B01G408800;TraesCS6D01G021500;TraesCS4B01G010900;TraesCS6D01G029700;TraesCS6A01G011800;TraesCS6D01G067900;TraesCS7A01G511100;TraesCS5B01G462300;TraesCS2D01G071000;TraesCS4B01G010700;TraesCS5A01G452800;TraesCS7D01G012700;TraesCS6A01G013300;TraesCS3A01G473800;TraesCS1B01G061400;TraesCS3B01G517000;TraesCS3A01G473600;TraesCS2B01G087000;TraesCS6D01G030000;TraesCS4D01G009800;TraesCS4D01G009400;TraesCS6A01G026200;TraesCS4D01G009600;TraesCS5A01G453500;TraesCS2D01G070900;TraesCS5D01G463200;TraesCS5B01G461800;TraesCS6A01G364400;TraesCS4B01G011500;TraesCS6D01G014700;TraesCS2A01G072100;TraesCS4B01G011700;TraesCS4B01G011100;TraesCS6A01G012000;TraesCS4B01G011300;TraesCS6D01G014900;TraesCSU01G214800;TraesCS1A01G445100;TraesCS1A01G445300;TraesCS4D01G008600;TraesCS4D01G010000;TraesCS6B01G408900;TraesCS1D01G453400;TraesCS5D01G464100;TraesCS7B01G422100;TraesCS4B01G010800;TraesCS7A01G146600;TraesCSU01G240700;TraesCS6B01G018400;TraesCS1D01G453200;TraesCS6A01G011900;TraesCSU01G226300;TraesCSU01G060200;TraesCS7D01G148700;TraesCS7B01G408700;TraesCS5B01G462400;TraesCS1B01G061300;TraesCS6D01G355500;TraesCS6B01G027800;TraesCS4D01G009300;TraesCS5A01G395900;TraesCS7D01G148100;TraesCS4A01G480800;TraesCS2B01G087100;TraesCS7A01G510300;TraesCS4D01G009500;TraesCS4D01G009700;TraesCS5A01G453600;TraesCS7D01G499600</t>
  </si>
  <si>
    <t>TraesCS1A01G058400</t>
  </si>
  <si>
    <t>intracellular signal transduction</t>
  </si>
  <si>
    <t>TraesCS4B01G011600;TraesCS4B01G011200;TraesCS6A01G020400;TraesCS4B01G011000;TraesCS7A01G502300;TraesCS7D01G525900;TraesCS7D01G489600;TraesCS7D01G500600;TraesCS4D01G008700;TraesCS7A01G511300;TraesCS7D01G433800;TraesCS4D01G008900;TraesCS5A01G458200;TraesCS4A01G302300;TraesCS4D01G113100;TraesCS4A01G304200;TraesCS4A01G302700;TraesCSU01G059800;TraesCS7B01G422000;TraesCS1A01G069300;TraesCS4A01G302500;TraesCS6B01G408800;TraesCS6D01G021500;TraesCS4B01G010900;TraesCS6D01G029700;TraesCS6A01G011800;TraesCS6D01G067900;TraesCS7A01G511100;TraesCS5B01G462300;TraesCS2D01G071000;TraesCS4B01G010700;TraesCS5A01G452800;TraesCS7D01G012700;TraesCS6A01G013300;TraesCS3A01G473800;TraesCS1B01G061400;TraesCS3B01G517000;TraesCS3A01G473600;TraesCS2B01G087000;TraesCS6D01G030000;TraesCS4D01G009800;TraesCS4D01G009400;TraesCS6A01G026200;TraesCS1D01G071800;TraesCS4D01G009600;TraesCS5A01G453500;TraesCS2D01G070900;TraesCS5D01G463200;TraesCS5B01G461800;TraesCS6A01G364400;TraesCS4B01G011500;TraesCS6D01G014700;TraesCS2A01G072100;TraesCS4B01G011700;TraesCS4B01G011100;TraesCS6A01G012000;TraesCS4B01G011300;TraesCS6D01G014900;TraesCSU01G214800;TraesCS1A01G445100;TraesCS1A01G445300;TraesCS4D01G008600;TraesCS4D01G010000;TraesCS6B01G408900;TraesCS1D01G453400;TraesCS5D01G464100;TraesCS7B01G422100;TraesCS4B01G010800;TraesCS7A01G146600;TraesCSU01G240700;TraesCS6B01G018400;TraesCS1D01G453200;TraesCS6A01G011900;TraesCS7D01G192400;TraesCSU01G226300;TraesCSU01G060200;TraesCS7D01G148700;TraesCS7B01G408700;TraesCS5B01G462400;TraesCS1B01G061300;TraesCS6D01G355500;TraesCS6B01G027800;TraesCS4D01G009300;TraesCS5A01G395900;TraesCS7D01G148100;TraesCS4A01G480800;TraesCS2B01G087100;TraesCS7A01G510300;TraesCS4D01G009500;TraesCS4D01G009700;TraesCS5A01G453600;TraesCS7A01G445600;TraesCS7D01G499600</t>
  </si>
  <si>
    <t>TraesCS1A01G059600</t>
  </si>
  <si>
    <t>cysteine-type endopeptidase inhibitor activity</t>
  </si>
  <si>
    <t>TraesCS2D01G586300;TraesCS2B01G611200;TraesCS2B01G611300;TraesCS4D01G066000;TraesCS4B01G252200;TraesCS7B01G241000;TraesCS2D01G586800;TraesCS2B01G609300;TraesCS3A01G384600;TraesCS4A01G052000;TraesCS7D01G391100;TraesCS3B01G077600;TraesCS4A01G247900;TraesCS4A01G052100;TraesCS2A01G576000;TraesCS2A01G576100;TraesCS2B01G502800;TraesCS2A01G578500;TraesCS2D01G589700;TraesCS4D01G252300;TraesCS4D01G252500;TraesCS4D01G252400;TraesCS4D01G252600;TraesCS7A01G341900;TraesCS7A01G395600;TraesCS2A01G575600;TraesCS3D01G377500;TraesCS7B01G297500;TraesCS2B01G501800;TraesCS2B01G501700;TraesCS3B01G416500</t>
  </si>
  <si>
    <t>TraesCS1A01G061200</t>
  </si>
  <si>
    <t>TraesCS7A01G009500;TraesCS1D01G075100;TraesCS3B01G530500;TraesCS4B01G229500;TraesCS6A01G333500;TraesCS6D01G089200;TraesCS4A01G402300;TraesCS2A01G588700;TraesCS4D01G191900;TraesCS3A01G083900;TraesCS6B01G058000;TraesCS2D01G201900;TraesCS4B01G026100;TraesCS1B01G090700;TraesCS3A01G483700;TraesCS6D01G048900;TraesCS5B01G011700;TraesCS5B01G476000;TraesCS2B01G423400;TraesCS5B01G011800;TraesCS3B01G151700;TraesCS7A01G549200;TraesCS2A01G589000;TraesCSU01G066000;TraesCS1D01G074800;TraesCS2A01G549500;TraesCS5B01G265500;TraesCS2B01G327300;TraesCS2D01G172300;TraesCS7D01G535500;TraesCS4A01G485600;TraesCS6D01G064300;TraesCS3D01G480500;TraesCS2A01G405100;TraesCS3B01G530600;TraesCS5A01G464500;TraesCS6A01G379800;TraesCS2B01G594700;TraesCS7D01G397600;TraesCS7D01G054800;TraesCS4A01G073300;TraesCS5A01G513600;TraesCS5D01G019100;TraesCS2D01G402300;TraesCS1A01G365300;TraesCS2D01G220900;TraesCS1A01G072100;TraesCS3B01G277600;TraesCS7A01G549300;TraesCS3A01G483800;TraesCS5D01G553000;TraesCS6A01G042400;TraesCS7B01G303800;TraesCS5D01G551900;TraesCS2A01G134300;TraesCS5D01G477100;TraesCS2D01G550400;TraesCS3A01G308800;TraesCS5B01G475700;TraesCS4B01G344700;TraesCS4A01G288700;TraesCS6B01G080800;TraesCS3D01G130300;TraesCS7D01G009100;TraesCS2A01G215100;TraesCS2D01G402000;TraesCS4B01G227000;TraesCS4D01G230600;TraesCS4B01G074100;TraesCS2A01G548600;TraesCS5B01G394300;TraesCS7B01G472300;TraesCS2A01G588900;TraesCS3D01G478900;TraesCS6B01G068800;TraesCS5D01G399100;TraesCS7A01G404200;TraesCS5D01G449000;TraesCS2A01G405300;TraesCS5B01G309700;TraesCS2B01G423200;TraesCS3D01G133800;TraesCS4D01G023500;TraesCS7D01G016300;TraesCS2D01G564900;TraesCS3B01G099000;TraesCS5B01G169600;TraesCS2D01G550500;TraesCS5A01G172200;TraesCS3D01G478800;TraesCS7D01G009200;TraesCS2D01G402100;TraesCS4A01G240900;TraesCS4D01G072800;TraesCS5A01G309000;TraesCS5A01G441700;TraesCS6A01G060800;TraesCS3B01G148500;TraesCS7A01G009600;TraesCS2A01G061600;TraesCS1B01G270100;TraesCS1A01G214700;TraesCS1A01G103600;TraesCS5B01G556700;TraesCS2B01G240100;TraesCS1A01G072300;TraesCS2B01G580100;TraesCS2B01G423300;TraesCS1D01G074700;TraesCS3A01G144600;TraesCS7A01G019400;TraesCS4A01G485700;TraesCS6D01G064200;TraesCS2B01G075000</t>
  </si>
  <si>
    <t>TraesCS1A01G062500</t>
  </si>
  <si>
    <t>TraesCS2B01G611300;TraesCS3D01G025700;TraesCS5A01G281800;TraesCS4B01G328100;TraesCS4B01G252200;TraesCS2D01G586800;TraesCS2B01G609300;TraesCS7D01G168000;TraesCS3B01G077600;TraesCS6D01G000200;TraesCS4A01G052100;TraesCS2A01G576000;TraesCS3B01G111200;TraesCS2A01G578500;TraesCS3B01G568800;TraesCS2D01G589700;TraesCS3D01G095700;TraesCS2D01G371800;TraesCS3D01G511600;TraesCS4D01G252300;TraesCS4D01G252500;TraesCS2A01G575600;TraesCS4D01G325000;TraesCS5D01G004300;TraesCS2B01G501800;TraesCS2B01G392500;TraesCS3B01G416500;TraesCS2D01G586300;TraesCS2B01G611200;TraesCS4B01G328000;TraesCS4D01G066000;TraesCS7B01G241000;TraesCS3D01G096000;TraesCS3A01G384600;TraesCS3B01G037600;TraesCS4A01G052000;TraesCS5B01G281000;TraesCS7D01G391100;TraesCS4A01G247900;TraesCS2A01G576100;TraesCS2B01G502800;TraesCS7B01G072000;TraesCS4D01G252400;TraesCS6D01G094500;TraesCS4D01G252600;TraesCS4D01G325100;TraesCS7A01G341900;TraesCS7A01G395600;TraesCS5D01G004000;TraesCS3D01G377500;TraesCS4A01G248000;TraesCS7B01G297500;TraesCS3B01G009700;TraesCS3B01G569500;TraesCS2B01G501700</t>
  </si>
  <si>
    <t>TraesCS1A01G062600</t>
  </si>
  <si>
    <t>TraesCS1A01G062700</t>
  </si>
  <si>
    <t>TraesCS1A01G062900</t>
  </si>
  <si>
    <t>TraesCS1A01G063100</t>
  </si>
  <si>
    <t>TraesCS7A01G009500;TraesCS1D01G075100;TraesCS3B01G530500;TraesCS4B01G229500;TraesCS6A01G333500;TraesCS6D01G089200;TraesCS4A01G402300;TraesCS2A01G588700;TraesCS4D01G191900;TraesCS3A01G083900;TraesCS6B01G058000;TraesCS2D01G201900;TraesCS4B01G026100;TraesCS1B01G090700;TraesCS3A01G483700;TraesCS6D01G048900;TraesCS5B01G011700;TraesCS5B01G476000;TraesCS2B01G423400;TraesCS5B01G011800;TraesCS3B01G151700;TraesCS7A01G549200;TraesCS2A01G589000;TraesCSU01G066000;TraesCS1D01G074800;TraesCS2A01G549500;TraesCS5B01G265500;TraesCS2B01G327300;TraesCS2D01G172300;TraesCS7D01G535500;TraesCS4A01G485600;TraesCS6D01G064300;TraesCS3D01G480500;TraesCS2A01G405100;TraesCS3B01G530600;TraesCS5A01G464500;TraesCS6A01G379800;TraesCS2B01G594700;TraesCS7D01G397600;TraesCS7D01G054800;TraesCS4A01G073300;TraesCS5A01G513600;TraesCS5D01G019100;TraesCS2D01G402300;TraesCS1A01G365300;TraesCS3D01G515900;TraesCS2D01G220900;TraesCS1A01G072100;TraesCS3B01G277600;TraesCS7A01G549300;TraesCS3A01G483800;TraesCS5D01G553000;TraesCS6A01G042400;TraesCS7B01G303800;TraesCS5D01G551900;TraesCS2A01G134300;TraesCS5D01G477100;TraesCS2D01G550400;TraesCS3A01G308800;TraesCS5B01G475700;TraesCS4B01G344700;TraesCS4A01G288700;TraesCS6B01G080800;TraesCS3D01G130300;TraesCS7D01G009100;TraesCS2A01G215100;TraesCS2D01G402000;TraesCS4B01G227000;TraesCS4D01G230600;TraesCS4B01G074100;TraesCS2A01G548600;TraesCS5B01G394300;TraesCS7B01G472300;TraesCS2A01G588900;TraesCS3D01G478900;TraesCS6B01G068800;TraesCS5D01G399100;TraesCS7A01G404200;TraesCS5D01G449000;TraesCS2A01G405300;TraesCS5B01G309700;TraesCS2B01G423200;TraesCS3D01G133800;TraesCS4D01G023500;TraesCS7D01G016300;TraesCS2D01G564900;TraesCS3B01G099000;TraesCS5B01G169600;TraesCS2D01G550500;TraesCS5A01G172200;TraesCS3D01G478800;TraesCS7D01G009200;TraesCS2D01G402100;TraesCS4A01G240900;TraesCS4D01G072800;TraesCS5A01G309000;TraesCS5A01G441700;TraesCS6A01G060800;TraesCS3B01G148500;TraesCS7A01G009600;TraesCS2A01G061600;TraesCS1B01G270100;TraesCS1A01G214700;TraesCS1A01G103600;TraesCS5B01G556700;TraesCS2B01G240100;TraesCS1A01G072300;TraesCS2B01G580100;TraesCS2B01G423300;TraesCS1D01G074700;TraesCS3A01G144600;TraesCS7A01G019400;TraesCS4A01G485700;TraesCS6D01G064200;TraesCS2B01G075000</t>
  </si>
  <si>
    <t>TraesCS1A01G063200</t>
  </si>
  <si>
    <t>TraesCS3A01G451300;TraesCS1A01G398200;TraesCS3A01G451700;TraesCS4B01G315500;TraesCS3D01G434600;TraesCS4D01G191900;TraesCS7B01G466100;TraesCS1A01G237600;TraesCS1D01G405700;TraesCS1B01G039900;TraesCS2A01G094900;TraesCS3A01G454700;TraesCS3B01G493400;TraesCS1D01G261400;TraesCS4D01G321000;TraesCS3D01G435300;TraesCS3A01G045100;TraesCS2B01G050300;TraesCS5D01G056100;TraesCS3B01G475700;TraesCS2A01G013100;TraesCS5A01G046400;TraesCS5B01G050900;TraesCS3A01G451600;TraesCS5B01G415100;TraesCS2B01G034400;TraesCS7D01G185200;TraesCS7B01G466000;TraesCSU01G267500;TraesCS3A01G116500;TraesCS2D01G092900;TraesCS3A01G441800;TraesCS4A01G247900;TraesCS3B01G480100;TraesCS2D01G328200;TraesCS3D01G447500;TraesCS6A01G233200;TraesCS2B01G502800;TraesCS2D01G025200;TraesCS3B01G493300;TraesCS2D01G004400;TraesCS2B01G347200;TraesCS5D01G056600;TraesCS3A01G442500;TraesCS7A01G183600;TraesCS2B01G547900;TraesCS5D01G420300;TraesCS6D01G146400;TraesCS4A01G473700;TraesCS3A01G451500;TraesCS7B01G088300;TraesCS7D01G185100;TraesCS3D01G443800;TraesCS2B01G110100;TraesCS2D01G171400;TraesCS6A01G157100;TraesCS6D01G396800;TraesCS3B01G476300;TraesCS3A01G445500;TraesCS6B01G016000;TraesCS7D01G215400;TraesCS5A01G496600;TraesCS6A01G143500;TraesCS2A01G579000;TraesCS5A01G411500;TraesCS1A01G014000;TraesCS3D01G435100;TraesCS3A01G442400;TraesCS5B01G471200;TraesCS6B01G369500;TraesCS2A01G164500;TraesCS3A01G451900;TraesCS3D01G444200;TraesCS7A01G183500;TraesCS3A01G451400;TraesCS3A01G451800;TraesCS7B01G465900;TraesCS2D01G003000;TraesCS3B01G488700;TraesCS7D01G185000;TraesCS7B01G088400;TraesCS1B01G049000;TraesCS3D01G438300;TraesCS6D01G373700;TraesCS3B01G476200;TraesCS7A01G543900;TraesCS6A01G126100;TraesCS2B01G190300;TraesCS4B01G324000;TraesCS1A01G237500;TraesCS1D01G011900;TraesCS6B01G184900;TraesCS3B01G493500;TraesCS3A01G454800;TraesCS3A01G442700;TraesCS4D01G107100;TraesCS2A01G334000;TraesCS3D01G444300;TraesCS7A01G183400;TraesCS1A01G238200;TraesCS2A01G164400;TraesCS1B01G426100</t>
  </si>
  <si>
    <t>TraesCS1A01G064200</t>
  </si>
  <si>
    <t>TraesCS4A01G205000;TraesCS4B01G246800;TraesCS6A01G020400;TraesCS4B01G011000;TraesCS4D01G008700;TraesCS1D01G337400;TraesCS4D01G191900;TraesCS4A01G302300;TraesCS4D01G113100;TraesCS4A01G304200;TraesCS4A01G302700;TraesCS7B01G422000;TraesCS1A01G069300;TraesCS6D01G029700;TraesCS6A01G011800;TraesCS7A01G511100;TraesCS4B01G010700;TraesCS5A01G452800;TraesCS7D01G012700;TraesCS6A01G013300;TraesCS3B01G517000;TraesCS3D01G412800;TraesCS3A01G473600;TraesCS6D01G030000;TraesCS4D01G009800;TraesCS1D01G389400;TraesCS4D01G009400;TraesCS1D01G071800;TraesCS5A01G453500;TraesCS2D01G070900;TraesCS5B01G461800;TraesCS6A01G364400;TraesCS4B01G011700;TraesCS6A01G012000;TraesCS4B01G011300;TraesCS6D01G014900;TraesCS3A01G116500;TraesCS1A01G445100;TraesCS5B01G476900;TraesCS1D01G453400;TraesCS7B01G422100;TraesCS7A01G146600;TraesCSU01G240700;TraesCS6B01G018400;TraesCS4D01G105800;TraesCS7D01G192400;TraesCSU01G226300;TraesCS5B01G462400;TraesCS1B01G061300;TraesCS6B01G027800;TraesCS5A01G395900;TraesCS7D01G148100;TraesCS7A01G510300;TraesCS4D01G009500;TraesCS1A01G381600;TraesCS5A01G453600;TraesCS7D01G499600;TraesCS4B01G011600;TraesCS4B01G011200;TraesCS7A01G502300;TraesCS7D01G525900;TraesCS7D01G489600;TraesCS7D01G500600;TraesCS7A01G511300;TraesCS7D01G433800;TraesCS4D01G008900;TraesCS5A01G458200;TraesCSU01G059800;TraesCS4A01G302500;TraesCS6B01G408800;TraesCS6D01G021500;TraesCS4B01G010900;TraesCS6D01G067900;TraesCS5B01G462300;TraesCS2D01G071000;TraesCS4B01G115400;TraesCS3A01G473800;TraesCS1B01G061400;TraesCS2B01G087000;TraesCS6A01G026200;TraesCS4D01G009600;TraesCS4D01G246100;TraesCS5D01G463200;TraesCS4B01G011500;TraesCS6D01G014700;TraesCS2A01G072100;TraesCS4B01G011100;TraesCSU01G214800;TraesCS4B01G108700;TraesCS1A01G445300;TraesCS4D01G008600;TraesCS4D01G010000;TraesCS6B01G408900;TraesCS5D01G464100;TraesCS4B01G010800;TraesCS1D01G453200;TraesCS6A01G011900;TraesCSU01G060200;TraesCS7D01G148700;TraesCS7B01G408700;TraesCS6D01G355500;TraesCS4D01G009300;TraesCS4A01G480800;TraesCS2B01G087100;TraesCS4D01G009700;TraesCS7A01G445600</t>
  </si>
  <si>
    <t>TraesCS1A01G064500</t>
  </si>
  <si>
    <t>TraesCS3A01G153700;TraesCS3A01G325800;TraesCS3D01G319200;TraesCS5A01G155900;TraesCS6D01G085000;TraesCS7D01G135600;TraesCS6A01G097700;TraesCS3B01G404200;TraesCS7A01G135400;TraesCS1D01G337400;TraesCS4D01G297900;TraesCS7B01G036500;TraesCS2D01G100800;TraesCS6B01G392600;TraesCS7D01G108100;TraesCS3A01G372000;TraesCS7B01G422000;TraesCS2A01G077500;TraesCS3B01G176200;TraesCS3D01G351500;TraesCS1A01G032700;TraesCS6A01G011800;TraesCS7A01G511100;TraesCS5A01G387400;TraesCS1B01G449100;TraesCS3B01G517000;TraesCS3A01G473600;TraesCS1B01G283000;TraesCS2B01G622300;TraesCS7D01G216800;TraesCS6D01G405000;TraesCS3D01G352600;TraesCS4B01G388900;TraesCS7D01G118600;TraesCS2B01G118200;TraesCS3B01G331200;TraesCS6A01G012000;TraesCS7A01G168100;TraesCS5D01G315400;TraesCS7D01G135700;TraesCS5B01G266800;TraesCS4B01G227900;TraesCS3A01G305300;TraesCS4B01G320400;TraesCS2D01G100700;TraesCSU01G183700;TraesCS6B01G427100;TraesCS6B01G467600;TraesCS7B01G422100;TraesCS4D01G182100;TraesCS6B01G018400;TraesCS7A01G121100;TraesCS3A01G534300;TraesCS2A01G325900;TraesCS2A01G101000;TraesCS3D01G314100;TraesCS7A01G377400;TraesCS2B01G530800;TraesCS1B01G265000;TraesCS1B01G273300;TraesCS7B01G299400;TraesCS5B01G154100;TraesCS1A01G096800;TraesCS3D01G352700;TraesCS3A01G149000;TraesCS7D01G135000;TraesCS6D01G404900;TraesCS7A01G168000;TraesCS3B01G404400;TraesCS7D01G525900;TraesCS3B01G354900;TraesCS7A01G135600;TraesCS1B01G347900;TraesCS7A01G511300;TraesCS1B01G435000;TraesCS5B01G091000;TraesCS3B01G138800;TraesCS2D01G100600;TraesCS7A01G130700;TraesCS7A01G475400;TraesCS7B01G036700;TraesCS3B01G390200;TraesCS7B01G019400;TraesCS6A01G420900;TraesCS2B01G355300;TraesCS3A01G357600;TraesCS3A01G473800;TraesCS7D01G169000;TraesCS1B01G434700;TraesCS5B01G265300;TraesCS7B01G364000;TraesCS3D01G364900;TraesCS1D01G204500;TraesCS7D01G372700;TraesCS2D01G336300;TraesCS3B01G349300;TraesCS3D01G532800;TraesCS7D01G069700;TraesCS5D01G178800;TraesCS1A01G404900;TraesCS7D01G216600;TraesCS2A01G370300;TraesCS7B01G094000;TraesCS7D01G248500;TraesCS1D01G268200;TraesCS4A01G402000;TraesCS3B01G400500;TraesCS1B01G236900;TraesCS7A01G399500;TraesCS7B01G121900;TraesCS3D01G361600;TraesCS4D01G082600;TraesCS4A01G006100;TraesCS6B01G125900;TraesCS5D01G162100;TraesCSU01G105200;TraesCS7B01G072800;TraesCS3B01G390300;TraesCS2D01G234000;TraesCS6A01G420800;TraesCS6B01G142000;TraesCS2D01G560000;TraesCS5A01G085000;TraesCS5B01G330300;TraesCS6A01G420700;TraesCS1B01G434800;TraesCS7B01G100300;TraesCS3B01G180300;TraesCS3A01G368700;TraesCS3D01G251600;TraesCS5D01G411500;TraesCS2B01G411600;TraesCS7A01G074600;TraesCS2D01G526000;TraesCS5D01G161000;TraesCS7D01G130100;TraesCS5A01G491600;TraesCS2A01G401200;TraesCS1A01G161500;TraesCS2D01G601800;TraesCS3A01G317100;TraesCS3B01G280700;TraesCS7D01G416300;TraesCS4D01G316900;TraesCS7D01G135200;TraesCS5D01G128200;TraesCS7A01G135000;TraesCS2A01G326600;TraesCS1A01G004500;TraesCS1B01G435200;TraesCS7B01G121800;TraesCS3D01G361700;TraesCS4B01G052900;TraesCS2A01G352100;TraesCS5A01G265600;TraesCS4A01G495800;TraesCS6B01G096500;TraesCS7B01G019200;TraesCS1D01G197300;TraesCS6A01G420600;TraesCS1B01G434900;TraesCS3D01G412800;TraesCS2A01G415300;TraesCS1B01G374300;TraesCS2B01G589800;TraesCS3B01G515900;TraesCS5A01G308400;TraesCS2D01G571500;TraesCS3A01G358200;TraesCS3B01G391200;TraesCS2B01G617700;TraesCS3D01G342400;TraesCSU01G124200;TraesCS7A01G189200;TraesCS4A01G123800;TraesCS7A01G135100;TraesCS1A01G004400;TraesCS4B01G246900;TraesCS5A01G352700;TraesCS7D01G373700;TraesCS1B01G293300;TraesCS2A01G092500;TraesCS4D01G167100;TraesCS5A01G156700;TraesCS6D01G377300;TraesCS6B01G096600;TraesCS5D01G097400;TraesCS3D01G296500;TraesCS6A01G311700;TraesCS1B01G122500;TraesCS4B01G299000;TraesCS1A01G253100;TraesCS7A01G510300;TraesCS1D01G362000;TraesCS4A01G139000;TraesCS1A01G087700;TraesCS7A01G214500;TraesCS7B01G031000;TraesCS4D01G131500;TraesCS3D01G161100;TraesCS7D01G499600;TraesCS3A01G371900;TraesCS3D01G539700;TraesCS3B01G400200;TraesCS3D01G157100;TraesCS3D01G241200;TraesCS7A01G135200;TraesCS5B01G062800;TraesCS7A01G502300;TraesCS5B01G154900;TraesCS5D01G273500;TraesCS6A01G097500;TraesCS7D01G489600;TraesCS7D01G500600;TraesCS2D01G414900;TraesCS6D01G084900;TraesCS1D01G413000;TraesCS7A01G188800;TraesCS3A01G372200;TraesCS6B01G408800;TraesCS6B01G467500;TraesCS3B01G138400;TraesCS4D01G228800;TraesCS2A01G101100;TraesCS1B01G178000;TraesCS5D01G335900;TraesCS3A01G251200;TraesCS7A01G205100;TraesCS7B01G277800;TraesCS7A01G194700;TraesCS4A01G007600;TraesCS3A01G417300;TraesCS3B01G452200;TraesCS3A01G358400;TraesCS5B01G308800;TraesCS6D01G014700;TraesCS1B01G106800;TraesCS2D01G567700;TraesCS3A01G371800;TraesCS3D01G365000;TraesCS5A01G330200;TraesCS6D01G222500;TraesCS4D01G301300;TraesCS4A01G404700;TraesCS5D01G460700;TraesCS2A01G230400;TraesCS3A01G527300;TraesCS4B01G180600;TraesCS6B01G408900;TraesCS1D01G252700;TraesCS3A01G372100;TraesCS1B01G071300;TraesCS6A01G011900;TraesCS6D01G084200;TraesCS2A01G558100;TraesCS2A01G101200;TraesCS7B01G408700;TraesCS3B01G611300;TraesCS1A01G284300;TraesCS1A01G357600;TraesCS6D01G355500;TraesCS3A01G292400;TraesCS6A01G072000;TraesCS2B01G434300;TraesCS4D01G053100;TraesCS6B01G126600;TraesCS7A01G214700;TraesCS1A01G039100;TraesCS1A01G058400;TraesCS3B01G269100;TraesCS1B01G076300;TraesCS2A01G370700;TraesCS2A01G554300</t>
  </si>
  <si>
    <t>TraesCS7A01G009500;TraesCS1D01G075100;TraesCS3B01G530500;TraesCS4B01G229500;TraesCS6A01G333500;TraesCS6D01G089200;TraesCS7B01G174100;TraesCS7B01G067000;TraesCS4A01G402300;TraesCS2A01G588700;TraesCS4D01G191900;TraesCS3A01G083900;TraesCS1A01G091500;TraesCS6B01G058000;TraesCS2D01G201900;TraesCS4B01G026100;TraesCS1D01G237400;TraesCS1B01G090700;TraesCS3A01G483700;TraesCS6D01G048900;TraesCS5B01G011700;TraesCS5B01G476000;TraesCS2B01G423400;TraesCS5B01G011800;TraesCS7D01G163100;TraesCS3B01G151700;TraesCS7A01G549200;TraesCS2A01G589000;TraesCSU01G066000;TraesCS1D01G074800;TraesCS3D01G475600;TraesCS2A01G549500;TraesCS1A01G099100;TraesCS5B01G265500;TraesCS1B01G248900;TraesCS2B01G327300;TraesCS2D01G172300;TraesCS7D01G535500;TraesCS7A01G070100;TraesCS2B01G050300;TraesCS4A01G485600;TraesCS6D01G064300;TraesCS3D01G480500;TraesCS2A01G405100;TraesCS3B01G530600;TraesCS5A01G464500;TraesCS2B01G594700;TraesCS7D01G397600;TraesCS7D01G054800;TraesCS7D01G182600;TraesCS4A01G073300;TraesCS5A01G513600;TraesCS5D01G019100;TraesCS2D01G402300;TraesCS1A01G365300;TraesCS2D01G220900;TraesCS1A01G072100;TraesCS2B01G194200;TraesCS3B01G277600;TraesCS7A01G549300;TraesCS7D01G276200;TraesCS3A01G483800;TraesCS5D01G553000;TraesCS7A01G207700;TraesCS6A01G042400;TraesCS7B01G303800;TraesCS5D01G551900;TraesCS2A01G134300;TraesCS5D01G477100;TraesCS3B01G034600;TraesCS2D01G550400;TraesCS3A01G308800;TraesCS1A01G312400;TraesCS5B01G475700;TraesCS3B01G525400;TraesCS4B01G344700;TraesCS4A01G288700;TraesCS6B01G080800;TraesCS3D01G130300;TraesCS7D01G009100;TraesCS6D01G230500;TraesCS2A01G215100;TraesCS2D01G402000;TraesCS4B01G227000;TraesCS3A01G480900;TraesCS4D01G230600;TraesCS4B01G074100;TraesCS2D01G175600;TraesCS2A01G548600;TraesCS5B01G394300;TraesCS7B01G472300;TraesCS2A01G588900;TraesCS3D01G478900;TraesCS5B01G150700;TraesCS6B01G068800;TraesCS5D01G399100;TraesCS7A01G404200;TraesCS5D01G449000;TraesCS2A01G405300;TraesCS4D01G174700;TraesCS5B01G309700;TraesCS2B01G423200;TraesCS3D01G133800;TraesCS4D01G023500;TraesCS7D01G016300;TraesCS2D01G564900;TraesCS1A01G234700;TraesCS3B01G099000;TraesCS5B01G169600;TraesCS2D01G550500;TraesCS5A01G172200;TraesCS3D01G478800;TraesCS7D01G009200;TraesCS4B01G172700;TraesCS2D01G402100;TraesCS4A01G240900;TraesCS4D01G072800;TraesCS5A01G309000;TraesCS5A01G441700;TraesCS6A01G060800;TraesCS7B01G085800;TraesCS3B01G148500;TraesCS2B01G120200;TraesCS7A01G009600;TraesCS2A01G061600;TraesCS1B01G270100;TraesCS1A01G214700;TraesCS1A01G103600;TraesCS7A01G276300;TraesCS5B01G556700;TraesCS6B01G276300;TraesCS2B01G240100;TraesCS2B01G341300;TraesCS1A01G072300;TraesCS2B01G580100;TraesCS2B01G423300;TraesCS1D01G074700;TraesCS3A01G144600;TraesCS7A01G019400;TraesCS4A01G485700;TraesCS6D01G064200;TraesCS2B01G075000</t>
  </si>
  <si>
    <t>TraesCS1A01G070700</t>
  </si>
  <si>
    <t>TraesCS4A01G205000;TraesCS1D01G304600;TraesCS4B01G246800;TraesCS6A01G020400;TraesCS4B01G011000;TraesCS2A01G139100;TraesCS4D01G008700;TraesCS1D01G337400;TraesCS4D01G191900;TraesCS4A01G302300;TraesCS4D01G113100;TraesCS4A01G304200;TraesCS4A01G302700;TraesCS7B01G422000;TraesCS1A01G069300;TraesCS1A01G032700;TraesCS6D01G029700;TraesCS6A01G011800;TraesCS7A01G511100;TraesCS4B01G010700;TraesCS5A01G452800;TraesCS7D01G012700;TraesCS6A01G013300;TraesCS3B01G517000;TraesCS3D01G412800;TraesCS3A01G473600;TraesCS6D01G030000;TraesCS4D01G009800;TraesCS1D01G389400;TraesCS4D01G009400;TraesCS1D01G071800;TraesCS5A01G453500;TraesCS2D01G070900;TraesCS5B01G461800;TraesCS1B01G315300;TraesCS6A01G364400;TraesCS4B01G011700;TraesCS6A01G012000;TraesCS4B01G011300;TraesCS6D01G014900;TraesCS4B01G246900;TraesCS3A01G116500;TraesCS1A01G445100;TraesCS5B01G476900;TraesCS1D01G453400;TraesCS7B01G422100;TraesCS7A01G146600;TraesCSU01G240700;TraesCS6B01G018400;TraesCS4D01G105800;TraesCS7D01G192400;TraesCSU01G226300;TraesCS5B01G462400;TraesCS1B01G061300;TraesCS6B01G027800;TraesCS5A01G395900;TraesCS7D01G148100;TraesCS7A01G510300;TraesCS4D01G009500;TraesCS2B01G163200;TraesCS1A01G381600;TraesCS5A01G453600;TraesCS7D01G499600;TraesCS4B01G011600;TraesCS2A01G324100;TraesCS4B01G011200;TraesCS7A01G502300;TraesCS7D01G525900;TraesCS7D01G489600;TraesCS7D01G500600;TraesCS7A01G511300;TraesCS2D01G142000;TraesCS7D01G433800;TraesCS4D01G008900;TraesCS5A01G458200;TraesCS1D01G304000;TraesCSU01G059800;TraesCS4A01G302500;TraesCS6B01G408800;TraesCS6D01G021500;TraesCS4B01G010900;TraesCS6D01G067900;TraesCS5B01G462300;TraesCS2D01G071000;TraesCS4B01G115400;TraesCS3A01G473800;TraesCS1B01G061400;TraesCS2B01G087000;TraesCS6A01G026200;TraesCS4D01G009600;TraesCS4D01G246100;TraesCS5D01G463200;TraesCSU01G094800;TraesCS4B01G011500;TraesCS6D01G014700;TraesCS2A01G072100;TraesCS1A01G304700;TraesCS4B01G011100;TraesCSU01G214800;TraesCS4B01G108700;TraesCS1A01G445300;TraesCS4D01G008600;TraesCS4D01G010000;TraesCS6B01G408900;TraesCS5D01G464100;TraesCS4B01G010800;TraesCS1D01G453200;TraesCS6A01G011900;TraesCS1B01G315000;TraesCSU01G060200;TraesCS7D01G148700;TraesCS7B01G408700;TraesCS1A01G284300;TraesCS6D01G355500;TraesCS4D01G009300;TraesCS4A01G480800;TraesCS2B01G087100;TraesCS3A01G123800;TraesCS4D01G009700;TraesCS7A01G445600</t>
  </si>
  <si>
    <t>TraesCS3B01G196600;TraesCS4B01G013700;TraesCS6D01G385300;TraesCS7A01G009500;TraesCS7B01G407400;TraesCS1B01G259800;TraesCS7A01G500200;TraesCS7A01G502500;TraesCS2D01G099600;TraesCS4B01G229500;TraesCS7A01G336500;TraesCS6D01G354000;TraesCS1B01G261200;TraesCS7D01G460300;TraesCS4A01G387500;TraesCS4A01G402300;TraesCS3D01G285100;TraesCS2A01G588700;TraesCS5A01G407200;TraesCS5A01G244500;TraesCS4D01G082500;TraesCS4B01G026100;TraesCS5A01G246000;TraesCS4D01G027900;TraesCS2B01G330200;TraesCS1A01G069300;TraesCS2A01G073800;TraesCS3D01G443600;TraesCS5A01G024200;TraesCS2B01G423400;TraesCS3B01G151700;TraesCS5D01G417100;TraesCS2A01G589000;TraesCS6B01G132300;TraesCS7D01G222800;TraesCS1B01G254900;TraesCS5B01G209000;TraesCS5B01G265500;TraesCS2D01G119400;TraesCSU01G182400;TraesCS5A01G396100;TraesCS6B01G088600;TraesCS1D01G071800;TraesCS2D01G172300;TraesCS7D01G535500;TraesCS2B01G159400;TraesCS4A01G485600;TraesCS7A01G048200;TraesCS3D01G039200;TraesCS3B01G139800;TraesCS6D01G064300;TraesCS2A01G405100;TraesCS6D01G324600;TraesCS2D01G109600;TraesCS1A01G107200;TraesCS3A01G235100;TraesCS2D01G112800;TraesCS3B01G039500;TraesCS1D01G317100;TraesCS2A01G412300;TraesCS2B01G474200;TraesCS4B01G094600;TraesCS6A01G379800;TraesCS6A01G370300;TraesCS5B01G072900;TraesCS1D01G250200;TraesCS7B01G420600;TraesCS3D01G122500;TraesCS5B01G149300;TraesCS7D01G182600;TraesCS5A01G513600;TraesCS6B01G389100;TraesCS2D01G220900;TraesCS7D01G192400;TraesCS3B01G277600;TraesCS7D01G083600;TraesCS2B01G117100;TraesCS5D01G553000;TraesCS6A01G042400;TraesCS1B01G170100;TraesCS6B01G064500;TraesCS1A01G152600;TraesCS5D01G251100;TraesCS2D01G550400;TraesCS2D01G311600;TraesCS1B01G334900;TraesCS6D01G045100;TraesCS3A01G144400;TraesCS3A01G308800;TraesCS4B01G300000;TraesCSU01G119800;TraesCS7A01G420000;TraesCS5D01G499900;TraesCS7B01G409500;TraesCS7D01G009100;TraesCS6D01G230500;TraesCS2A01G135500;TraesCS6B01G055200;TraesCS4B01G227000;TraesCS3B01G597800;TraesCS4D01G230600;TraesCS2D01G099000;TraesCS4B01G074100;TraesCS2A01G548600;TraesCS2A01G588900;TraesCS3D01G478900;TraesCS7D01G433800;TraesCS5D01G399100;TraesCS2B01G135400;TraesCS3A01G225200;TraesCS6B01G406900;TraesCS1D01G149700;TraesCS2B01G116200;TraesCS6B01G375900;TraesCS6A01G103200;TraesCS6A01G048100;TraesCS5A01G150700;TraesCS2D01G373700;TraesCS5B01G309700;TraesCS7D01G016300;TraesCS1B01G453400;TraesCS6B01G064600;TraesCS7B01G384500;TraesCS4D01G357800;TraesCS4D01G298900;TraesCS7A01G510200;TraesCS1B01G162500;TraesCS7A01G088300;TraesCS2A01G313100;TraesCS4A01G372200;TraesCS5B01G400900;TraesCS7D01G069700;TraesCS4B01G084600;TraesCS4B01G139000;TraesCS3D01G478800;TraesCS3B01G610600;TraesCS7A01G500300;TraesCS7D01G009200;TraesCS4D01G072800;TraesCS5A01G309000;TraesCS5A01G441700;TraesCS5D01G405400;TraesCS7D01G489900;TraesCS3B01G148500;TraesCS3D01G283300;TraesCS1A01G192900;TraesCS5B01G243400;TraesCS3B01G597900;TraesCS6D01G039600;TraesCS3D01G036700;TraesCS5B01G499700;TraesCS1B01G270100;TraesCS7B01G420400;TraesCS1A01G250600;TraesCS3D01G145500;TraesCS7A01G125100;TraesCS3D01G534200;TraesCS2D01G409700;TraesCS1A01G072300;TraesCS2B01G580100;TraesCS1B01G124600;TraesCS6B01G354400;TraesCS6D01G363400;TraesCS1D01G074700;TraesCS1A01G152800;TraesCS5B01G242300;TraesCS3D01G288300;TraesCS7D01G157800;TraesCS6A01G131300;TraesCS7A01G074600;TraesCS4A01G485700;TraesCS4A01G431200;TraesCS6D01G064200;TraesCS5D01G155800;TraesCS6A01G387800;TraesCS7A01G204900;TraesCS1D01G075100;TraesCS3B01G530500;TraesCS3D01G369300;TraesCS6B01G410400;TraesCS6A01G333500;TraesCS2D01G074700;TraesCS6D01G089200;TraesCS7B01G046700;TraesCS6A01G370800;TraesCS1D01G442200;TraesCS3B01G400000;TraesCS2D01G099200;TraesCS4D01G191900;TraesCS7B01G420100;TraesCS3A01G083900;TraesCS6B01G058000;TraesCS2D01G201900;TraesCS4A01G119400;TraesCS2B01G116400;TraesCS1B01G090700;TraesCS3A01G483700;TraesCS6D01G048900;TraesCS5A01G255900;TraesCS4D01G264700;TraesCS5B01G011700;TraesCS5B01G476000;TraesCS5B01G011800;TraesCS2D01G098900;TraesCS7A01G549200;TraesCS3B01G380200;TraesCSU01G066000;TraesCS1D01G074800;TraesCS2B01G127400;TraesCS5A01G358900;TraesCS2A01G549500;TraesCS5A01G485900;TraesCS2B01G327300;TraesCS3A01G528800;TraesCS1B01G223100;TraesCSU01G079100;TraesCS4A01G043900;TraesCS7D01G499500;TraesCS3D01G480500;TraesCS7D01G384600;TraesCS3B01G530600;TraesCS6A01G387900;TraesCS3D01G235900;TraesCS3D01G172000;TraesCS4A01G460600;TraesCS2D01G137900;TraesCS5A01G464500;TraesCS5A01G352700;TraesCS7D01G487400;TraesCS1D01G149800;TraesCS3B01G323300;TraesCS2B01G594700;TraesCS7D01G397600;TraesCS2B01G131100;TraesCS4D01G201700;TraesCS5D01G030100;TraesCS7D01G054800;TraesCS4A01G073300;TraesCS1D01G103200;TraesCS2B01G116300;TraesCS5D01G019100;TraesCS7D01G303400;TraesCS2A01G115800;TraesCS2D01G402300;TraesCS5D01G500000;TraesCS1A01G365300;TraesCS3D01G515900;TraesCS1A01G072100;TraesCS4A01G103400;TraesCS6B01G054200;TraesCS7A01G549300;TraesCS7D01G524000;TraesCS3A01G483800;TraesCS7B01G303800;TraesCS5D01G551900;TraesCS2A01G134300;TraesCS5D01G477100;TraesCS6B01G159700;TraesCS3B01G531000;TraesCS3B01G319100;TraesCS3A01G169800;TraesCS7B01G419900;TraesCS5B01G475700;TraesCS7D01G053700;TraesCS3B01G171000;TraesCS4B01G344700;TraesCS4A01G288700;TraesCS6B01G080800;TraesCS3D01G130300;TraesCS2A01G215100;TraesCS2D01G402000;TraesCS7D01G042600;TraesCS4B01G200600;TraesCS5B01G062800;TraesCS5B01G394300;TraesCS6D01G091600;TraesCS7B01G472300;TraesCS1B01G249800;TraesCS6B01G068800;TraesCS7A01G404200;TraesCS1A01G145300;TraesCS1A01G249100;TraesCS7B01G420700;TraesCS5D01G449000;TraesCS6B01G427200;TraesCS1A01G233200;TraesCS2B01G116600;TraesCS2A01G405300;TraesCS2B01G423200;TraesCS3D01G133800;TraesCS4D01G023500;TraesCS6B01G417400;TraesCS2D01G564900;TraesCS2A01G386700;TraesCS7D01G499300;TraesCS4B01G264700;TraesCS3B01G099000;TraesCS5B01G169600;TraesCS6B01G166000;TraesCS2D01G550500;TraesCS5A01G172200;TraesCS6D01G121200;TraesCS2B01G474400;TraesCS2D01G402100;TraesCS4A01G240900;TraesCS2A01G099500;TraesCS3A01G285200;TraesCS6D01G356600;TraesCS6A01G060800;TraesCS7B01G085800;TraesCS4D01G301300;TraesCS7A01G009600;TraesCS2A01G061600;TraesCS4D01G035700;TraesCS7A01G482300;TraesCSU01G107100;TraesCS1A01G214700;TraesCS2A01G100100;TraesCS4B01G381900;TraesCS1D01G107600;TraesCS1A01G103600;TraesCS5B01G556700;TraesCS2B01G240100;TraesCS2D01G383300;TraesCS5A01G194200;TraesCS2A01G453000;TraesCS7B01G374300;TraesCS1D01G238300;TraesCS3B01G170900;TraesCS5D01G196600;TraesCS2B01G423300;TraesCS1A01G284300;TraesCS5D01G368100;TraesCS2B01G159300;TraesCS1D01G144200;TraesCS3A01G144600;TraesCS7A01G019400;TraesCS2A01G575900;TraesCS2B01G404000;TraesCS3B01G317000;TraesCS4D01G011500;TraesCS6B01G407700;TraesCS7D01G472500;TraesCS5B01G255200;TraesCS7A01G445600;TraesCS2B01G075000;TraesCS7A01G537400</t>
  </si>
  <si>
    <t>TraesCS4A01G205000;TraesCS4B01G246800;TraesCS6A01G020400;TraesCS4B01G011000;TraesCS4D01G008700;TraesCS1D01G337400;TraesCS4D01G191900;TraesCS4A01G302300;TraesCS4D01G113100;TraesCS4A01G304200;TraesCS4A01G302700;TraesCS7B01G422000;TraesCS1A01G069300;TraesCS6D01G029700;TraesCS6A01G011800;TraesCS7A01G511100;TraesCS4B01G010700;TraesCS5A01G452800;TraesCS7D01G012700;TraesCS6A01G013300;TraesCS3B01G517000;TraesCS3D01G412800;TraesCS3A01G473600;TraesCS6D01G030000;TraesCS4D01G009800;TraesCS1D01G389400;TraesCS4D01G009400;TraesCS1D01G071800;TraesCS5A01G453500;TraesCS2D01G070900;TraesCS5B01G461800;TraesCS6A01G364400;TraesCS4B01G011700;TraesCS6A01G012000;TraesCS4B01G011300;TraesCS6D01G014900;TraesCS3A01G116500;TraesCS1A01G445100;TraesCS5B01G476900;TraesCS1D01G453400;TraesCS7B01G422100;TraesCS7A01G146600;TraesCSU01G240700;TraesCS6B01G018400;TraesCS4D01G105800;TraesCS7D01G192400;TraesCSU01G226300;TraesCS5B01G462400;TraesCS1B01G061300;TraesCS6B01G027800;TraesCS5A01G395900;TraesCS7D01G148100;TraesCS7A01G510300;TraesCS4D01G009500;TraesCS1A01G381600;TraesCS5A01G453600;TraesCS7D01G499600;TraesCS4B01G011600;TraesCS4B01G011200;TraesCS7A01G502300;TraesCS7D01G525900;TraesCS7D01G489600;TraesCS7D01G500600;TraesCS7A01G511300;TraesCS7D01G433800;TraesCS4D01G008900;TraesCS5A01G458200;TraesCSU01G059800;TraesCS4A01G302500;TraesCS6B01G408800;TraesCS6D01G021500;TraesCS4B01G010900;TraesCS6D01G067900;TraesCS5B01G462300;TraesCS2D01G071000;TraesCS4B01G115400;TraesCS3A01G473800;TraesCS1B01G061400;TraesCS2B01G087000;TraesCS6A01G026200;TraesCS4D01G009600;TraesCS4D01G246100;TraesCS5D01G463200;TraesCSU01G094800;TraesCS4B01G011500;TraesCS6D01G014700;TraesCS2A01G072100;TraesCS4B01G011100;TraesCSU01G214800;TraesCS4B01G108700;TraesCS1A01G445300;TraesCS4D01G008600;TraesCS4D01G010000;TraesCS6B01G408900;TraesCS5D01G464100;TraesCS4B01G010800;TraesCS1D01G453200;TraesCS6A01G011900;TraesCSU01G060200;TraesCS7D01G148700;TraesCS7B01G408700;TraesCS6D01G355500;TraesCS4D01G009300;TraesCS4A01G480800;TraesCS2B01G087100;TraesCS4D01G107100;TraesCS4D01G009700;TraesCS7A01G445600</t>
  </si>
  <si>
    <t>TraesCS1A01G076700</t>
  </si>
  <si>
    <t>TraesCS2A01G453000;TraesCS4B01G328000;TraesCS4D01G066000;TraesCS4B01G328100;TraesCS2B01G474400;TraesCS2D01G371800;TraesCS2B01G474200;TraesCS3D01G096000;TraesCS4A01G460600;TraesCS4D01G325100;TraesCS5B01G281000;TraesCS2D01G311600;TraesCS4D01G325000;TraesCS6D01G000200;TraesCS4A01G247900;TraesCS5D01G030100;TraesCS7D01G303400;TraesCS2A01G313100;TraesCS2B01G330200;TraesCS2B01G502800;TraesCS7D01G472500;TraesCS2B01G392500;TraesCS5A01G024200</t>
  </si>
  <si>
    <t>TraesCS1A01G087700</t>
  </si>
  <si>
    <t>chromatin binding</t>
  </si>
  <si>
    <t>TraesCS5A01G206400;TraesCS2A01G370300;TraesCS3A01G153700;TraesCS5D01G212600;TraesCS6D01G404900;TraesCS7A01G443000;TraesCS6D01G222500;TraesCS5D01G128200;TraesCS7A01G502300;TraesCS1A01G004400;TraesCS7A01G135600;TraesCS1A01G004500;TraesCS7D01G489600;TraesCS1B01G435000;TraesCS1B01G293300;TraesCS4D01G297900;TraesCS2A01G230400;TraesCS2A01G092500;TraesCS6B01G467600;TraesCS6B01G467500;TraesCS6A01G420900;TraesCS2D01G234000;TraesCS6A01G420800;TraesCS6A01G420700;TraesCS1B01G449100;TraesCS6A01G420600;TraesCS5B01G204600;TraesCS1A01G357600;TraesCS1B01G434800;TraesCS1B01G434700;TraesCS3A01G251200;TraesCS3A01G368700;TraesCS4B01G299000;TraesCS6D01G405000;TraesCS2D01G091500;TraesCS7D01G130100;TraesCS1A01G096800;TraesCS3B01G515900;TraesCS4D01G131500;TraesCS3D01G161100;TraesCS1A01G404900;TraesCS2A01G370700</t>
  </si>
  <si>
    <t>TraesCS1A01G091500</t>
  </si>
  <si>
    <t>TraesCS1A01G094100</t>
  </si>
  <si>
    <t>alpha-amylase inhibitor activity</t>
  </si>
  <si>
    <t>TraesCS4B01G328000;TraesCS4B01G328100;TraesCS6D01G000200;TraesCS3D01G096000;TraesCS2B01G392500</t>
  </si>
  <si>
    <t>TraesCS1A01G096800</t>
  </si>
  <si>
    <t>TraesCS5A01G452800;TraesCS5B01G462400;TraesCS7D01G148100;TraesCS7A01G502300;TraesCS7D01G489600;TraesCS7D01G500600;TraesCS1A01G445100;TraesCS1A01G445300;TraesCS6B01G408900;TraesCS1D01G453400;TraesCS5A01G453600;TraesCS5D01G464100;TraesCS1D01G453200</t>
  </si>
  <si>
    <t>proteolysis</t>
  </si>
  <si>
    <t>TraesCS4B01G013700;TraesCS3D01G369300;TraesCS6B01G410400;TraesCS7A01G502500;TraesCS2D01G099600;TraesCS7B01G046700;TraesCS6A01G370800;TraesCS3B01G031000;TraesCS1A01G094100;TraesCS4A01G387500;TraesCS7B01G492500;TraesCS7D01G544900;TraesCS7A01G565800;TraesCS2D01G099200;TraesCS5A01G244500;TraesCS4D01G082500;TraesCS7B01G420100;TraesCS5A01G246000;TraesCS2B01G116400;TraesCS5A01G255900;TraesCS4D01G264700;TraesCS2D01G098900;TraesCS2B01G127400;TraesCS7D01G222800;TraesCS5A01G093500;TraesCS2D01G119400;TraesCSU01G182400;TraesCS3A01G528800;TraesCS6B01G088600;TraesCS3D01G039200;TraesCSU01G079100;TraesCS3B01G139800;TraesCS4A01G043900;TraesCS7D01G499500;TraesCS1D01G102700;TraesCS2D01G109600;TraesCS2D01G112800;TraesCS2A01G412300;TraesCS3B01G323300;TraesCS2B01G131100;TraesCS7B01G420600;TraesCS3D01G122500;TraesCS2B01G116300;TraesCS2A01G115800;TraesCS6B01G054200;TraesCS7D01G083600;TraesCS2B01G117100;TraesCS6B01G064500;TraesCS3A01G028000;TraesCS3B01G531000;TraesCS5D01G251100;TraesCS6D01G045100;TraesCS7B01G419900;TraesCS6D01G020500;TraesCSU01G119800;TraesCS6A01G016900;TraesCS7B01G409500;TraesCS5D01G105800;TraesCS6B01G055200;TraesCS3B01G597800;TraesCS2D01G099000;TraesCS3B01G018100;TraesCS6B01G024700;TraesCS3A01G048300;TraesCS7B01G492300;TraesCS1B01G249800;TraesCS3B01G030900;TraesCS2B01G135400;TraesCS7B01G420700;TraesCS2B01G116200;TraesCS1A01G233200;TraesCS6A01G048100;TraesCS2B01G116600;TraesCS3D01G018000;TraesCS1B01G122200;TraesCS1B01G453400;TraesCS6B01G064600;TraesCS7B01G384500;TraesCS2A01G386700;TraesCS7A01G510200;TraesCS7D01G499300;TraesCS4B01G264700;TraesCS7A01G088300;TraesCS4B01G084600;TraesCS2A01G099500;TraesCS6D01G356600;TraesCS3B01G018200;TraesCS4D01G301300;TraesCS7D01G489900;TraesCS1A01G192900;TraesCS5B01G243400;TraesCS3B01G597900;TraesCS6D01G039600;TraesCS7A01G565700;TraesCS6D01G002600;TraesCS7A01G482300;TraesCS7B01G420400;TraesCS2A01G100100;TraesCS3A01G374400;TraesCS3D01G145500;TraesCS2D01G383300;TraesCS3D01G534200;TraesCS5A01G194200;TraesCS2D01G409700;TraesCS7D01G545000;TraesCS1D01G238300;TraesCS5D01G196600;TraesCS3D01G028300;TraesCS5B01G099600;TraesCS5B01G242300;TraesCS3D01G288300;TraesCS7B01G492200;TraesCS2B01G404000;TraesCS4D01G011500;TraesCS6B01G407700;TraesCS5B01G255200;TraesCS3D01G031300</t>
  </si>
  <si>
    <t>TraesCS1A01G103600</t>
  </si>
  <si>
    <t>TraesCS4A01G205000;TraesCS1A01G304400;TraesCS3A01G325800;TraesCS3D01G319200;TraesCS5A01G155900;TraesCS6D01G085000;TraesCS6A01G020400;TraesCS6A01G097700;TraesCS3B01G404200;TraesCS4D01G008700;TraesCS1D01G337400;TraesCS6D01G000200;TraesCS2D01G100800;TraesCS4D01G113100;TraesCS4A01G304200;TraesCS3A01G372000;TraesCS4A01G302700;TraesCS7B01G422000;TraesCS1A01G069300;TraesCS3B01G176200;TraesCS6A01G011800;TraesCS7A01G511100;TraesCS5A01G452800;TraesCS6A01G013300;TraesCS3B01G517000;TraesCS3A01G473600;TraesCS4D01G009800;TraesCS7D01G216800;TraesCS1D01G389400;TraesCS1D01G071800;TraesCS5B01G461800;TraesCS6A01G364400;TraesCS4B01G328000;TraesCS2B01G118200;TraesCS3B01G331200;TraesCS6A01G012000;TraesCS4B01G011300;TraesCS5D01G315400;TraesCS3D01G195200;TraesCS3A01G305300;TraesCS4B01G320400;TraesCS3A01G116500;TraesCS1A01G445100;TraesCS2D01G100700;TraesCS4A01G247900;TraesCSU01G183700;TraesCS6B01G427100;TraesCS7B01G258200;TraesCS1D01G453400;TraesCS4D01G098400;TraesCS7B01G422100;TraesCS4D01G182100;TraesCSU01G240700;TraesCS6B01G018400;TraesCS4D01G105800;TraesCS2A01G325900;TraesCS7D01G192400;TraesCSU01G226300;TraesCS2A01G101000;TraesCS1B01G061300;TraesCS7B01G129700;TraesCS6B01G027800;TraesCS7A01G377400;TraesCS5A01G395900;TraesCS7D01G148100;TraesCS2B01G530800;TraesCS1B01G273300;TraesCS5B01G154100;TraesCS1A01G381600;TraesCS3A01G149000;TraesCS4B01G011600;TraesCS4B01G328100;TraesCS3B01G404400;TraesCS7D01G525900;TraesCS3B01G354900;TraesCS1B01G347900;TraesCS7A01G511300;TraesCS5B01G091000;TraesCS7D01G433800;TraesCS3B01G138800;TraesCS2D01G100600;TraesCS7D01G536000;TraesCS7A01G475400;TraesCS2B01G284300;TraesCS6D01G021500;TraesCS2B01G355300;TraesCS5B01G462300;TraesCS2D01G071000;TraesCS4B01G115400;TraesCSU01G117200;TraesCS3A01G473800;TraesCS5B01G265300;TraesCS6B01G341900;TraesCS3D01G364900;TraesCS7D01G372700;TraesCS2D01G336300;TraesCS4D01G325000;TraesCS6A01G026200;TraesCS4D01G009600;TraesCS3D01G532800;TraesCS4A01G372200;TraesCS5D01G178800;TraesCS4B01G101800;TraesCS7D01G216600;TraesCS4B01G011500;TraesCS2A01G072100;TraesCS4D01G066000;TraesCS7B01G094000;TraesCS7D01G248500;TraesCS1D01G268200;TraesCSU01G214800;TraesCS7B01G121900;TraesCS4D01G082600;TraesCS6B01G125900;TraesCS1B01G463900;TraesCS5D01G162100;TraesCS1A01G445300;TraesCS4D01G008600;TraesCS4D01G010000;TraesCS3A01G143000;TraesCS5D01G464100;TraesCS2D01G234000;TraesCS7A01G408500;TraesCS6B01G142000;TraesCS1A01G030800;TraesCS5B01G330300;TraesCS3B01G162100;TraesCS4A01G480800;TraesCS7B01G100300;TraesCS4D01G325100;TraesCS5D01G161000;TraesCS4D01G009700;TraesCS5A01G491600;TraesCS2A01G401200;TraesCS7D01G416300;TraesCS4D01G316900;TraesCS4B01G246800;TraesCS4B01G011000;TraesCS2A01G326600;TraesCS7B01G121800;TraesCS4D01G191900;TraesCS4A01G302300;TraesCS2A01G352100;TraesCS5A01G265600;TraesCS1B01G314900;TraesCS6B01G096500;TraesCS6D01G029700;TraesCS1D01G197300;TraesCS4B01G010700;TraesCS7D01G012700;TraesCS1D01G303900;TraesCS3D01G412800;TraesCS6D01G030000;TraesCS2A01G415300;TraesCS4D01G009400;TraesCS5A01G453500;TraesCS2D01G070900;TraesCS5A01G308400;TraesCS2B01G508900;TraesCS4B01G011700;TraesCS6D01G014900;TraesCS7A01G189200;TraesCS4A01G123800;TraesCS5B01G281000;TraesCS7D01G373700;TraesCS5B01G476900;TraesCS5A01G156700;TraesCS2B01G502800;TraesCS5D01G097400;TraesCS7A01G146600;TraesCS3D01G296500;TraesCS3D01G515900;TraesCS6A01G311700;TraesCS5B01G462400;TraesCS7B01G472800;TraesCS7A01G510300;TraesCS4D01G009500;TraesCS3A01G169800;TraesCS7A01G214500;TraesCS5A01G453600;TraesCS4D01G131500;TraesCS7D01G499600;TraesCS3A01G371900;TraesCS4B01G011200;TraesCS3D01G157100;TraesCS7A01G502300;TraesCS5B01G154900;TraesCS5D01G273500;TraesCS6A01G097500;TraesCS7D01G489600;TraesCS7D01G500600;TraesCS4D01G008900;TraesCS5A01G458200;TraesCS6D01G084900;TraesCSU01G059800;TraesCS3A01G372200;TraesCS4A01G302500;TraesCS6B01G408800;TraesCS4B01G010900;TraesCS6D01G067900;TraesCS1A01G429100;TraesCS2A01G101100;TraesCS2D01G371800;TraesCS1B01G178000;TraesCS1B01G061400;TraesCS5D01G335900;TraesCS3A01G251200;TraesCS4A01G214200;TraesCS7B01G277800;TraesCS2B01G087000;TraesCS7A01G194700;TraesCS2B01G589200;TraesCS3D01G144600;TraesCS4D01G246100;TraesCS5D01G463200;TraesCS1B01G464000;TraesCS2B01G392500;TraesCS5B01G308800;TraesCS6D01G014700;TraesCS3A01G371800;TraesCS3D01G365000;TraesCS4B01G011100;TraesCS3D01G096000;TraesCS5A01G330200;TraesCS4A01G404700;TraesCS5D01G460700;TraesCS4B01G108700;TraesCS2A01G230400;TraesCS3A01G527300;TraesCS4B01G180600;TraesCS6B01G408900;TraesCS3A01G372100;TraesCS4B01G010800;TraesCS1D01G453200;TraesCS6A01G011900;TraesCS6D01G084200;TraesCS7A01G549500;TraesCSU01G060200;TraesCS7D01G148700;TraesCS2A01G101200;TraesCS7B01G408700;TraesCS1A01G284300;TraesCS6D01G355500;TraesCS3A01G292400;TraesCS4D01G009300;TraesCS2B01G087100;TraesCS3A01G123800;TraesCS2B01G434300;TraesCS6B01G126600;TraesCS7A01G214700;TraesCS1A01G058400;TraesCS4D01G107100;TraesCS7A01G074200;TraesCS7D01G401800;TraesCS1D01G309300;TraesCS7A01G445600;TraesCS1B01G076300;TraesCS2A01G554300</t>
  </si>
  <si>
    <t>TraesCS1A01G104000</t>
  </si>
  <si>
    <t>TraesCS2A01G453000;TraesCS2A01G135500;TraesCS2B01G474400;TraesCS2B01G474200;TraesCS4A01G460600;TraesCS2D01G137900;TraesCS2B01G159300;TraesCS7D01G157800;TraesCS2D01G311600;TraesCS5D01G030100;TraesCS2B01G159400;TraesCS7D01G303400;TraesCS2A01G313100;TraesCS2B01G330200;TraesCS6B01G375900;TraesCS7D01G472500;TraesCS5A01G024200;TraesCS6D01G324600</t>
  </si>
  <si>
    <t>TraesCS1A01G107200</t>
  </si>
  <si>
    <t>TraesCS2D01G182500;TraesCS4D01G082700;TraesCS4A01G231200;TraesCS2A01G388600;TraesCS2B01G201500;TraesCS2A01G175100;TraesCS2D01G092100;TraesCS6A01G379800;TraesCS2D01G386400</t>
  </si>
  <si>
    <t>TraesCS1A01G113100</t>
  </si>
  <si>
    <t>TraesCS1A01G114900</t>
  </si>
  <si>
    <t>TraesCS1A01G128400</t>
  </si>
  <si>
    <t>TraesCS5B01G281000;TraesCS4B01G328000;TraesCS4D01G066000;TraesCS4D01G325000;TraesCS4B01G328100;TraesCS6D01G000200;TraesCS4A01G247900;TraesCS2D01G371800;TraesCS3D01G096000;TraesCS2B01G502800;TraesCS2B01G392500;TraesCS4D01G325100</t>
  </si>
  <si>
    <t>TraesCS1A01G152600</t>
  </si>
  <si>
    <t>TraesCS1A01G161500</t>
  </si>
  <si>
    <t>TraesCS1A01G173300</t>
  </si>
  <si>
    <t>TraesCS2A01G405300;TraesCS2B01G423400;TraesCS3D01G130300;TraesCS2D01G402100;TraesCS2B01G423300;TraesCS2D01G402000;TraesCS2B01G423200;TraesCS7D01G016300;TraesCSU01G066000;TraesCS3B01G148500;TraesCS7A01G019400;TraesCS5A01G513600;TraesCS2D01G402300;TraesCS1A01G365300;TraesCS4B01G344700;TraesCS2A01G405100</t>
  </si>
  <si>
    <t>TraesCS1A01G175100</t>
  </si>
  <si>
    <t>TraesCS1A01G181100</t>
  </si>
  <si>
    <t>TraesCS1A01G187100</t>
  </si>
  <si>
    <t>TraesCS5B01G459100;TraesCS1B01G248900;TraesCS4B01G282000;TraesCS5D01G460700;TraesCS1A01G234700;TraesCS3A01G480900;TraesCS1D01G237400;TraesCS4D01G280700;TraesCS3D01G475600;TraesCS4A01G021400;TraesCS3B01G525400</t>
  </si>
  <si>
    <t>TraesCS1A01G192900</t>
  </si>
  <si>
    <t>TraesCS4A01G205000;TraesCS1A01G304400;TraesCS3A01G325800;TraesCS3D01G319200;TraesCS5A01G155900;TraesCS6D01G085000;TraesCS6A01G020400;TraesCS6A01G097700;TraesCS3B01G404200;TraesCS4D01G008700;TraesCS1D01G337400;TraesCS6D01G000200;TraesCS2D01G100800;TraesCS4D01G113100;TraesCS4A01G304200;TraesCS3A01G372000;TraesCS4A01G302700;TraesCS7B01G422000;TraesCS1A01G069300;TraesCS3B01G176200;TraesCS5D01G431400;TraesCS6A01G011800;TraesCS7A01G511100;TraesCS5A01G452800;TraesCS6A01G013300;TraesCS3B01G517000;TraesCS3A01G473600;TraesCS4D01G009800;TraesCS7D01G216800;TraesCS1D01G389400;TraesCS1D01G071800;TraesCS5B01G461800;TraesCS6A01G364400;TraesCS4B01G328000;TraesCS2B01G118200;TraesCS3B01G331200;TraesCS6A01G012000;TraesCS4B01G011300;TraesCS5D01G315400;TraesCS3D01G195200;TraesCS3A01G305300;TraesCS4B01G320400;TraesCS3A01G116500;TraesCS1A01G445100;TraesCS2D01G100700;TraesCS4A01G247900;TraesCSU01G183700;TraesCS6B01G427100;TraesCS7B01G258200;TraesCS1D01G453400;TraesCS4D01G098400;TraesCS7B01G422100;TraesCS4D01G182100;TraesCSU01G240700;TraesCS6B01G018400;TraesCS4D01G105800;TraesCS2A01G325900;TraesCS7D01G192400;TraesCSU01G226300;TraesCS2A01G101000;TraesCS1B01G061300;TraesCS7B01G129700;TraesCS6B01G027800;TraesCS7A01G377400;TraesCS5A01G395900;TraesCS7D01G148100;TraesCS2B01G530800;TraesCS2D01G013500;TraesCS1B01G273300;TraesCS5B01G154100;TraesCS1A01G381600;TraesCS3A01G149000;TraesCS4B01G011600;TraesCS4B01G328100;TraesCS3B01G404400;TraesCS7D01G525900;TraesCS3B01G354900;TraesCS1B01G347900;TraesCS7A01G511300;TraesCS5B01G091000;TraesCS7D01G433800;TraesCS3B01G138800;TraesCS2D01G100600;TraesCS7D01G536000;TraesCS7A01G475400;TraesCS2B01G284300;TraesCS6D01G021500;TraesCS2B01G355300;TraesCS5B01G462300;TraesCS2D01G071000;TraesCS4B01G115400;TraesCSU01G117200;TraesCS3A01G473800;TraesCS5B01G265300;TraesCS6B01G341900;TraesCS3D01G364900;TraesCS7D01G372700;TraesCS2D01G336300;TraesCS4D01G325000;TraesCS6A01G026200;TraesCS4D01G009600;TraesCS3D01G532800;TraesCS4A01G372200;TraesCS5D01G178800;TraesCS4B01G101800;TraesCS7D01G216600;TraesCS4B01G011500;TraesCS2A01G072100;TraesCS4D01G066000;TraesCS7B01G094000;TraesCS7D01G248500;TraesCS1D01G268200;TraesCSU01G214800;TraesCS7B01G121900;TraesCS7A01G002800;TraesCS4D01G082600;TraesCS6B01G125900;TraesCS1B01G463900;TraesCS5D01G162100;TraesCS1A01G445300;TraesCS4D01G008600;TraesCS4D01G010000;TraesCS3A01G143000;TraesCS5D01G464100;TraesCS2D01G234000;TraesCS7A01G408500;TraesCS6B01G142000;TraesCS1A01G030800;TraesCS5B01G330300;TraesCS3B01G162100;TraesCS4A01G480800;TraesCS7B01G100300;TraesCS4D01G325100;TraesCS5D01G161000;TraesCS4D01G009700;TraesCS5A01G491600;TraesCS2A01G401200;TraesCS7D01G416300;TraesCS4D01G316900;TraesCS4B01G246800;TraesCS7A01G229400;TraesCS4B01G011000;TraesCS2A01G326600;TraesCS7B01G121800;TraesCS4D01G191900;TraesCS4A01G302300;TraesCS2A01G352100;TraesCS5A01G265600;TraesCS4A01G495800;TraesCS1B01G314900;TraesCS6B01G096500;TraesCS6D01G029700;TraesCS1D01G197300;TraesCS4B01G010700;TraesCS7D01G012700;TraesCS1D01G303900;TraesCS3D01G412800;TraesCS6D01G030000;TraesCS2A01G415300;TraesCS4D01G009400;TraesCS5A01G453500;TraesCS2D01G070900;TraesCS5A01G308400;TraesCS2B01G508900;TraesCS4B01G011700;TraesCS6D01G014900;TraesCS7A01G189200;TraesCS4A01G123800;TraesCS5B01G281000;TraesCS7D01G373700;TraesCS2B01G005200;TraesCS5B01G476900;TraesCS5A01G156700;TraesCS2B01G502800;TraesCS5D01G097400;TraesCS7A01G146600;TraesCS3D01G296500;TraesCS3D01G515900;TraesCS6A01G311700;TraesCS5B01G462400;TraesCS7B01G472800;TraesCS7A01G510300;TraesCS4D01G009500;TraesCS3A01G169800;TraesCS7A01G214500;TraesCS5A01G453600;TraesCS4D01G131500;TraesCS6B01G149100;TraesCS7D01G499600;TraesCS3A01G371900;TraesCS4B01G011200;TraesCS3D01G157100;TraesCS7A01G502300;TraesCS5B01G154900;TraesCS5D01G273500;TraesCS6A01G097500;TraesCS7D01G489600;TraesCS7D01G500600;TraesCS4D01G008900;TraesCS5A01G458200;TraesCS6D01G084900;TraesCSU01G059800;TraesCS3A01G372200;TraesCS4A01G302500;TraesCS6B01G408800;TraesCS4B01G010900;TraesCS6D01G067900;TraesCS1A01G429100;TraesCS2A01G101100;TraesCS2D01G371800;TraesCS1B01G178000;TraesCS1B01G061400;TraesCS5D01G335900;TraesCS3A01G251200;TraesCS4A01G214200;TraesCS7B01G277800;TraesCS2B01G087000;TraesCS7A01G194700;TraesCS2B01G589200;TraesCS3D01G144600;TraesCS4D01G246100;TraesCS5D01G463200;TraesCS1B01G464000;TraesCS2B01G392500;TraesCS5B01G308800;TraesCS6D01G014700;TraesCS3A01G371800;TraesCS3D01G365000;TraesCS4B01G011100;TraesCS3D01G096000;TraesCS5A01G330200;TraesCS4A01G404700;TraesCS5D01G460700;TraesCS4B01G108700;TraesCS2A01G230400;TraesCS3A01G527300;TraesCS4B01G180600;TraesCS6B01G408900;TraesCS5D01G431500;TraesCS3A01G372100;TraesCS4B01G010800;TraesCS6A01G120700;TraesCS1D01G453200;TraesCS6A01G011900;TraesCS6D01G084200;TraesCS7A01G549500;TraesCSU01G060200;TraesCS7D01G148700;TraesCS2A01G101200;TraesCS7B01G408700;TraesCS1A01G284300;TraesCS6D01G355500;TraesCS3A01G292400;TraesCS4D01G009300;TraesCS2B01G087100;TraesCS3A01G123800;TraesCS5A01G423100;TraesCS2B01G434300;TraesCS6B01G126600;TraesCS7A01G214700;TraesCS1A01G058400;TraesCS4D01G107100;TraesCS7A01G074200;TraesCS7D01G401800;TraesCS1D01G309300;TraesCS7A01G445600;TraesCS1B01G076300;TraesCS2A01G554300</t>
  </si>
  <si>
    <t>TraesCS1A01G196700</t>
  </si>
  <si>
    <t>TraesCS1A01G208100</t>
  </si>
  <si>
    <t>TraesCS4B01G013700;TraesCS7B01G409500;TraesCS3D01G369300;TraesCS6B01G410400;TraesCS7A01G502500;TraesCS2D01G099600;TraesCS6B01G055200;TraesCS3B01G597800;TraesCS7B01G046700;TraesCS2D01G099000;TraesCS6A01G370800;TraesCS1D01G442200;TraesCS4A01G387500;TraesCS2D01G099200;TraesCS1B01G249800;TraesCS5A01G244500;TraesCS4D01G082500;TraesCS7B01G420100;TraesCS2B01G135400;TraesCS7B01G420700;TraesCS5A01G246000;TraesCS2B01G116400;TraesCS2B01G116200;TraesCS5A01G255900;TraesCS4D01G264700;TraesCS1A01G233200;TraesCS6A01G048100;TraesCS2B01G116600;TraesCS2D01G098900;TraesCS2B01G127400;TraesCS7D01G222800;TraesCS1B01G453400;TraesCS6B01G064600;TraesCS7B01G384500;TraesCS2D01G119400;TraesCSU01G182400;TraesCS2A01G386700;TraesCS7A01G510200;TraesCS7D01G499300;TraesCS3A01G528800;TraesCS4B01G264700;TraesCS6B01G088600;TraesCS7A01G088300;TraesCS3D01G039200;TraesCSU01G079100;TraesCS3B01G139800;TraesCS4A01G043900;TraesCS7D01G499500;TraesCS2D01G109600;TraesCS4B01G084600;TraesCS2D01G112800;TraesCS2A01G099500;TraesCS6D01G356600;TraesCS2A01G412300;TraesCS4D01G301300;TraesCS7D01G489900;TraesCS1A01G192900;TraesCS5B01G243400;TraesCS3B01G597900;TraesCS6D01G039600;TraesCS3B01G323300;TraesCS2B01G131100;TraesCS7B01G420600;TraesCS3D01G122500;TraesCS7A01G482300;TraesCS7B01G420400;TraesCSU01G107100;TraesCS2B01G116300;TraesCS2A01G100100;TraesCS2A01G115800;TraesCS3D01G145500;TraesCS2D01G383300;TraesCS3D01G534200;TraesCS5A01G194200;TraesCS2D01G409700;TraesCS6B01G054200;TraesCS7D01G083600;TraesCS1D01G238300;TraesCS7D01G524000;TraesCS2B01G117100;TraesCS5D01G196600;TraesCS6B01G064500;TraesCS5B01G242300;TraesCS3B01G531000;TraesCS3D01G288300;TraesCS5D01G251100;TraesCS6D01G045100;TraesCS2A01G575900;TraesCS2B01G404000;TraesCS4D01G011500;TraesCS7B01G419900;TraesCS6B01G407700;TraesCSU01G119800;TraesCS5B01G255200;TraesCS7A01G537400</t>
  </si>
  <si>
    <t>TraesCS3B01G196600;TraesCS1B01G259800;TraesCS6D01G363400;TraesCS1A01G284300;TraesCS6B01G417400;TraesCS5D01G405400;TraesCS6B01G132300;TraesCS3D01G172000;TraesCS6D01G091600;TraesCS5B01G072900;TraesCS1A01G249100;TraesCS5A01G396100;TraesCS3A01G169800;TraesCS5B01G400900;TraesCS6A01G103200</t>
  </si>
  <si>
    <t>TraesCS1A01G214700</t>
  </si>
  <si>
    <t>TraesCS1A01G214800</t>
  </si>
  <si>
    <t>TraesCS3D01G095700;TraesCS2D01G307100;TraesCS6D01G000200;TraesCS4A01G436000;TraesCS6B01G058100;TraesCS6B01G069000;TraesCS3D01G096000;TraesCS6A01G042100;TraesCS3B01G111200;TraesCS6D01G048700;TraesCS6D01G048800;TraesCS6B01G057800</t>
  </si>
  <si>
    <t>TraesCS1A01G214900</t>
  </si>
  <si>
    <t>TraesCS4B01G084600;TraesCS7B01G409500;TraesCS2D01G112800;TraesCS6B01G410400;TraesCS7A01G502500;TraesCS6D01G356600;TraesCS6A01G370800;TraesCS4D01G301300;TraesCS7D01G489900;TraesCS4A01G387500;TraesCS4D01G082500;TraesCS2B01G131100;TraesCS2B01G135400;TraesCS3D01G122500;TraesCSU01G107100;TraesCS2A01G115800;TraesCS6A01G048100;TraesCS7D01G083600;TraesCS2B01G127400;TraesCS7D01G222800;TraesCS6B01G064600;TraesCS6B01G064500;TraesCS2D01G119400;TraesCS6B01G407700;TraesCS7A01G088300;TraesCS3B01G139800;TraesCS2D01G109600</t>
  </si>
  <si>
    <t>TraesCS1A01G216200</t>
  </si>
  <si>
    <t>TraesCS1A01G219700</t>
  </si>
  <si>
    <t>TraesCS1B01G259800;TraesCS6D01G363400;TraesCS1A01G284300;TraesCS6B01G417400;TraesCS5D01G405400;TraesCS6B01G132300;TraesCS6D01G091600;TraesCS5B01G072900;TraesCS1A01G249100;TraesCS5A01G396100;TraesCS3A01G169800;TraesCS5B01G400900;TraesCS6A01G103200</t>
  </si>
  <si>
    <t>TraesCS1A01G233200</t>
  </si>
  <si>
    <t>TraesCS3A01G451300;TraesCS1A01G398200;TraesCS1D01G304600;TraesCS4A01G066100;TraesCS5A01G281800;TraesCS3A01G451700;TraesCS4B01G315500;TraesCS2A01G139100;TraesCS3D01G434600;TraesCS4D01G102600;TraesCS4D01G191900;TraesCS7B01G466100;TraesCS4D01G113100;TraesCS7B01G275200;TraesCS1A01G237600;TraesCS1D01G405700;TraesCS4A01G119400;TraesCS1B01G039900;TraesCS1A01G032700;TraesCS2A01G094900;TraesCS3A01G454700;TraesCS3B01G493400;TraesCS1D01G261400;TraesCS4D01G321000;TraesCS3D01G435300;TraesCS3A01G045100;TraesCS2B01G050300;TraesCS5D01G056100;TraesCS3B01G475700;TraesCS6D01G303600;TraesCS1B01G315300;TraesCS2A01G145000;TraesCS2A01G013100;TraesCS5A01G046400;TraesCS5B01G050900;TraesCS3A01G451600;TraesCS5B01G415100;TraesCS2B01G034400;TraesCS7D01G185200;TraesCS6D01G127100;TraesCS4B01G246900;TraesCS5B01G281000;TraesCS7B01G466000;TraesCSU01G267500;TraesCS3A01G116500;TraesCS2D01G092900;TraesCS3A01G441800;TraesCS3D01G185000;TraesCS4A01G247900;TraesCS5B01G476900;TraesCS3B01G480100;TraesCS2D01G328200;TraesCS3D01G447500;TraesCS6A01G233200;TraesCS2B01G502800;TraesCS2D01G148800;TraesCS5D01G110100;TraesCS2D01G025200;TraesCS3B01G493300;TraesCS2D01G004400;TraesCS3A01G141800;TraesCS2B01G347200;TraesCS5D01G056600;TraesCS2B01G163200;TraesCS3A01G442500;TraesCS3B01G009700;TraesCS7A01G183600;TraesCS2B01G547900;TraesCS5D01G420300;TraesCS6D01G146400;TraesCS4A01G127900;TraesCS4A01G473700;TraesCS2A01G324100;TraesCS3A01G451500;TraesCS4D01G117100;TraesCS7B01G088300;TraesCS7D01G185100;TraesCS3D01G443800;TraesCS7B01G275000;TraesCS2B01G110100;TraesCS2D01G142000;TraesCS2D01G171400;TraesCS6A01G157100;TraesCS6D01G396800;TraesCS3B01G476300;TraesCS1D01G304000;TraesCS3A01G445500;TraesCS6B01G016000;TraesCS7A01G352900;TraesCS7D01G215400;TraesCS5A01G496600;TraesCS6A01G143500;TraesCS2A01G579000;TraesCS5A01G411500;TraesCS1A01G014000;TraesCS3D01G435100;TraesCS3A01G442400;TraesCS5B01G471200;TraesCS6B01G369500;TraesCS2A01G164500;TraesCS3A01G451900;TraesCSU01G094800;TraesCS3D01G444200;TraesCS2B01G098400;TraesCS7A01G183500;TraesCS3A01G451400;TraesCS1A01G304700;TraesCS3A01G371800;TraesCS3A01G451800;TraesCS7B01G465900;TraesCS2D01G003000;TraesCS4B01G176900;TraesCS3B01G488700;TraesCS7D01G185000;TraesCS7B01G088400;TraesCS1B01G049000;TraesCS3D01G438300;TraesCS6D01G373700;TraesCS7D01G370000;TraesCS3B01G476200;TraesCS7A01G543900;TraesCS6A01G126100;TraesCS2B01G190300;TraesCS4B01G324000;TraesCS1A01G237500;TraesCS1D01G011900;TraesCS6B01G184900;TraesCS3B01G493500;TraesCS4D01G178600;TraesCS1B01G315000;TraesCS6B01G354400;TraesCS3A01G454800;TraesCS1A01G284300;TraesCS2B01G169900;TraesCS3D01G137100;TraesCS3A01G123800;TraesCS3A01G442700;TraesCS2D01G082100;TraesCS4D01G107100;TraesCS2A01G334000;TraesCS3A01G136300;TraesCS3D01G444300;TraesCS7A01G183400;TraesCS1A01G238200;TraesCS2A01G164400;TraesCS3B01G154200;TraesCS1B01G426100;TraesCS2B01G130500</t>
  </si>
  <si>
    <t>TraesCS1A01G234700</t>
  </si>
  <si>
    <t>TraesCS2D01G182500;TraesCS4D01G082700;TraesCS4D01G191900;TraesCS4A01G231200;TraesCS2A01G388600;TraesCS2B01G201500;TraesCS2A01G175100;TraesCS2D01G092100;TraesCS6A01G379800;TraesCS2D01G386400</t>
  </si>
  <si>
    <t>TraesCS4B01G013700;TraesCS7B01G409500;TraesCS3D01G369300;TraesCS6B01G410400;TraesCS7A01G502500;TraesCS2D01G099600;TraesCS6B01G055200;TraesCS7B01G046700;TraesCS2D01G099000;TraesCS6A01G370800;TraesCS1D01G442200;TraesCS4A01G387500;TraesCS2D01G099200;TraesCS5A01G244500;TraesCS4D01G082500;TraesCS7B01G420100;TraesCS2B01G135400;TraesCS7B01G420700;TraesCS5A01G246000;TraesCS2B01G116400;TraesCS2B01G116200;TraesCS5A01G255900;TraesCS4D01G264700;TraesCS6A01G048100;TraesCS2B01G116600;TraesCS2D01G098900;TraesCS2B01G127400;TraesCS7D01G222800;TraesCS1B01G453400;TraesCS6B01G064600;TraesCS7B01G384500;TraesCS2D01G119400;TraesCSU01G182400;TraesCS7A01G510200;TraesCS7D01G499300;TraesCS3A01G528800;TraesCS4B01G264700;TraesCS6B01G088600;TraesCS7A01G088300;TraesCSU01G079100;TraesCS3B01G139800;TraesCS4A01G043900;TraesCS7D01G499500;TraesCS2D01G109600;TraesCS4B01G084600;TraesCS2D01G112800;TraesCS2A01G099500;TraesCS6D01G356600;TraesCS2A01G412300;TraesCS4D01G301300;TraesCS7D01G489900;TraesCS1A01G192900;TraesCS5B01G243400;TraesCS6D01G039600;TraesCS3B01G323300;TraesCS2B01G131100;TraesCS7B01G420600;TraesCS3D01G122500;TraesCS7A01G482300;TraesCS7B01G420400;TraesCSU01G107100;TraesCS2B01G116300;TraesCS2A01G100100;TraesCS2A01G115800;TraesCS3D01G145500;TraesCS3D01G534200;TraesCS5A01G194200;TraesCS2D01G409700;TraesCS6B01G054200;TraesCS7D01G083600;TraesCS7D01G524000;TraesCS2B01G117100;TraesCS5D01G196600;TraesCS6B01G064500;TraesCS5B01G242300;TraesCS3B01G531000;TraesCS3D01G288300;TraesCS5D01G251100;TraesCS6D01G045100;TraesCS2A01G575900;TraesCS2B01G404000;TraesCS4D01G011500;TraesCS7B01G419900;TraesCS6B01G407700;TraesCSU01G119800;TraesCS5B01G255200;TraesCS7A01G537400</t>
  </si>
  <si>
    <t>TraesCS1A01G235900</t>
  </si>
  <si>
    <t>TraesCS1A01G237500</t>
  </si>
  <si>
    <t>TraesCS1B01G248900;TraesCS1A01G234700;TraesCS3A01G480900;TraesCS1D01G237400;TraesCS3D01G475600;TraesCS3B01G525400</t>
  </si>
  <si>
    <t>TraesCS1A01G237600</t>
  </si>
  <si>
    <t>TraesCS1A01G238200</t>
  </si>
  <si>
    <t>TraesCS1A01G249100</t>
  </si>
  <si>
    <t>TraesCS1A01G250600</t>
  </si>
  <si>
    <t>TraesCS1A01G253100</t>
  </si>
  <si>
    <t>phosphotransferase activity, paired acceptors</t>
  </si>
  <si>
    <t>TraesCS1A01G253200;TraesCS1A01G253400;TraesCS1D01G252900</t>
  </si>
  <si>
    <t>TraesCS1A01G253200</t>
  </si>
  <si>
    <t>pyruvate, phosphate dikinase activity</t>
  </si>
  <si>
    <t>TraesCS1A01G253400</t>
  </si>
  <si>
    <t>CCR4-NOT complex</t>
  </si>
  <si>
    <t>TraesCS2D01G013500;TraesCS2B01G005200;TraesCS5D01G431500;TraesCS5D01G431400;TraesCS5A01G423100</t>
  </si>
  <si>
    <t>TraesCS1A01G268000</t>
  </si>
  <si>
    <t>TraesCS5A01G411500;TraesCS5D01G420300;TraesCS5B01G415100;TraesCS3B01G400000</t>
  </si>
  <si>
    <t>TraesCS1A01G268100</t>
  </si>
  <si>
    <t>TraesCS3A01G149000;TraesCS7D01G416300;TraesCS3A01G371900;TraesCS3A01G325800;TraesCS4D01G316900;TraesCS3D01G319200;TraesCS6D01G085000;TraesCS3D01G157100;TraesCS3B01G404400;TraesCS6A01G097700;TraesCS3B01G404200;TraesCS5B01G154900;TraesCS5D01G273500;TraesCS6A01G097500;TraesCS7D01G500600;TraesCS7A01G511300;TraesCS5B01G091000;TraesCS2A01G352100;TraesCS5A01G265600;TraesCS7A01G475400;TraesCS3A01G372000;TraesCS6D01G084900;TraesCS6B01G096500;TraesCS3A01G372200;TraesCS7B01G422000;TraesCS3B01G176200;TraesCS7A01G511100;TraesCS1D01G197300;TraesCS3A01G473800;TraesCS3B01G517000;TraesCS3D01G412800;TraesCS5B01G265300;TraesCS3A01G473600;TraesCS3A01G251200;TraesCS7B01G277800;TraesCS6B01G341900;TraesCS3D01G364900;TraesCS2A01G415300;TraesCS7D01G372700;TraesCS3D01G532800;TraesCS5A01G308400;TraesCS5D01G178800;TraesCS5B01G308800;TraesCS3A01G371800;TraesCS3D01G365000;TraesCS1D01G268200;TraesCS5D01G315400;TraesCS4A01G123800;TraesCS5A01G330200;TraesCS4A01G404700;TraesCS7D01G373700;TraesCS3A01G305300;TraesCS4B01G320400;TraesCS5D01G460700;TraesCS3A01G116500;TraesCS2A01G230400;TraesCS6B01G125900;TraesCS5D01G162100;TraesCSU01G183700;TraesCS3A01G527300;TraesCS4B01G180600;TraesCS6B01G427100;TraesCS5A01G156700;TraesCS3A01G372100;TraesCS5D01G097400;TraesCS7B01G422100;TraesCS4D01G182100;TraesCS2D01G234000;TraesCS6B01G142000;TraesCS6D01G084200;TraesCS6A01G311700;TraesCS7A01G377400;TraesCS2B01G530800;TraesCS2B01G434300;TraesCS6B01G126600;TraesCS1B01G273300;TraesCS1A01G058400;TraesCS5A01G491600;TraesCS1B01G076300;TraesCS2A01G401200</t>
  </si>
  <si>
    <t>TraesCS1A01G268500</t>
  </si>
  <si>
    <t>TraesCS1A01G268900</t>
  </si>
  <si>
    <t>TraesCS5B01G308800;TraesCS3A01G371900;TraesCS3A01G371800;TraesCS3D01G365000;TraesCS3A01G325800;TraesCS3B01G331200;TraesCS4D01G316900;TraesCS3D01G319200;TraesCS5D01G315400;TraesCS5A01G330200;TraesCS3B01G404400;TraesCS3B01G354900;TraesCS3B01G404200;TraesCS5B01G154900;TraesCS5D01G273500;TraesCS7B01G121900;TraesCS7B01G121800;TraesCS5B01G091000;TraesCS3A01G305300;TraesCS4B01G320400;TraesCS3B01G138800;TraesCS4D01G082600;TraesCS5D01G162100;TraesCS2A01G352100;TraesCS3A01G527300;TraesCS5A01G265600;TraesCS7A01G475400;TraesCS3A01G372000;TraesCS5A01G156700;TraesCS6B01G096500;TraesCS3A01G372200;TraesCS3A01G372100;TraesCS5D01G097400;TraesCS3D01G296500;TraesCS1D01G197300;TraesCS5B01G330300;TraesCS5B01G265300;TraesCS5D01G335900;TraesCS3D01G364900;TraesCS7D01G216800;TraesCS7A01G214700;TraesCS3D01G532800;TraesCS7A01G214500;TraesCS5A01G491600;TraesCS5A01G308400;TraesCS5D01G178800;TraesCS2A01G401200;TraesCS7D01G216600</t>
  </si>
  <si>
    <t>TraesCS1A01G277800</t>
  </si>
  <si>
    <t>TraesCS1A01G278200</t>
  </si>
  <si>
    <t>very long-chain fatty acid-CoA ligase activity</t>
  </si>
  <si>
    <t>TraesCS5A01G411500;TraesCS5D01G420300;TraesCS5B01G415100</t>
  </si>
  <si>
    <t>TraesCS1A01G281900</t>
  </si>
  <si>
    <t>TraesCS4B01G013700;TraesCS2D01G099600;TraesCS2A01G099500;TraesCS7B01G046700;TraesCS2A01G412300;TraesCS2D01G099000;TraesCS2D01G099200;TraesCS5A01G244500;TraesCS7B01G420100;TraesCS7B01G420700;TraesCS7B01G420600;TraesCS7A01G482300;TraesCS7B01G420400;TraesCS2B01G116300;TraesCS2A01G100100;TraesCS2B01G116400;TraesCS2B01G116200;TraesCS5A01G255900;TraesCS4D01G264700;TraesCS2B01G116600;TraesCS2D01G409700;TraesCS2D01G098900;TraesCS2B01G117100;TraesCS1B01G453400;TraesCS7B01G384500;TraesCS5B01G242300;TraesCS5D01G251100;TraesCS7A01G510200;TraesCS7D01G499300;TraesCS4B01G264700;TraesCS4D01G011500;TraesCS7B01G419900;TraesCSU01G079100;TraesCS4A01G043900;TraesCS5B01G255200;TraesCS7D01G499500</t>
  </si>
  <si>
    <t>TraesCS1A01G283600</t>
  </si>
  <si>
    <t>TraesCS1A01G284300</t>
  </si>
  <si>
    <t>TraesCS1D01G149800;TraesCS1D01G149700;TraesCS1B01G170100;TraesCS1A01G152800;TraesCS1A01G152600</t>
  </si>
  <si>
    <t>TraesCS1A01G285000</t>
  </si>
  <si>
    <t>CoA-ligase activity</t>
  </si>
  <si>
    <t>TraesCS5A01G411500;TraesCS1A01G196700;TraesCS5D01G420300;TraesCS5B01G415100;TraesCS6B01G294100</t>
  </si>
  <si>
    <t>TraesCS1A01G293000</t>
  </si>
  <si>
    <t>disruption of cells of other organism</t>
  </si>
  <si>
    <t>TraesCS1A01G014000;TraesCS4B01G324000;TraesCS4D01G321000;TraesCS1D01G011900;TraesCS7A01G183600;TraesCS7A01G183500</t>
  </si>
  <si>
    <t>TraesCS1A01G295600</t>
  </si>
  <si>
    <t>killing of cells of other organism</t>
  </si>
  <si>
    <t>TraesCS1A01G303500</t>
  </si>
  <si>
    <t>formate dehydrogenase (NAD+) activity</t>
  </si>
  <si>
    <t>TraesCS4D01G007200;TraesCS7B01G130600;TraesCS7D01G232300</t>
  </si>
  <si>
    <t>TraesCS1A01G303900</t>
  </si>
  <si>
    <t>TraesCS1A01G304400</t>
  </si>
  <si>
    <t>plant-type cell wall biogenesis</t>
  </si>
  <si>
    <t>TraesCS2D01G182500;TraesCS4D01G082700;TraesCS4A01G231200;TraesCS2A01G388600;TraesCS2B01G201500;TraesCS3A01G251200;TraesCS2A01G175100;TraesCS2D01G092100;TraesCS6A01G379800;TraesCS2D01G386400</t>
  </si>
  <si>
    <t>TraesCS1A01G304700</t>
  </si>
  <si>
    <t>TraesCS2D01G182500;TraesCS4A01G231200;TraesCS3B01G151700;TraesCS4B01G229500;TraesCS3D01G133800;TraesCS4D01G230600;TraesCS3A01G251200;TraesCS2A01G175100;TraesCS2D01G092100;TraesCS4A01G402300;TraesCS5B01G150700;TraesCS6A01G379800;TraesCS4D01G082700;TraesCS2A01G388600;TraesCS3A01G083900;TraesCS4D01G142400;TraesCS3A01G308800;TraesCS4A01G073300;TraesCS2B01G201500;TraesCS7A01G124400;TraesCS3B01G099000;TraesCS2D01G386400</t>
  </si>
  <si>
    <t>TraesCS2A01G135500;TraesCS2D01G402100;TraesCS4D01G230600;TraesCS2A01G175100;TraesCS2B01G120200;TraesCS4A01G402300;TraesCS2D01G137900;TraesCS6A01G379800;TraesCS4D01G082700;TraesCS4A01G073300;TraesCS6B01G375900;TraesCS2A01G405300;TraesCS2D01G182500;TraesCS4A01G231200;TraesCS3B01G151700;TraesCS2B01G423300;TraesCS2B01G423200;TraesCS2D01G092100;TraesCS7D01G314100;TraesCS2B01G159300;TraesCS7D01G157800;TraesCS1B01G273300;TraesCS2A01G388600;TraesCS2B01G159400;TraesCS2B01G201500;TraesCS2A01G405100;TraesCS6D01G324600;TraesCS2D01G386400</t>
  </si>
  <si>
    <t>TraesCS1A01G307500</t>
  </si>
  <si>
    <t>TraesCS2A01G135500;TraesCS2D01G402100;TraesCS4D01G230600;TraesCS2A01G175100;TraesCS2B01G120200;TraesCS4A01G402300;TraesCS2D01G137900;TraesCS6A01G379800;TraesCS4D01G082700;TraesCS4A01G073300;TraesCS6B01G375900;TraesCS2A01G405300;TraesCS2D01G182500;TraesCS4A01G231200;TraesCS3B01G151700;TraesCS2B01G423300;TraesCS2B01G423200;TraesCS2D01G092100;TraesCS7D01G314100;TraesCS2B01G159300;TraesCS7D01G157800;TraesCS1B01G273300;TraesCS2A01G388600;TraesCS2B01G159400;TraesCS2B01G201500;TraesCS6B01G294100;TraesCS2A01G405100;TraesCS6D01G324600;TraesCS2D01G386400</t>
  </si>
  <si>
    <t>TraesCS1A01G307600</t>
  </si>
  <si>
    <t>TraesCS7D01G223100;TraesCS3A01G153700;TraesCS7A01G336500;TraesCS3A01G325800;TraesCS3D01G319200;TraesCS5A01G155900;TraesCS6D01G085000;TraesCS7D01G135600;TraesCS6A01G097700;TraesCS3B01G404200;TraesCS1B01G362700;TraesCS7A01G135400;TraesCS1D01G337400;TraesCS4D01G297900;TraesCS7B01G036500;TraesCS2D01G100800;TraesCS5A01G274700;TraesCS6B01G392600;TraesCS7D01G108100;TraesCS3A01G372000;TraesCS5B01G185600;TraesCS7B01G422000;TraesCS2A01G077500;TraesCS3B01G176200;TraesCS3D01G351500;TraesCS1A01G032700;TraesCS2A01G073800;TraesCS5D01G282300;TraesCS6A01G011800;TraesCS7A01G511100;TraesCS1A01G348100;TraesCS5A01G387400;TraesCS1B01G449100;TraesCS3B01G517000;TraesCS3A01G473600;TraesCS2B01G438200;TraesCS1B01G283000;TraesCS2B01G622300;TraesCS1B01G254900;TraesCS6B01G066700;TraesCS7D01G216800;TraesCS6D01G405000;TraesCS2A01G428800;TraesCS3D01G352600;TraesCS4B01G388900;TraesCS3B01G039500;TraesCS7D01G118600;TraesCS2B01G118200;TraesCS3B01G331200;TraesCS6A01G012000;TraesCS6A01G119000;TraesCS7A01G168100;TraesCS5D01G315400;TraesCS4B01G094600;TraesCS7D01G135700;TraesCS5B01G266800;TraesCS1B01G362800;TraesCS4B01G227900;TraesCS3A01G305300;TraesCS4B01G320400;TraesCS2D01G100700;TraesCSU01G183700;TraesCS6B01G427100;TraesCS6B01G467600;TraesCS7B01G422100;TraesCS4D01G182100;TraesCS6B01G018400;TraesCS2D01G402700;TraesCS7A01G121100;TraesCS3A01G534300;TraesCS2A01G325900;TraesCS2A01G101000;TraesCS3D01G314100;TraesCS5A01G356100;TraesCS6B01G171800;TraesCS7A01G377400;TraesCS1D01G351000;TraesCS1B01G170100;TraesCS2B01G530800;TraesCS1A01G152600;TraesCS1B01G265000;TraesCS1B01G273300;TraesCS7B01G299400;TraesCS1A01G064200;TraesCS5B01G154100;TraesCS1A01G096800;TraesCS4B01G266100;TraesCS3D01G352700;TraesCS3A01G149000;TraesCS4A01G175300;TraesCS1D01G218400;TraesCS7D01G135000;TraesCS6D01G404900;TraesCS7A01G168000;TraesCS3B01G404400;TraesCS7D01G525900;TraesCS3B01G354900;TraesCS7A01G135600;TraesCS1B01G347900;TraesCS7A01G511300;TraesCS1B01G435000;TraesCS5B01G091000;TraesCS3B01G138800;TraesCS2D01G100600;TraesCS5D01G047200;TraesCS7A01G130700;TraesCS1D01G149700;TraesCS7A01G475400;TraesCS7B01G036700;TraesCS7D01G408600;TraesCS3B01G390200;TraesCS7B01G019400;TraesCS2B01G449300;TraesCS6A01G420900;TraesCS2B01G355300;TraesCS3A01G357600;TraesCS2B01G578600;TraesCS3A01G473800;TraesCS7D01G169000;TraesCS1B01G434700;TraesCS5B01G265300;TraesCS7B01G364000;TraesCS3D01G364900;TraesCS7B01G250500;TraesCS1D01G204500;TraesCS7D01G372700;TraesCS2D01G336300;TraesCS4A01G288000;TraesCS3B01G349300;TraesCS7B01G174400;TraesCS3A01G115000;TraesCS3D01G532800;TraesCS7D01G069700;TraesCS5D01G178800;TraesCS1A01G404900;TraesCS7D01G216600;TraesCS7D01G227600;TraesCS2A01G370300;TraesCS7B01G094000;TraesCS7D01G248500;TraesCS1D01G268200;TraesCS4A01G402000;TraesCS3B01G400500;TraesCS1B01G236900;TraesCS7A01G399500;TraesCS7B01G121900;TraesCS3D01G036700;TraesCS3D01G361600;TraesCS4D01G082600;TraesCS4A01G006100;TraesCS6B01G125900;TraesCS5D01G162100;TraesCSU01G105200;TraesCS7D01G408700;TraesCS3B01G583500;TraesCS7B01G072800;TraesCS3B01G390300;TraesCS2D01G234000;TraesCS6A01G420800;TraesCS7B01G315400;TraesCS6B01G142000;TraesCS1A01G030800;TraesCS2D01G560000;TraesCS5A01G085000;TraesCS5B01G330300;TraesCS6A01G420700;TraesCS1B01G434800;TraesCS2D01G317100;TraesCS7B01G100300;TraesCS1A01G152800;TraesCS1D01G351200;TraesCS3B01G180300;TraesCS3A01G368700;TraesCS3B01G090800;TraesCS3D01G117500;TraesCS3D01G251600;TraesCS5D01G411500;TraesCS2B01G411600;TraesCS7A01G074600;TraesCS2D01G526000;TraesCS5D01G161000;TraesCS7D01G130100;TraesCS5A01G491600;TraesCS2D01G426700;TraesCS2A01G401200;TraesCS1A01G161500;TraesCS2D01G601800;TraesCS3A01G317100;TraesCS3B01G280700;TraesCS7D01G416300;TraesCS4A01G039400;TraesCS7B01G128200;TraesCS4D01G316900;TraesCS7D01G135200;TraesCS5D01G128200;TraesCS7A01G135000;TraesCS2A01G326600;TraesCS1A01G004500;TraesCS1B01G435200;TraesCS6D01G127000;TraesCS7B01G121800;TraesCS7D01G408800;TraesCS3B01G134400;TraesCS3D01G361700;TraesCS4B01G052900;TraesCS2A01G352100;TraesCS5A01G265600;TraesCS4A01G495800;TraesCS5A01G198000;TraesCS6B01G096500;TraesCS7B01G019200;TraesCS3A01G116800;TraesCS1D01G197300;TraesCS6A01G420600;TraesCS2A01G319400;TraesCS1B01G434900;TraesCS3D01G412800;TraesCS2A01G415300;TraesCS1B01G374300;TraesCS2B01G589800;TraesCS3B01G515900;TraesCS5A01G308400;TraesCS2D01G571500;TraesCS3A01G358200;TraesCS3B01G391200;TraesCS5A01G040300;TraesCS2B01G617700;TraesCS3D01G342400;TraesCSU01G124200;TraesCS7A01G189200;TraesCS4A01G123800;TraesCS7A01G135100;TraesCS1A01G004400;TraesCS4B01G246900;TraesCS5A01G352700;TraesCS1D01G149800;TraesCS7D01G373700;TraesCS1B01G293300;TraesCS2A01G092500;TraesCS4D01G167100;TraesCS5A01G156700;TraesCS6D01G377300;TraesCS6B01G096600;TraesCS5D01G097400;TraesCS1A01G235000;TraesCS3D01G296500;TraesCS5D01G364900;TraesCS6A01G311700;TraesCS1B01G122500;TraesCS1B01G082500;TraesCS4B01G299000;TraesCS1A01G253100;TraesCS7A01G510300;TraesCS1D01G362000;TraesCS4A01G139000;TraesCS1A01G087700;TraesCS7A01G214500;TraesCS7B01G031000;TraesCS4D01G131500;TraesCS3D01G161100;TraesCS3B01G177900;TraesCS7D01G499600;TraesCS3A01G371900;TraesCS3D01G539700;TraesCS5B01G358600;TraesCS3B01G400200;TraesCS3D01G157100;TraesCS3D01G241200;TraesCS7A01G135200;TraesCS5B01G062800;TraesCS7A01G502300;TraesCS5B01G154900;TraesCS5D01G273500;TraesCS6A01G097500;TraesCS7D01G489600;TraesCS7D01G500600;TraesCS2D01G414900;TraesCS4D01G266000;TraesCS3D01G114500;TraesCS6D01G084900;TraesCS1D01G413000;TraesCS7A01G188800;TraesCS3A01G372200;TraesCS6B01G408800;TraesCS6B01G467500;TraesCS3B01G138400;TraesCS4D01G228800;TraesCS7A01G219000;TraesCS2A01G101100;TraesCS1B01G178000;TraesCS5D01G335900;TraesCS3A01G251200;TraesCS7A01G205100;TraesCS7B01G277800;TraesCS7A01G194700;TraesCS1A01G064500;TraesCS4A01G007600;TraesCS3A01G417300;TraesCS3B01G452200;TraesCS2A01G428600;TraesCS3A01G358400;TraesCS5B01G274400;TraesCS1A01G216200;TraesCS1A01G348200;TraesCS5B01G308800;TraesCS6D01G014700;TraesCS1B01G106800;TraesCS2D01G567700;TraesCS3A01G371800;TraesCS3D01G365000;TraesCS5A01G330200;TraesCS6D01G222500;TraesCS4D01G301300;TraesCS4A01G404700;TraesCS5D01G460700;TraesCS3B01G134500;TraesCS2A01G230400;TraesCS3A01G527300;TraesCS4B01G180600;TraesCS6B01G408900;TraesCS1D01G252700;TraesCS3A01G372100;TraesCS1B01G071300;TraesCS6A01G011900;TraesCS6D01G084200;TraesCS2A01G558100;TraesCS2B01G337600;TraesCS2A01G101200;TraesCS7A01G226800;TraesCS7B01G408700;TraesCS3A01G454800;TraesCS3B01G611300;TraesCS1A01G284300;TraesCS1A01G357600;TraesCS6D01G355500;TraesCS3A01G292400;TraesCS6A01G072000;TraesCS2B01G434300;TraesCS4D01G053100;TraesCS6B01G126600;TraesCS7A01G214700;TraesCS1A01G039100;TraesCS1A01G058400;TraesCS7A01G074200;TraesCS6B01G128900;TraesCS3B01G269100;TraesCS1B01G076300;TraesCS2A01G370700;TraesCS2A01G554300</t>
  </si>
  <si>
    <t>TraesCS1A01G309800</t>
  </si>
  <si>
    <t>TraesCS7B01G072000;TraesCS3D01G025700;TraesCS3D01G095700;TraesCS4B01G328000;TraesCS5A01G281800;TraesCS4B01G328100;TraesCS3D01G096000;TraesCS4D01G325100;TraesCS3B01G037600;TraesCS7D01G168000;TraesCS5B01G281000;TraesCS4D01G325000;TraesCS5D01G004300;TraesCS6D01G000200;TraesCS5D01G004000;TraesCS4A01G248000;TraesCS3B01G009700;TraesCS3B01G111200;TraesCS2B01G392500</t>
  </si>
  <si>
    <t>fatty acid ligase activity</t>
  </si>
  <si>
    <t>TraesCS1A01G321500</t>
  </si>
  <si>
    <t>long-chain fatty acid-CoA ligase activity</t>
  </si>
  <si>
    <t>TraesCS1A01G338800</t>
  </si>
  <si>
    <t>TraesCS1A01G339100</t>
  </si>
  <si>
    <t>TraesCS1A01G341400</t>
  </si>
  <si>
    <t>TraesCS2D01G220900;TraesCS2A01G215100;TraesCS5B01G475700;TraesCS5D01G477100;TraesCS2B01G240100;TraesCS5A01G464500;TraesCS5B01G476000</t>
  </si>
  <si>
    <t>TraesCS1A01G348000</t>
  </si>
  <si>
    <t>ubiquitin-dependent protein catabolic process</t>
  </si>
  <si>
    <t>TraesCS6A01G016900;TraesCS5D01G105800;TraesCS3B01G018100;TraesCS3B01G018200;TraesCS3B01G031000;TraesCS6B01G024700;TraesCS1A01G094100;TraesCS3A01G048300;TraesCS7B01G492500;TraesCS7D01G544900;TraesCS1A01G192900;TraesCS5B01G243400;TraesCS7A01G565800;TraesCS7A01G565700;TraesCS7B01G492300;TraesCS6D01G002600;TraesCS3B01G030900;TraesCS5A01G246000;TraesCS3A01G374400;TraesCS3D01G018000;TraesCS7D01G545000;TraesCS1B01G122200;TraesCS3D01G028300;TraesCS5B01G099600;TraesCS5A01G093500;TraesCS3A01G028000;TraesCS7B01G492200;TraesCS6D01G020500;TraesCS1D01G102700;TraesCS3D01G031300</t>
  </si>
  <si>
    <t>TraesCS1A01G348100</t>
  </si>
  <si>
    <t>TraesCS1A01G348200</t>
  </si>
  <si>
    <t>modification-dependent macromolecule catabolic process</t>
  </si>
  <si>
    <t>TraesCS1A01G355400</t>
  </si>
  <si>
    <t>modification-dependent protein catabolic process</t>
  </si>
  <si>
    <t>TraesCS1A01G357600</t>
  </si>
  <si>
    <t>TraesCS4D01G298900;TraesCS5D01G162100;TraesCS5A01G156700;TraesCS5B01G154900</t>
  </si>
  <si>
    <t>TraesCS1A01G365300</t>
  </si>
  <si>
    <t>TraesCS1A01G427100;TraesCS1D01G436900;TraesCS1B01G462000</t>
  </si>
  <si>
    <t>TraesCS1A01G366600</t>
  </si>
  <si>
    <t>epidermal cell fate specification</t>
  </si>
  <si>
    <t>TraesCS5D01G162100;TraesCS5A01G156700;TraesCS5B01G154900</t>
  </si>
  <si>
    <t>TraesCS1A01G375100</t>
  </si>
  <si>
    <t>TraesCS3D01G515900;TraesCS4B01G328000;TraesCS4D01G066000;TraesCS4B01G328100;TraesCS2D01G371800;TraesCS3D01G096000;TraesCS4D01G325100;TraesCS5B01G281000;TraesCS4D01G325000;TraesCS6D01G000200;TraesCS4A01G247900;TraesCS4A01G372200;TraesCS2B01G502800;TraesCS2B01G392500</t>
  </si>
  <si>
    <t>TraesCS1A01G381600</t>
  </si>
  <si>
    <t>TraesCS1A01G382700</t>
  </si>
  <si>
    <t>TraesCS4B01G328000;TraesCS4D01G066000;TraesCS4B01G328100;TraesCS2B01G474400;TraesCS3D01G195200;TraesCS2B01G474200;TraesCS3D01G096000;TraesCS4A01G460600;TraesCS5B01G281000;TraesCS6D01G000200;TraesCS7D01G536000;TraesCS4A01G247900;TraesCS5D01G030100;TraesCS7D01G303400;TraesCS2B01G330200;TraesCS2B01G502800;TraesCS5A01G024200;TraesCS7A01G549500;TraesCS2A01G453000;TraesCS2D01G371800;TraesCS4D01G325100;TraesCS7B01G472800;TraesCS2D01G311600;TraesCS4D01G325000;TraesCS2A01G313100;TraesCS7D01G472500;TraesCS1D01G309300;TraesCS2B01G392500</t>
  </si>
  <si>
    <t>TraesCS1A01G386200</t>
  </si>
  <si>
    <t>TraesCS4B01G084600;TraesCS7B01G409500;TraesCS2D01G112800;TraesCS6B01G410400;TraesCS7A01G502500;TraesCS2D01G099600;TraesCS2A01G099500;TraesCS6D01G356600;TraesCS7B01G046700;TraesCS2D01G099000;TraesCS6A01G370800;TraesCS4D01G301300;TraesCS7D01G489900;TraesCS4A01G387500;TraesCS2D01G099200;TraesCS4D01G082500;TraesCS2B01G131100;TraesCS2B01G135400;TraesCS3D01G122500;TraesCSU01G107100;TraesCS2B01G116300;TraesCS2A01G100100;TraesCS2A01G115800;TraesCS2B01G116400;TraesCS2B01G116200;TraesCS5A01G255900;TraesCS6A01G048100;TraesCS2B01G116600;TraesCS3D01G534200;TraesCS7D01G083600;TraesCS2D01G098900;TraesCS2B01G117100;TraesCS2B01G127400;TraesCS7D01G222800;TraesCS1B01G453400;TraesCS6B01G064600;TraesCS6B01G064500;TraesCS2D01G119400;TraesCS3A01G528800;TraesCS2B01G404000;TraesCS6B01G407700;TraesCS7A01G088300;TraesCSU01G079100;TraesCS3B01G139800;TraesCS5B01G255200;TraesCS2D01G109600</t>
  </si>
  <si>
    <t>TraesCS1A01G387500</t>
  </si>
  <si>
    <t>TraesCS2A01G468500;TraesCS2A01G468200;TraesCS2B01G491400;TraesCS2B01G491100</t>
  </si>
  <si>
    <t>TraesCS1A01G389200</t>
  </si>
  <si>
    <t>TraesCS1A01G398200</t>
  </si>
  <si>
    <t>epithelial cell differentiation</t>
  </si>
  <si>
    <t>TraesCS1A01G398300</t>
  </si>
  <si>
    <t>epidermal cell differentiation</t>
  </si>
  <si>
    <t>TraesCS1A01G401500</t>
  </si>
  <si>
    <t>cellular macromolecule catabolic process</t>
  </si>
  <si>
    <t>TraesCS6A01G016900;TraesCS3B01G039500;TraesCS5D01G105800;TraesCS3B01G018100;TraesCS3B01G018200;TraesCS3B01G031000;TraesCS6B01G024700;TraesCS4B01G094600;TraesCS1A01G094100;TraesCS3A01G048300;TraesCS7B01G492500;TraesCS7D01G544900;TraesCS1A01G192900;TraesCS5B01G243400;TraesCS7A01G565800;TraesCS7A01G565700;TraesCS7B01G492300;TraesCS6D01G002600;TraesCS3B01G030900;TraesCS3D01G036700;TraesCS2B01G005200;TraesCS5A01G246000;TraesCS3A01G374400;TraesCS5D01G431500;TraesCS5D01G431400;TraesCS3D01G018000;TraesCS7D01G545000;TraesCS1B01G122200;TraesCS3D01G028300;TraesCS5B01G099600;TraesCS5A01G093500;TraesCS3A01G028000;TraesCS5A01G423100;TraesCS2D01G013500;TraesCS7B01G492200;TraesCS6D01G020500;TraesCS1D01G102700;TraesCS3D01G031300</t>
  </si>
  <si>
    <t>TraesCS1A01G404900</t>
  </si>
  <si>
    <t>TraesCS1A01G408600</t>
  </si>
  <si>
    <t>formate metabolic process</t>
  </si>
  <si>
    <t>TraesCS7B01G130600;TraesCS7D01G232300</t>
  </si>
  <si>
    <t>TraesCS1A01G413800</t>
  </si>
  <si>
    <t>formate catabolic process</t>
  </si>
  <si>
    <t>TraesCS1A01G424500</t>
  </si>
  <si>
    <t>epithelium development</t>
  </si>
  <si>
    <t>TraesCS1A01G426400</t>
  </si>
  <si>
    <t>epidermis development</t>
  </si>
  <si>
    <t>TraesCS1A01G426600</t>
  </si>
  <si>
    <t>TraesCS1A01G427100</t>
  </si>
  <si>
    <t>beta-1,4-mannosylglycoprotein 4-beta-N-acetylglucosaminyltransferase activity</t>
  </si>
  <si>
    <t>TraesCSU01G026800;TraesCS6B01G103200;TraesCS6A01G077400</t>
  </si>
  <si>
    <t>TraesCS1A01G428800</t>
  </si>
  <si>
    <t>L-ascorbic acid binding</t>
  </si>
  <si>
    <t>TraesCS5B01G459100;TraesCS4B01G282000;TraesCS5D01G460700;TraesCS4D01G280700;TraesCS4A01G021400</t>
  </si>
  <si>
    <t>TraesCS1A01G429100</t>
  </si>
  <si>
    <t>TraesCS1A01G435200</t>
  </si>
  <si>
    <t>TraesCS1A01G437600</t>
  </si>
  <si>
    <t>TraesCS7B01G265300;TraesCS7D01G297700;TraesCS5B01G473800;TraesCS7A01G008900;TraesCS2B01G052800;TraesCS5A01G462400;TraesCS4B01G189500;TraesCS5A01G462300;TraesCS5A01G462600;TraesCS6B01G322900;TraesCS5A01G462500;TraesCS2A01G039900;TraesCS4D01G190900;TraesCS5B01G473300;TraesCS2D01G335300;TraesCS6A01G292500;TraesCS5B01G553100;TraesCS2D01G038500;TraesCS4B01G208000;TraesCS7B01G202500;TraesCS5B01G400600</t>
  </si>
  <si>
    <t>TraesCS1A01G443300</t>
  </si>
  <si>
    <t>acid-thiol ligase activity</t>
  </si>
  <si>
    <t>TraesCS5A01G411500;TraesCS5D01G420300;TraesCS5B01G415100;TraesCS6B01G294100</t>
  </si>
  <si>
    <t>proteolysis involved in cellular protein catabolic process</t>
  </si>
  <si>
    <t>TraesCS1A01G445100</t>
  </si>
  <si>
    <t>hydrogen-translocating pyrophosphatase activity</t>
  </si>
  <si>
    <t>TraesCS1A01G107200;TraesCS1B01G124600;TraesCS1D01G107600</t>
  </si>
  <si>
    <t>TraesCS1A01G445300</t>
  </si>
  <si>
    <t>1,4-alpha-glucan branching enzyme activity</t>
  </si>
  <si>
    <t>TraesCS2B01G327300;TraesCS7A01G549200;TraesCS7D01G535500</t>
  </si>
  <si>
    <t>TraesCS1B01G007500</t>
  </si>
  <si>
    <t>TraesCS5D01G420300;TraesCS6B01G354400;TraesCS5B01G415100;TraesCS4D01G321000;TraesCS5A01G411500;TraesCS1A01G196700;TraesCS1B01G049000;TraesCS1A01G014000;TraesCS2B01G050300;TraesCS4A01G119400;TraesCS4B01G324000;TraesCS1D01G011900;TraesCS7A01G183600;TraesCS7A01G183500</t>
  </si>
  <si>
    <t>TraesCS1B01G007900</t>
  </si>
  <si>
    <t>cellular protein catabolic process</t>
  </si>
  <si>
    <t>TraesCS2A01G052900;TraesCS2B01G066900;TraesCS2B01G066800;TraesCS3B01G161000;TraesCS7D01G368800</t>
  </si>
  <si>
    <t>TraesCS1B01G029500</t>
  </si>
  <si>
    <t>TraesCS1B01G030100</t>
  </si>
  <si>
    <t>long-chain fatty acid metabolic process</t>
  </si>
  <si>
    <t>TraesCS1B01G033300</t>
  </si>
  <si>
    <t>TraesCS4B01G013700;TraesCS5A01G244500;TraesCS2D01G409700;TraesCS4B01G264700;TraesCS4D01G011500;TraesCS7A01G482300;TraesCS2A01G412300;TraesCS4A01G043900;TraesCS4D01G264700;TraesCS7B01G384500;TraesCS5B01G242300;TraesCS5D01G251100</t>
  </si>
  <si>
    <t>TraesCS1B01G036600</t>
  </si>
  <si>
    <t>TraesCS1B01G036700</t>
  </si>
  <si>
    <t>TraesCS2A01G135500;TraesCS2B01G580100;TraesCS3B01G151700;TraesCS4B01G229500;TraesCS3D01G133800;TraesCS4D01G230600;TraesCS4D01G301300;TraesCS4A01G402300;TraesCS2D01G137900;TraesCS2B01G159300;TraesCS7D01G157800;TraesCS4D01G191900;TraesCS3A01G083900;TraesCS3A01G308800;TraesCS4A01G247900;TraesCS2B01G159400;TraesCS4A01G073300;TraesCS2B01G502800;TraesCS6B01G375900;TraesCS6D01G324600</t>
  </si>
  <si>
    <t>TraesCS1B01G036800</t>
  </si>
  <si>
    <t>lateral growth</t>
  </si>
  <si>
    <t>TraesCS7D01G148700;TraesCS7D01G148100</t>
  </si>
  <si>
    <t>TraesCS1B01G039900</t>
  </si>
  <si>
    <t>secondary growth</t>
  </si>
  <si>
    <t>TraesCS1B01G049000</t>
  </si>
  <si>
    <t>TraesCS2B01G311100;TraesCS1B01G362600;TraesCS1D01G350900;TraesCS5A01G462200;TraesCS5B01G473800;TraesCS2B01G052800;TraesCS5B01G473900;TraesCS5A01G462400;TraesCS5A01G462300;TraesCS5A01G462600;TraesCS6B01G322900;TraesCS5A01G462500;TraesCS2A01G039900;TraesCS7A01G104200;TraesCS6A01G292500;TraesCS5D01G405100;TraesCS2D01G190100;TraesCS1A01G348000;TraesCS2A01G300500;TraesCS5D01G475500;TraesCS2B01G316700;TraesCS2D01G206000;TraesCS7D01G098000;TraesCS5D01G475000;TraesCS5A01G395800;TraesCS5D01G475300;TraesCS5D01G475200;TraesCS5A01G427600;TraesCS5B01G473300;TraesCS5B01G553100;TraesCS5B01G473400;TraesCS2D01G038500;TraesCS5B01G400600</t>
  </si>
  <si>
    <t>TraesCS1B01G058800</t>
  </si>
  <si>
    <t>TraesCS1B01G059200</t>
  </si>
  <si>
    <t>TraesCS3A01G083900;TraesCS3B01G151700;TraesCS4B01G229500;TraesCS3A01G308800;TraesCS3D01G133800;TraesCS4A01G073300;TraesCS4D01G230600;TraesCS3B01G099000;TraesCS4A01G402300</t>
  </si>
  <si>
    <t>TraesCS1B01G061300</t>
  </si>
  <si>
    <t>TraesCS1B01G061400</t>
  </si>
  <si>
    <t>TraesCS1B01G071300</t>
  </si>
  <si>
    <t>intramolecular oxidoreductase activity, transposing S-S bonds</t>
  </si>
  <si>
    <t>TraesCS4D01G098400;TraesCS4A01G214200;TraesCS4B01G101800</t>
  </si>
  <si>
    <t>TraesCS1B01G076300</t>
  </si>
  <si>
    <t>protein disulfide isomerase activity</t>
  </si>
  <si>
    <t>TraesCS1B01G077800</t>
  </si>
  <si>
    <t>fatty acid derivative metabolic process</t>
  </si>
  <si>
    <t>TraesCS1B01G079800</t>
  </si>
  <si>
    <t>fatty acid derivative biosynthetic process</t>
  </si>
  <si>
    <t>TraesCS1B01G080800</t>
  </si>
  <si>
    <t>TraesCS3B01G196600;TraesCS1B01G259800;TraesCS6D01G363400;TraesCS1A01G284300;TraesCS6B01G417400;TraesCS5D01G405400;TraesCS6B01G132300;TraesCS3D01G172000;TraesCS6D01G091600;TraesCS4D01G069200;TraesCS3A01G123800;TraesCS5B01G072900;TraesCS4B01G070400;TraesCS1A01G249100;TraesCS5A01G396100;TraesCS4A01G244600;TraesCS3A01G169800;TraesCS7B01G258200;TraesCS5B01G400900;TraesCS6A01G103200</t>
  </si>
  <si>
    <t>TraesCS1B01G080900</t>
  </si>
  <si>
    <t>signal peptide processing</t>
  </si>
  <si>
    <t>TraesCS1B01G249800;TraesCS1D01G238300;TraesCS3D01G039200;TraesCS1A01G233200</t>
  </si>
  <si>
    <t>TraesCS1B01G081000</t>
  </si>
  <si>
    <t>TraesCS1B01G081200</t>
  </si>
  <si>
    <t>TraesCS2A01G135500;TraesCS4B01G229500;TraesCS2D01G402100;TraesCS4D01G230600;TraesCS2A01G175100;TraesCS2B01G120200;TraesCS4A01G402300;TraesCS2D01G137900;TraesCS5B01G150700;TraesCS6A01G379800;TraesCS4D01G082700;TraesCS3A01G083900;TraesCS4D01G142400;TraesCS4A01G073300;TraesCS6B01G375900;TraesCS2A01G405300;TraesCS2D01G182500;TraesCS4A01G231200;TraesCS3B01G151700;TraesCS2B01G423300;TraesCS2B01G423200;TraesCS3D01G133800;TraesCS3A01G251200;TraesCS2D01G092100;TraesCS7D01G314100;TraesCS2B01G159300;TraesCS7D01G157800;TraesCS1B01G273300;TraesCS2A01G388600;TraesCS3A01G308800;TraesCS2B01G159400;TraesCS2B01G201500;TraesCS7A01G124400;TraesCS3B01G099000;TraesCS2A01G405100;TraesCS6D01G324600;TraesCS2D01G386400</t>
  </si>
  <si>
    <t>TraesCS1B01G081300</t>
  </si>
  <si>
    <t>nicotianamine synthase activity</t>
  </si>
  <si>
    <t>TraesCS4B01G183900;TraesCS4D01G184900;TraesCS2A01G095700;TraesCS2D01G094200</t>
  </si>
  <si>
    <t>TraesCS1B01G082500</t>
  </si>
  <si>
    <t>nicotianamine metabolic process</t>
  </si>
  <si>
    <t>TraesCS1B01G082600</t>
  </si>
  <si>
    <t>tricarboxylic acid biosynthetic process</t>
  </si>
  <si>
    <t>nicotianamine biosynthetic process</t>
  </si>
  <si>
    <t>TraesCS1B01G104300</t>
  </si>
  <si>
    <t>TraesCS7A01G404200;TraesCS7D01G397600;TraesCS7B01G303800</t>
  </si>
  <si>
    <t>TraesCS1B01G106800</t>
  </si>
  <si>
    <t>TraesCS1B01G113100</t>
  </si>
  <si>
    <t>TraesCS1B01G114700</t>
  </si>
  <si>
    <t>TraesCS1B01G114800</t>
  </si>
  <si>
    <t>TraesCS5B01G330300;TraesCS3A01G325800;TraesCS3B01G331200;TraesCS4A01G194300;TraesCS3D01G319200;TraesCS5A01G330200;TraesCS5D01G335900;TraesCS4D01G119000;TraesCS3B01G354900;TraesCS5B01G475500;TraesCS3A01G305300;TraesCS4D01G082600;TraesCS5B01G475800;TraesCS6B01G287900;TraesCS7A01G447300;TraesCS2A01G401200;TraesCS3D01G296500;TraesCS1D01G197300</t>
  </si>
  <si>
    <t>TraesCS1B01G116900</t>
  </si>
  <si>
    <t>TraesCS5B01G475700;TraesCS5D01G477100;TraesCS5A01G464500;TraesCS5B01G476000</t>
  </si>
  <si>
    <t>TraesCS1B01G122200</t>
  </si>
  <si>
    <t>TraesCS2A01G590600;TraesCS2B01G593000</t>
  </si>
  <si>
    <t>TraesCS1B01G122500</t>
  </si>
  <si>
    <t>proton-exporting ATPase activity, phosphorylative mechanism</t>
  </si>
  <si>
    <t>TraesCS4D01G298900;TraesCS4D01G027900</t>
  </si>
  <si>
    <t>TraesCS1B01G124400</t>
  </si>
  <si>
    <t>TraesCS5A01G411500;TraesCS5D01G420300;TraesCS1B01G049000;TraesCS1A01G014000;TraesCS2B01G050300;TraesCS5B01G415100;TraesCS4B01G324000;TraesCS4D01G321000;TraesCS1D01G011900;TraesCS7A01G183600;TraesCS7A01G183500</t>
  </si>
  <si>
    <t>TraesCS1B01G124600</t>
  </si>
  <si>
    <t>modification of morphology or physiology of other organism</t>
  </si>
  <si>
    <t>TraesCS1A01G014000;TraesCS4D01G107100;TraesCS4B01G324000;TraesCS4D01G321000;TraesCS1D01G011900;TraesCS7A01G183600;TraesCS7A01G183500</t>
  </si>
  <si>
    <t>TraesCS1B01G130700</t>
  </si>
  <si>
    <t>TraesCS1D01G149800;TraesCS7A01G336500;TraesCS1D01G149700;TraesCS1B01G170100;TraesCS1A01G152800;TraesCS1A01G152600</t>
  </si>
  <si>
    <t>TraesCS1B01G133200</t>
  </si>
  <si>
    <t>TraesCS1B01G134800</t>
  </si>
  <si>
    <t>TraesCS1B01G152000</t>
  </si>
  <si>
    <t>TraesCS1B01G162500</t>
  </si>
  <si>
    <t>TraesCS1B01G170100</t>
  </si>
  <si>
    <t>cell fate commitment</t>
  </si>
  <si>
    <t>TraesCS5D01G162100;TraesCS5A01G156700;TraesCS5D01G097400;TraesCS5B01G154900</t>
  </si>
  <si>
    <t>TraesCS1B01G178000</t>
  </si>
  <si>
    <t>TraesCS1B01G184300</t>
  </si>
  <si>
    <t>TraesCS6D01G230500;TraesCS7D01G182600;TraesCS7B01G085800</t>
  </si>
  <si>
    <t>TraesCS1B01G211300</t>
  </si>
  <si>
    <t>TraesCS6A01G016900;TraesCS3B01G039500;TraesCS2A01G215100;TraesCS5D01G105800;TraesCS3B01G018100;TraesCS3B01G018200;TraesCS3B01G031000;TraesCS6B01G024700;TraesCS4B01G094600;TraesCS1A01G094100;TraesCS3A01G048300;TraesCS7B01G492500;TraesCS7D01G544900;TraesCS1A01G192900;TraesCS5B01G243400;TraesCS7A01G565800;TraesCS7A01G565700;TraesCS7B01G492300;TraesCS6D01G002600;TraesCS3B01G030900;TraesCS3D01G036700;TraesCS2B01G005200;TraesCS5A01G246000;TraesCS3A01G374400;TraesCS1B01G090700;TraesCS5D01G431500;TraesCS5D01G431400;TraesCS2B01G240100;TraesCS3D01G018000;TraesCS2D01G220900;TraesCS7D01G545000;TraesCS1B01G122200;TraesCS3D01G028300;TraesCS5B01G099600;TraesCS5A01G093500;TraesCS3A01G028000;TraesCS5A01G423100;TraesCS2D01G013500;TraesCS7B01G492200;TraesCS6D01G020500;TraesCS5B01G169600;TraesCS1D01G102700;TraesCS3D01G031300</t>
  </si>
  <si>
    <t>lateral root formation</t>
  </si>
  <si>
    <t>TraesCS1B01G224400</t>
  </si>
  <si>
    <t>TraesCS3D01G515900;TraesCS4B01G328000;TraesCS4D01G066000;TraesCS4B01G328100;TraesCS2D01G371800;TraesCS7B01G129700;TraesCS3D01G096000;TraesCS4D01G325100;TraesCS3A01G123800;TraesCS5B01G281000;TraesCS4D01G325000;TraesCS6D01G000200;TraesCS4A01G247900;TraesCS3A01G169800;TraesCS4D01G107100;TraesCS7B01G258200;TraesCS2B01G284300;TraesCS4A01G372200;TraesCS2B01G502800;TraesCS2B01G392500</t>
  </si>
  <si>
    <t>TraesCS1B01G230900</t>
  </si>
  <si>
    <t>TraesCS1D01G149800;TraesCS7A01G336500;TraesCS1D01G149700;TraesCS1B01G170100;TraesCS1A01G152800;TraesCS2A01G073800;TraesCS1A01G152600</t>
  </si>
  <si>
    <t>TraesCS1B01G233000</t>
  </si>
  <si>
    <t>TraesCS4A01G205000;TraesCS7D01G416300;TraesCS1A01G304400;TraesCS3A01G325800;TraesCS4D01G316900;TraesCS3D01G319200;TraesCS5A01G155900;TraesCS6D01G085000;TraesCS6A01G097700;TraesCS2A01G326600;TraesCS3B01G404200;TraesCS7B01G121800;TraesCS1D01G337400;TraesCS6D01G000200;TraesCS2D01G100800;TraesCS2A01G352100;TraesCS5A01G265600;TraesCS3A01G372000;TraesCS4A01G495800;TraesCS1B01G314900;TraesCS6B01G096500;TraesCS3B01G176200;TraesCS5D01G431400;TraesCS1D01G197300;TraesCS1D01G303900;TraesCS3D01G412800;TraesCS2A01G415300;TraesCS7D01G216800;TraesCS5A01G308400;TraesCS2B01G508900;TraesCS4B01G328000;TraesCS2B01G118200;TraesCS3B01G331200;TraesCS5D01G315400;TraesCS7A01G189200;TraesCS3D01G195200;TraesCS4A01G123800;TraesCS5B01G281000;TraesCS7D01G373700;TraesCS3A01G305300;TraesCS4B01G320400;TraesCS3A01G116500;TraesCS2B01G005200;TraesCS2D01G100700;TraesCS4A01G247900;TraesCSU01G183700;TraesCS6B01G427100;TraesCS7B01G258200;TraesCS5A01G156700;TraesCS2B01G502800;TraesCS5D01G097400;TraesCS4D01G182100;TraesCS3D01G296500;TraesCS3D01G515900;TraesCS4D01G105800;TraesCS2A01G325900;TraesCS2A01G101000;TraesCS6A01G311700;TraesCS7B01G129700;TraesCS7A01G377400;TraesCS7D01G148100;TraesCS2B01G530800;TraesCS2D01G013500;TraesCS7B01G472800;TraesCS1B01G273300;TraesCS3A01G169800;TraesCS5B01G154100;TraesCS7A01G214500;TraesCS4D01G131500;TraesCS3A01G149000;TraesCS3A01G371900;TraesCS4B01G328100;TraesCS3D01G157100;TraesCS3B01G404400;TraesCS7A01G502300;TraesCS3B01G354900;TraesCS1B01G347900;TraesCS5B01G154900;TraesCS5D01G273500;TraesCS6A01G097500;TraesCS7D01G489600;TraesCS5B01G091000;TraesCS3B01G138800;TraesCS2D01G100600;TraesCS7D01G536000;TraesCS7A01G475400;TraesCS6D01G084900;TraesCS2B01G284300;TraesCS3A01G372200;TraesCS2B01G355300;TraesCS1A01G429100;TraesCS2A01G101100;TraesCS2D01G371800;TraesCSU01G117200;TraesCS1B01G178000;TraesCS5B01G265300;TraesCS5D01G335900;TraesCS3A01G251200;TraesCS7B01G277800;TraesCS6B01G341900;TraesCS3D01G364900;TraesCS7A01G194700;TraesCS2B01G589200;TraesCS7D01G372700;TraesCS2D01G336300;TraesCS4D01G325000;TraesCS3D01G532800;TraesCS4A01G372200;TraesCS1B01G464000;TraesCS2B01G392500;TraesCS5D01G178800;TraesCS7D01G216600;TraesCS5B01G308800;TraesCS4D01G066000;TraesCS3A01G371800;TraesCS3D01G365000;TraesCS7B01G094000;TraesCS7D01G248500;TraesCS1D01G268200;TraesCS3D01G096000;TraesCS5A01G330200;TraesCS4A01G404700;TraesCS7B01G121900;TraesCS5D01G460700;TraesCS7A01G002800;TraesCS4B01G108700;TraesCS4D01G082600;TraesCS2A01G230400;TraesCS6B01G125900;TraesCS1B01G463900;TraesCS5D01G162100;TraesCS3A01G527300;TraesCS4B01G180600;TraesCS5D01G431500;TraesCS3A01G372100;TraesCS2D01G234000;TraesCS7A01G408500;TraesCS6B01G142000;TraesCS1A01G030800;TraesCS5B01G330300;TraesCS6D01G084200;TraesCS7A01G549500;TraesCS2A01G101200;TraesCS1A01G284300;TraesCS3A01G292400;TraesCS7B01G100300;TraesCS4D01G325100;TraesCS3A01G123800;TraesCS5A01G423100;TraesCS2B01G434300;TraesCS6B01G126600;TraesCS7A01G214700;TraesCS5D01G161000;TraesCS1A01G058400;TraesCS4D01G107100;TraesCS7A01G074200;TraesCS5A01G491600;TraesCS7D01G401800;TraesCS1D01G309300;TraesCS1B01G076300;TraesCS2A01G401200;TraesCS2A01G554300</t>
  </si>
  <si>
    <t>TraesCS1B01G236900</t>
  </si>
  <si>
    <t>protein catabolic process</t>
  </si>
  <si>
    <t>TraesCS1B01G245500</t>
  </si>
  <si>
    <t>TraesCS4A01G205000;TraesCS7D01G416300;TraesCS1A01G304400;TraesCS3A01G325800;TraesCS4D01G316900;TraesCS3D01G319200;TraesCS5A01G155900;TraesCS6D01G085000;TraesCS6A01G097700;TraesCS2A01G326600;TraesCS3B01G404200;TraesCS7B01G121800;TraesCS1D01G337400;TraesCS6D01G000200;TraesCS2D01G100800;TraesCS2A01G352100;TraesCS5A01G265600;TraesCS3A01G372000;TraesCS1B01G314900;TraesCS6B01G096500;TraesCS3B01G176200;TraesCS1D01G197300;TraesCS1D01G303900;TraesCS3D01G412800;TraesCS2A01G415300;TraesCS7D01G216800;TraesCS5A01G308400;TraesCS2B01G508900;TraesCS4B01G328000;TraesCS2B01G118200;TraesCS3B01G331200;TraesCS5D01G315400;TraesCS7A01G189200;TraesCS3D01G195200;TraesCS4A01G123800;TraesCS5B01G281000;TraesCS7D01G373700;TraesCS3A01G305300;TraesCS4B01G320400;TraesCS3A01G116500;TraesCS2D01G100700;TraesCS4A01G247900;TraesCSU01G183700;TraesCS6B01G427100;TraesCS7B01G258200;TraesCS5A01G156700;TraesCS2B01G502800;TraesCS5D01G097400;TraesCS4D01G182100;TraesCS3D01G296500;TraesCS3D01G515900;TraesCS4D01G105800;TraesCS2A01G325900;TraesCS2A01G101000;TraesCS6A01G311700;TraesCS7B01G129700;TraesCS7A01G377400;TraesCS7D01G148100;TraesCS2B01G530800;TraesCS7B01G472800;TraesCS1B01G273300;TraesCS3A01G169800;TraesCS5B01G154100;TraesCS7A01G214500;TraesCS4D01G131500;TraesCS3A01G149000;TraesCS3A01G371900;TraesCS4B01G328100;TraesCS3D01G157100;TraesCS3B01G404400;TraesCS7A01G502300;TraesCS3B01G354900;TraesCS1B01G347900;TraesCS5B01G154900;TraesCS5D01G273500;TraesCS6A01G097500;TraesCS7D01G489600;TraesCS5B01G091000;TraesCS3B01G138800;TraesCS2D01G100600;TraesCS7D01G536000;TraesCS7A01G475400;TraesCS6D01G084900;TraesCS2B01G284300;TraesCS3A01G372200;TraesCS2B01G355300;TraesCS1A01G429100;TraesCS2A01G101100;TraesCS2D01G371800;TraesCSU01G117200;TraesCS1B01G178000;TraesCS5B01G265300;TraesCS5D01G335900;TraesCS3A01G251200;TraesCS7B01G277800;TraesCS6B01G341900;TraesCS3D01G364900;TraesCS7A01G194700;TraesCS2B01G589200;TraesCS7D01G372700;TraesCS2D01G336300;TraesCS4D01G325000;TraesCS3D01G532800;TraesCS4A01G372200;TraesCS1B01G464000;TraesCS2B01G392500;TraesCS5D01G178800;TraesCS7D01G216600;TraesCS5B01G308800;TraesCS4D01G066000;TraesCS3A01G371800;TraesCS3D01G365000;TraesCS7B01G094000;TraesCS7D01G248500;TraesCS1D01G268200;TraesCS3D01G096000;TraesCS5A01G330200;TraesCS4A01G404700;TraesCS7B01G121900;TraesCS5D01G460700;TraesCS4B01G108700;TraesCS4D01G082600;TraesCS2A01G230400;TraesCS6B01G125900;TraesCS1B01G463900;TraesCS5D01G162100;TraesCS3A01G527300;TraesCS4B01G180600;TraesCS3A01G372100;TraesCS2D01G234000;TraesCS7A01G408500;TraesCS6B01G142000;TraesCS1A01G030800;TraesCS5B01G330300;TraesCS6D01G084200;TraesCS7A01G549500;TraesCS2A01G101200;TraesCS1A01G284300;TraesCS3A01G292400;TraesCS7B01G100300;TraesCS4D01G325100;TraesCS3A01G123800;TraesCS2B01G434300;TraesCS6B01G126600;TraesCS7A01G214700;TraesCS5D01G161000;TraesCS1A01G058400;TraesCS4D01G107100;TraesCS7A01G074200;TraesCS5A01G491600;TraesCS7D01G401800;TraesCS1D01G309300;TraesCS1B01G076300;TraesCS2A01G401200;TraesCS2A01G554300</t>
  </si>
  <si>
    <t>TraesCS1B01G248900</t>
  </si>
  <si>
    <t>TraesCS4A01G205000;TraesCS7D01G416300;TraesCS1A01G304400;TraesCS3A01G325800;TraesCS4D01G316900;TraesCS3D01G319200;TraesCS5A01G155900;TraesCS6D01G085000;TraesCS6A01G097700;TraesCS2A01G326600;TraesCS3B01G404200;TraesCS7B01G121800;TraesCS1D01G337400;TraesCS6D01G000200;TraesCS2D01G100800;TraesCS2A01G352100;TraesCS5A01G265600;TraesCS3A01G372000;TraesCS1B01G314900;TraesCS6B01G096500;TraesCS3B01G176200;TraesCS1D01G197300;TraesCS1D01G303900;TraesCS3D01G412800;TraesCS2A01G415300;TraesCS7D01G216800;TraesCS5A01G308400;TraesCS2B01G508900;TraesCS4B01G328000;TraesCS2B01G118200;TraesCS3B01G331200;TraesCS5D01G315400;TraesCS7A01G189200;TraesCS3D01G195200;TraesCS4A01G123800;TraesCS5B01G281000;TraesCS7D01G373700;TraesCS3A01G305300;TraesCS4B01G320400;TraesCS3A01G116500;TraesCS2D01G100700;TraesCS4A01G247900;TraesCS5B01G476900;TraesCSU01G183700;TraesCS6B01G427100;TraesCS7B01G258200;TraesCS5A01G156700;TraesCS2B01G502800;TraesCS5D01G097400;TraesCS4D01G182100;TraesCS3D01G296500;TraesCS3D01G515900;TraesCS4D01G105800;TraesCS2A01G325900;TraesCS2A01G101000;TraesCS6A01G311700;TraesCS7B01G129700;TraesCS7A01G377400;TraesCS7D01G148100;TraesCS2B01G530800;TraesCS7B01G472800;TraesCS1B01G273300;TraesCS3A01G169800;TraesCS5B01G154100;TraesCS7A01G214500;TraesCS4D01G131500;TraesCS3A01G149000;TraesCS3A01G371900;TraesCS4B01G328100;TraesCS3D01G157100;TraesCS3B01G404400;TraesCS7A01G502300;TraesCS3B01G354900;TraesCS1B01G347900;TraesCS5B01G154900;TraesCS5D01G273500;TraesCS6A01G097500;TraesCS7D01G489600;TraesCS5B01G091000;TraesCS3B01G138800;TraesCS2D01G100600;TraesCS7D01G536000;TraesCS7A01G475400;TraesCS6D01G084900;TraesCS2B01G284300;TraesCS3A01G372200;TraesCS2B01G355300;TraesCS1A01G429100;TraesCS2A01G101100;TraesCS2D01G371800;TraesCSU01G117200;TraesCS1B01G178000;TraesCS5B01G265300;TraesCS5D01G335900;TraesCS3A01G251200;TraesCS7B01G277800;TraesCS6B01G341900;TraesCS3D01G364900;TraesCS7A01G194700;TraesCS2B01G589200;TraesCS7D01G372700;TraesCS2D01G336300;TraesCS4D01G325000;TraesCS3D01G532800;TraesCS4A01G372200;TraesCS1B01G464000;TraesCS2B01G392500;TraesCS5D01G178800;TraesCS7D01G216600;TraesCS5B01G308800;TraesCS4D01G066000;TraesCS3A01G371800;TraesCS3D01G365000;TraesCS7B01G094000;TraesCS7D01G248500;TraesCS1D01G268200;TraesCS3D01G096000;TraesCS5A01G330200;TraesCS4A01G404700;TraesCS7B01G121900;TraesCS5D01G460700;TraesCS4B01G108700;TraesCS4D01G082600;TraesCS2A01G230400;TraesCS6B01G125900;TraesCS1B01G463900;TraesCS5D01G162100;TraesCS3A01G527300;TraesCS4B01G180600;TraesCS3A01G372100;TraesCS2D01G234000;TraesCS7A01G408500;TraesCS6B01G142000;TraesCS1A01G030800;TraesCS5B01G330300;TraesCS6D01G084200;TraesCS7A01G549500;TraesCS2A01G101200;TraesCS1A01G284300;TraesCS3A01G292400;TraesCS7B01G100300;TraesCS4D01G325100;TraesCS3A01G123800;TraesCS2B01G434300;TraesCS6B01G126600;TraesCS7A01G214700;TraesCS5D01G161000;TraesCS1A01G058400;TraesCS4D01G107100;TraesCS7A01G074200;TraesCS5A01G491600;TraesCS7D01G401800;TraesCS1D01G309300;TraesCS1B01G076300;TraesCS2A01G401200;TraesCS2A01G554300</t>
  </si>
  <si>
    <t>TraesCS1B01G249800</t>
  </si>
  <si>
    <t>TraesCS1B01G254900</t>
  </si>
  <si>
    <t>TraesCS1B01G472200;TraesCS5B01G459100;TraesCS6A01G148800;TraesCS1A01G437600;TraesCS5D01G290600;TraesCS5D01G031700;TraesCS2B01G570800;TraesCS5B01G282100;TraesCS5A01G002400;TraesCS5D01G460700;TraesCS5B01G153100;TraesCS4A01G021400;TraesCS5D01G159800;TraesCS5A01G025300;TraesCS4B01G081200;TraesCS5D01G289800;TraesCS6D01G138200</t>
  </si>
  <si>
    <t>TraesCS1B01G259800</t>
  </si>
  <si>
    <t>TraesCS1B01G261200</t>
  </si>
  <si>
    <t>TraesCS2B01G570800;TraesCS5B01G282100;TraesCS5B01G459100;TraesCS5D01G460700;TraesCS6A01G148800;TraesCS5B01G153100;TraesCS4A01G021400;TraesCS5D01G159800;TraesCS5D01G290600;TraesCS4B01G081200;TraesCS5D01G289800;TraesCS6D01G138200</t>
  </si>
  <si>
    <t>TraesCS1B01G263700</t>
  </si>
  <si>
    <t>dihydrokaempferol 4-reductase activity</t>
  </si>
  <si>
    <t>TraesCS3A01G226600</t>
  </si>
  <si>
    <t>TraesCS1B01G265000</t>
  </si>
  <si>
    <t>protein folding in endoplasmic reticulum</t>
  </si>
  <si>
    <t>TraesCS4B01G101800</t>
  </si>
  <si>
    <t>TraesCS1B01G270100</t>
  </si>
  <si>
    <t>carotenoid dioxygenase activity</t>
  </si>
  <si>
    <t>TraesCS5A01G002400</t>
  </si>
  <si>
    <t>TraesCS1B01G272300</t>
  </si>
  <si>
    <t>9-cis-epoxycarotenoid dioxygenase activity</t>
  </si>
  <si>
    <t>TraesCS1B01G273300</t>
  </si>
  <si>
    <t>apical cell fate commitment</t>
  </si>
  <si>
    <t>TraesCS5D01G097400</t>
  </si>
  <si>
    <t>TraesCS1B01G278900</t>
  </si>
  <si>
    <t>cotyledon boundary formation</t>
  </si>
  <si>
    <t>TraesCS1B01G283000</t>
  </si>
  <si>
    <t>positive regulation of RNA interference</t>
  </si>
  <si>
    <t>TraesCSU01G117200</t>
  </si>
  <si>
    <t>TraesCS1B01G292800</t>
  </si>
  <si>
    <t>positive regulation of production of siRNA involved in RNA interference</t>
  </si>
  <si>
    <t>TraesCS1B01G293300</t>
  </si>
  <si>
    <t>glycogen biosynthetic process</t>
  </si>
  <si>
    <t>TraesCS1B01G294300</t>
  </si>
  <si>
    <t>post-embryonic root morphogenesis</t>
  </si>
  <si>
    <t>TraesCS1B01G302400</t>
  </si>
  <si>
    <t>lateral root morphogenesis</t>
  </si>
  <si>
    <t>TraesCS1B01G302500</t>
  </si>
  <si>
    <t>proanthocyanidin biosynthetic process</t>
  </si>
  <si>
    <t>TraesCS4D01G298900;TraesCS5D01G041700</t>
  </si>
  <si>
    <t>TraesCS1B01G303300</t>
  </si>
  <si>
    <t>TraesCS6A01G387800;TraesCS7A01G204900;TraesCS7B01G407400;TraesCS7A01G500200;TraesCS6D01G230500;TraesCS2A01G135500;TraesCS7A01G336500;TraesCS1B01G261200;TraesCS7D01G042600;TraesCS7D01G460300;TraesCS3B01G400000;TraesCS1A01G145300;TraesCS1D01G149700;TraesCS2B01G330200;TraesCS1A01G069300;TraesCS6B01G375900;TraesCS6B01G427200;TraesCS2A01G073800;TraesCS5A01G024200;TraesCS5A01G150700;TraesCS3B01G380200;TraesCS5A01G358900;TraesCS5B01G209000;TraesCS4D01G357800;TraesCS1D01G071800;TraesCS1B01G162500;TraesCS2B01G159400;TraesCS7A01G048200;TraesCS2A01G313100;TraesCS6B01G166000;TraesCS6D01G324600;TraesCS7D01G384600;TraesCS3A01G235100;TraesCS4B01G139000;TraesCS6A01G387900;TraesCS3B01G039500;TraesCS7A01G500300;TraesCS2B01G474400;TraesCS2B01G474200;TraesCS7B01G085800;TraesCS3D01G235900;TraesCS4A01G460600;TraesCS3D01G283300;TraesCS2D01G137900;TraesCS7D01G487400;TraesCS1D01G149800;TraesCS3D01G036700;TraesCS1D01G250200;TraesCS5D01G030100;TraesCS5B01G149300;TraesCS7D01G182600;TraesCS1A01G250600;TraesCS7D01G303400;TraesCS4B01G381900;TraesCS6B01G389100;TraesCS7A01G125100;TraesCS2A01G453000;TraesCS7B01G374300;TraesCS3B01G170900;TraesCS1B01G170100;TraesCS1A01G152800;TraesCS5D01G368100;TraesCS1A01G152600;TraesCS2B01G159300;TraesCS7D01G157800;TraesCS1D01G144200;TraesCS2D01G311600;TraesCS1B01G334900;TraesCS3A01G144400;TraesCS3B01G317000;TraesCS7D01G053700;TraesCS3B01G171000;TraesCS4A01G431200;TraesCS7D01G472500;TraesCS5D01G155800</t>
  </si>
  <si>
    <t>TraesCS1B01G313900</t>
  </si>
  <si>
    <t>TraesCS4A01G205000;TraesCS7D01G416300;TraesCS1A01G304400;TraesCS3A01G325800;TraesCS4D01G316900;TraesCS3D01G319200;TraesCS5A01G155900;TraesCS6D01G085000;TraesCS6A01G097700;TraesCS2A01G326600;TraesCS3B01G404200;TraesCS7B01G121800;TraesCS1D01G337400;TraesCS6D01G000200;TraesCS2D01G100800;TraesCS2A01G352100;TraesCS5A01G265600;TraesCS3A01G372000;TraesCS4A01G495800;TraesCS1B01G314900;TraesCS6B01G096500;TraesCS3B01G176200;TraesCS5D01G431400;TraesCS1D01G197300;TraesCS1D01G303900;TraesCS3D01G412800;TraesCS2A01G415300;TraesCS7D01G216800;TraesCS5A01G308400;TraesCS2B01G508900;TraesCS4B01G328000;TraesCS2B01G118200;TraesCS3B01G331200;TraesCS5D01G315400;TraesCS7A01G189200;TraesCS3D01G195200;TraesCS4A01G123800;TraesCS5B01G281000;TraesCS7D01G373700;TraesCS3A01G305300;TraesCS4B01G320400;TraesCS3A01G116500;TraesCS2B01G005200;TraesCS2D01G100700;TraesCS4A01G247900;TraesCS5B01G476900;TraesCSU01G183700;TraesCS6B01G427100;TraesCS7B01G258200;TraesCS5A01G156700;TraesCS2B01G502800;TraesCS5D01G097400;TraesCS4D01G182100;TraesCS3D01G296500;TraesCS3D01G515900;TraesCS4D01G105800;TraesCS2A01G325900;TraesCS2A01G101000;TraesCS6A01G311700;TraesCS7B01G129700;TraesCS7A01G377400;TraesCS7D01G148100;TraesCS2B01G530800;TraesCS2D01G013500;TraesCS7B01G472800;TraesCS1B01G273300;TraesCS3A01G169800;TraesCS5B01G154100;TraesCS7A01G214500;TraesCS4D01G131500;TraesCS3A01G149000;TraesCS3A01G371900;TraesCS4B01G328100;TraesCS3D01G157100;TraesCS3B01G404400;TraesCS7A01G502300;TraesCS3B01G354900;TraesCS1B01G347900;TraesCS5B01G154900;TraesCS5D01G273500;TraesCS6A01G097500;TraesCS7D01G489600;TraesCS5B01G091000;TraesCS3B01G138800;TraesCS2D01G100600;TraesCS7D01G536000;TraesCS7A01G475400;TraesCS6D01G084900;TraesCS2B01G284300;TraesCS3A01G372200;TraesCS2B01G355300;TraesCS1A01G429100;TraesCS2A01G101100;TraesCS2D01G371800;TraesCSU01G117200;TraesCS1B01G178000;TraesCS5B01G265300;TraesCS5D01G335900;TraesCS3A01G251200;TraesCS7B01G277800;TraesCS6B01G341900;TraesCS3D01G364900;TraesCS7A01G194700;TraesCS2B01G589200;TraesCS7D01G372700;TraesCS2D01G336300;TraesCS4D01G325000;TraesCS3D01G532800;TraesCS4A01G372200;TraesCS1B01G464000;TraesCS2B01G392500;TraesCS5D01G178800;TraesCS7D01G216600;TraesCS5B01G308800;TraesCS4D01G066000;TraesCS3A01G371800;TraesCS3D01G365000;TraesCS7B01G094000;TraesCS7D01G248500;TraesCS1D01G268200;TraesCS3D01G096000;TraesCS5A01G330200;TraesCS4A01G404700;TraesCS7B01G121900;TraesCS5D01G460700;TraesCS7A01G002800;TraesCS4B01G108700;TraesCS4D01G082600;TraesCS2A01G230400;TraesCS6B01G125900;TraesCS1B01G463900;TraesCS5D01G162100;TraesCS3A01G527300;TraesCS4B01G180600;TraesCS5D01G431500;TraesCS3A01G372100;TraesCS2D01G234000;TraesCS7A01G408500;TraesCS6B01G142000;TraesCS1A01G030800;TraesCS5B01G330300;TraesCS6D01G084200;TraesCS7A01G549500;TraesCS2A01G101200;TraesCS1A01G284300;TraesCS3A01G292400;TraesCS7B01G100300;TraesCS4D01G325100;TraesCS3A01G123800;TraesCS5A01G423100;TraesCS2B01G434300;TraesCS6B01G126600;TraesCS7A01G214700;TraesCS5D01G161000;TraesCS1A01G058400;TraesCS4D01G107100;TraesCS7A01G074200;TraesCS5A01G491600;TraesCS7D01G401800;TraesCS1D01G309300;TraesCS1B01G076300;TraesCS2A01G401200;TraesCS2A01G554300</t>
  </si>
  <si>
    <t>TraesCS1B01G314400</t>
  </si>
  <si>
    <t>TraesCS2D01G182500;TraesCS4D01G082700;TraesCS4A01G231200;TraesCS1B01G273300;TraesCS2A01G388600;TraesCS2B01G201500;TraesCS2A01G175100;TraesCS2D01G092100;TraesCS6A01G379800;TraesCS7D01G314100;TraesCS2D01G386400</t>
  </si>
  <si>
    <t>TraesCS1B01G314900</t>
  </si>
  <si>
    <t>TraesCS2D01G220900;TraesCS2A01G215100;TraesCS2B01G240100</t>
  </si>
  <si>
    <t>TraesCS1B01G315000</t>
  </si>
  <si>
    <t>phospholipase C activity</t>
  </si>
  <si>
    <t>TraesCS1D01G071800;TraesCS1A01G069300</t>
  </si>
  <si>
    <t>TraesCS1B01G315300</t>
  </si>
  <si>
    <t>phosphatidylinositol phospholipase C activity</t>
  </si>
  <si>
    <t>TraesCS1B01G316700</t>
  </si>
  <si>
    <t>TraesCS2A01G052900;TraesCS6A01G279600;TraesCS2D01G052700;TraesCS2D01G052400;TraesCS2B01G066900;TraesCS2D01G052500;TraesCS2B01G066800;TraesCS7A01G207700;TraesCS2A01G399100;TraesCS3B01G161000;TraesCS5A01G427600;TraesCS2D01G396600;TraesCS3D01G143600;TraesCS4D01G007200;TraesCS5B01G476900;TraesCS1A01G312400;TraesCS7A01G353700;TraesCS7B01G130600;TraesCS7D01G232300;TraesCS2A01G052600;TraesCS7D01G368800;TraesCS3A01G226600;TraesCS7D01G328300</t>
  </si>
  <si>
    <t>TraesCS1B01G318000</t>
  </si>
  <si>
    <t>TraesCS4D01G190900;TraesCS2A01G468500;TraesCS2A01G468200;TraesCS4B01G208000;TraesCS2B01G491400;TraesCS2B01G491100;TraesCS4B01G189500</t>
  </si>
  <si>
    <t>TraesCS1B01G318300</t>
  </si>
  <si>
    <t>TraesCS3A01G479900;TraesCS2B01G095700;TraesCS3D01G000500;TraesCS6A01G249300;TraesCS2D01G078800;TraesCSU01G009600;TraesCS3B01G014200;TraesCS3B01G014300;TraesCS2A01G081200;TraesCS5A01G073100;TraesCS3A01G011100;TraesCS1A01G212400;TraesCS3B01G524500</t>
  </si>
  <si>
    <t>TraesCS1B01G319000</t>
  </si>
  <si>
    <t>TraesCS4A01G205000;TraesCS7D01G416300;TraesCS1A01G304400;TraesCS3A01G325800;TraesCS4D01G316900;TraesCS3D01G319200;TraesCS5A01G155900;TraesCS6D01G085000;TraesCS6A01G097700;TraesCS2A01G326600;TraesCS3B01G404200;TraesCS7B01G121800;TraesCS1D01G337400;TraesCS2D01G100800;TraesCS2A01G352100;TraesCS5A01G265600;TraesCS3A01G372000;TraesCS1B01G314900;TraesCS6B01G096500;TraesCS3B01G176200;TraesCS1D01G197300;TraesCS1D01G303900;TraesCS3D01G412800;TraesCS2A01G415300;TraesCS7D01G216800;TraesCS5A01G308400;TraesCS2B01G508900;TraesCS2B01G118200;TraesCS3B01G331200;TraesCS5D01G315400;TraesCS7A01G189200;TraesCS4A01G123800;TraesCS7D01G373700;TraesCS3A01G305300;TraesCS4B01G320400;TraesCS3A01G116500;TraesCS2D01G100700;TraesCSU01G183700;TraesCS6B01G427100;TraesCS7B01G258200;TraesCS5A01G156700;TraesCS5D01G097400;TraesCS4D01G182100;TraesCS3D01G296500;TraesCS4D01G105800;TraesCS2A01G325900;TraesCS2A01G101000;TraesCS6A01G311700;TraesCS7B01G129700;TraesCS7A01G377400;TraesCS7D01G148100;TraesCS2B01G530800;TraesCS1B01G273300;TraesCS3A01G169800;TraesCS5B01G154100;TraesCS7A01G214500;TraesCS4D01G131500;TraesCS3A01G149000;TraesCS3A01G371900;TraesCS3D01G157100;TraesCS3B01G404400;TraesCS7A01G502300;TraesCS3B01G354900;TraesCS1B01G347900;TraesCS5B01G154900;TraesCS5D01G273500;TraesCS6A01G097500;TraesCS7D01G489600;TraesCS5B01G091000;TraesCS3B01G138800;TraesCS2D01G100600;TraesCS7A01G475400;TraesCS6D01G084900;TraesCS2B01G284300;TraesCS3A01G372200;TraesCS2B01G355300;TraesCS1A01G429100;TraesCS2A01G101100;TraesCS1B01G178000;TraesCS5B01G265300;TraesCS5D01G335900;TraesCS3A01G251200;TraesCS7B01G277800;TraesCS6B01G341900;TraesCS3D01G364900;TraesCS7A01G194700;TraesCS2B01G589200;TraesCS7D01G372700;TraesCS2D01G336300;TraesCS3D01G532800;TraesCS4A01G372200;TraesCS1B01G464000;TraesCS5D01G178800;TraesCS7D01G216600;TraesCS5B01G308800;TraesCS3A01G371800;TraesCS3D01G365000;TraesCS7B01G094000;TraesCS7D01G248500;TraesCS1D01G268200;TraesCS5A01G330200;TraesCS4A01G404700;TraesCS7B01G121900;TraesCS5D01G460700;TraesCS4B01G108700;TraesCS4D01G082600;TraesCS2A01G230400;TraesCS6B01G125900;TraesCS1B01G463900;TraesCS5D01G162100;TraesCS3A01G527300;TraesCS4B01G180600;TraesCS3A01G372100;TraesCS2D01G234000;TraesCS7A01G408500;TraesCS6B01G142000;TraesCS1A01G030800;TraesCS5B01G330300;TraesCS6D01G084200;TraesCS2A01G101200;TraesCS3A01G292400;TraesCS7B01G100300;TraesCS3A01G123800;TraesCS2B01G434300;TraesCS6B01G126600;TraesCS7A01G214700;TraesCS5D01G161000;TraesCS1A01G058400;TraesCS4D01G107100;TraesCS5A01G491600;TraesCS7D01G401800;TraesCS1B01G076300;TraesCS2A01G401200;TraesCS2A01G554300</t>
  </si>
  <si>
    <t>TraesCS1B01G319600</t>
  </si>
  <si>
    <t>TraesCS1B01G334900</t>
  </si>
  <si>
    <t>TraesCS1B01G347900</t>
  </si>
  <si>
    <t>TraesCS5D01G019100;TraesCS1A01G103600</t>
  </si>
  <si>
    <t>TraesCS1B01G351400</t>
  </si>
  <si>
    <t>TraesCS1B01G352400</t>
  </si>
  <si>
    <t>cysteamine dioxygenase activity</t>
  </si>
  <si>
    <t>TraesCS1A01G437600;TraesCS5A01G025300</t>
  </si>
  <si>
    <t>TraesCS1B01G354100</t>
  </si>
  <si>
    <t>TraesCS1B01G362600</t>
  </si>
  <si>
    <t>TraesCS4A01G205000;TraesCS7D01G416300;TraesCS1A01G304400;TraesCS3A01G325800;TraesCS4D01G316900;TraesCS3D01G319200;TraesCS5A01G155900;TraesCS6D01G085000;TraesCS6A01G097700;TraesCS2A01G326600;TraesCS3B01G404200;TraesCS7B01G121800;TraesCS1D01G337400;TraesCS2D01G100800;TraesCS2A01G352100;TraesCS5A01G265600;TraesCS3A01G372000;TraesCS1B01G314900;TraesCS6B01G096500;TraesCS3B01G176200;TraesCS1D01G197300;TraesCS1D01G303900;TraesCS3D01G412800;TraesCS2A01G415300;TraesCS7D01G216800;TraesCS5A01G308400;TraesCS2B01G508900;TraesCS2B01G118200;TraesCS3B01G331200;TraesCS5D01G315400;TraesCS7A01G189200;TraesCS4A01G123800;TraesCS7D01G373700;TraesCS3A01G305300;TraesCS4B01G320400;TraesCS3A01G116500;TraesCS2D01G100700;TraesCSU01G183700;TraesCS6B01G427100;TraesCS7B01G258200;TraesCS5A01G156700;TraesCS5D01G097400;TraesCS4D01G182100;TraesCS3D01G296500;TraesCS4D01G105800;TraesCS2A01G325900;TraesCS2A01G101000;TraesCS6A01G311700;TraesCS7B01G129700;TraesCS7A01G377400;TraesCS7D01G148100;TraesCS2B01G530800;TraesCS1B01G273300;TraesCS3A01G169800;TraesCS5B01G154100;TraesCS7A01G214500;TraesCS4D01G131500;TraesCS3A01G149000;TraesCS3A01G371900;TraesCS3D01G157100;TraesCS3B01G404400;TraesCS7A01G502300;TraesCS3B01G354900;TraesCS1B01G347900;TraesCS5B01G154900;TraesCS5D01G273500;TraesCS6A01G097500;TraesCS7D01G489600;TraesCS5B01G091000;TraesCS3B01G138800;TraesCS2D01G100600;TraesCS7A01G475400;TraesCS6D01G084900;TraesCS2B01G284300;TraesCS3A01G372200;TraesCS2B01G355300;TraesCS1A01G429100;TraesCS2A01G101100;TraesCSU01G117200;TraesCS1B01G178000;TraesCS5B01G265300;TraesCS5D01G335900;TraesCS3A01G251200;TraesCS7B01G277800;TraesCS6B01G341900;TraesCS3D01G364900;TraesCS7A01G194700;TraesCS2B01G589200;TraesCS7D01G372700;TraesCS2D01G336300;TraesCS3D01G532800;TraesCS4A01G372200;TraesCS1B01G464000;TraesCS5D01G178800;TraesCS7D01G216600;TraesCS5B01G308800;TraesCS3A01G371800;TraesCS3D01G365000;TraesCS7B01G094000;TraesCS7D01G248500;TraesCS1D01G268200;TraesCS5A01G330200;TraesCS4A01G404700;TraesCS7B01G121900;TraesCS5D01G460700;TraesCS4B01G108700;TraesCS4D01G082600;TraesCS2A01G230400;TraesCS6B01G125900;TraesCS1B01G463900;TraesCS5D01G162100;TraesCS3A01G527300;TraesCS4B01G180600;TraesCS3A01G372100;TraesCS2D01G234000;TraesCS7A01G408500;TraesCS6B01G142000;TraesCS1A01G030800;TraesCS5B01G330300;TraesCS6D01G084200;TraesCS2A01G101200;TraesCS3A01G292400;TraesCS7B01G100300;TraesCS3A01G123800;TraesCS2B01G434300;TraesCS6B01G126600;TraesCS7A01G214700;TraesCS5D01G161000;TraesCS1A01G058400;TraesCS4D01G107100;TraesCS5A01G491600;TraesCS7D01G401800;TraesCS1B01G076300;TraesCS2A01G401200;TraesCS2A01G554300</t>
  </si>
  <si>
    <t>TraesCS1B01G362700</t>
  </si>
  <si>
    <t>cell fate specification</t>
  </si>
  <si>
    <t>TraesCS1B01G362800</t>
  </si>
  <si>
    <t>cellular chemical homeostasis</t>
  </si>
  <si>
    <t>TraesCS4D01G298900;TraesCS1B01G248900;TraesCS1A01G234700;TraesCS1D01G032700;TraesCS3A01G480900;TraesCS1D01G237400;TraesCS3D01G475600;TraesCS3B01G525400</t>
  </si>
  <si>
    <t>TraesCS1B01G366200</t>
  </si>
  <si>
    <t>TraesCS1B01G374300</t>
  </si>
  <si>
    <t>interspecies interaction between organisms</t>
  </si>
  <si>
    <t>TraesCS1B01G379600</t>
  </si>
  <si>
    <t>TraesCS2D01G182500;TraesCS4D01G082700;TraesCS4A01G231200;TraesCS1B01G273300;TraesCS2A01G388600;TraesCS2B01G201500;TraesCS2A01G175100;TraesCS2D01G092100;TraesCS6A01G379800;TraesCS2D01G386400</t>
  </si>
  <si>
    <t>TraesCS1B01G384400</t>
  </si>
  <si>
    <t>TraesCS4D01G357800;TraesCS5A01G150700;TraesCS3A01G144400;TraesCS3B01G170900;TraesCS5B01G149300;TraesCS7A01G048200;TraesCS7D01G042600;TraesCS4B01G381900;TraesCS3B01G171000;TraesCS5D01G155800</t>
  </si>
  <si>
    <t>TraesCS1B01G395300</t>
  </si>
  <si>
    <t>scavenger receptor activity</t>
  </si>
  <si>
    <t>TraesCS3A01G234500</t>
  </si>
  <si>
    <t>TraesCS1B01G401300</t>
  </si>
  <si>
    <t>tetraterpenoid catabolic process</t>
  </si>
  <si>
    <t>TraesCS1B01G407900</t>
  </si>
  <si>
    <t>carotenoid catabolic process</t>
  </si>
  <si>
    <t>TraesCS1B01G408000</t>
  </si>
  <si>
    <t>xanthophyll catabolic process</t>
  </si>
  <si>
    <t>TraesCS1B01G409000</t>
  </si>
  <si>
    <t>xanthoxin dehydrogenase activity</t>
  </si>
  <si>
    <t>TraesCS5B01G476900</t>
  </si>
  <si>
    <t>TraesCS1B01G411500</t>
  </si>
  <si>
    <t>4-coumarate-CoA ligase activity</t>
  </si>
  <si>
    <t>TraesCS6B01G294100</t>
  </si>
  <si>
    <t>TraesCS1B01G413600</t>
  </si>
  <si>
    <t>oxidoreductase activity, acting on paired donors, with incorporation or reduction of molecular oxygen, reduced pteridine as one donor, and incorporation of one atom of oxygen</t>
  </si>
  <si>
    <t>TraesCS7B01G420600</t>
  </si>
  <si>
    <t>TraesCS1B01G415000</t>
  </si>
  <si>
    <t>RNA uridylyltransferase activity</t>
  </si>
  <si>
    <t>TraesCS1B01G421200</t>
  </si>
  <si>
    <t>RNA 3' uridylation</t>
  </si>
  <si>
    <t>TraesCS1B01G426100</t>
  </si>
  <si>
    <t>regulation of RNA interference</t>
  </si>
  <si>
    <t>TraesCS1B01G426200</t>
  </si>
  <si>
    <t>regulation of production of siRNA involved in RNA interference</t>
  </si>
  <si>
    <t>TraesCS1B01G430100</t>
  </si>
  <si>
    <t>TraesCS6D01G230500;TraesCS7D01G182600;TraesCS7B01G085800;TraesCS6B01G276300</t>
  </si>
  <si>
    <t>TraesCS1B01G434700</t>
  </si>
  <si>
    <t>TraesCS4B01G328000;TraesCS4D01G066000;TraesCS4B01G328100;TraesCS3D01G096000;TraesCS5B01G281000;TraesCS7A01G002800;TraesCS6D01G000200;TraesCS2B01G005200;TraesCS4A01G247900;TraesCS4A01G495800;TraesCS7B01G258200;TraesCS2B01G284300;TraesCS5D01G431500;TraesCS2B01G502800;TraesCS5D01G431400;TraesCS3D01G515900;TraesCS2D01G371800;TraesCS7B01G129700;TraesCS4D01G325100;TraesCS3A01G123800;TraesCS5A01G423100;TraesCS2D01G013500;TraesCS4D01G325000;TraesCS3A01G169800;TraesCS4D01G107100;TraesCS4A01G372200;TraesCS2B01G392500</t>
  </si>
  <si>
    <t>TraesCS1B01G434800</t>
  </si>
  <si>
    <t>TraesCS1B01G434900</t>
  </si>
  <si>
    <t>TraesCS1B01G435000</t>
  </si>
  <si>
    <t>TraesCS1B01G435200</t>
  </si>
  <si>
    <t>TraesCS1B01G443800</t>
  </si>
  <si>
    <t>TraesCS1B01G453400</t>
  </si>
  <si>
    <t>TraesCS1B01G456600</t>
  </si>
  <si>
    <t>TraesCS1B01G460900</t>
  </si>
  <si>
    <t>TraesCS1B01G461500</t>
  </si>
  <si>
    <t>TraesCS1B01G462000</t>
  </si>
  <si>
    <t>TraesCS1B01G463900</t>
  </si>
  <si>
    <t>TraesCS1B01G464000</t>
  </si>
  <si>
    <t>TraesCS1B01G469000</t>
  </si>
  <si>
    <t>TraesCS1B01G470700</t>
  </si>
  <si>
    <t>TraesCS1B01G472200</t>
  </si>
  <si>
    <t>TraesCS1B01G479000</t>
  </si>
  <si>
    <t>TraesCS1D01G000200</t>
  </si>
  <si>
    <t>TraesCS1D01G001000</t>
  </si>
  <si>
    <t>TraesCS1D01G002000</t>
  </si>
  <si>
    <t>TraesCS1D01G009400</t>
  </si>
  <si>
    <t>TraesCS1D01G011500</t>
  </si>
  <si>
    <t>TraesCS1D01G011900</t>
  </si>
  <si>
    <t>TraesCS1D01G012200</t>
  </si>
  <si>
    <t>TraesCS1D01G026600</t>
  </si>
  <si>
    <t>TraesCS1D01G027000</t>
  </si>
  <si>
    <t>TraesCS1D01G029600</t>
  </si>
  <si>
    <t>TraesCS1D01G044100</t>
  </si>
  <si>
    <t>TraesCS1D01G046200</t>
  </si>
  <si>
    <t>TraesCS1D01G049200</t>
  </si>
  <si>
    <t>TraesCS1D01G054800</t>
  </si>
  <si>
    <t>TraesCS1D01G055000</t>
  </si>
  <si>
    <t>TraesCS1D01G057000</t>
  </si>
  <si>
    <t>TraesCS1D01G063500</t>
  </si>
  <si>
    <t>TraesCS1D01G063600</t>
  </si>
  <si>
    <t>TraesCS1D01G063700</t>
  </si>
  <si>
    <t>TraesCS1D01G063800</t>
  </si>
  <si>
    <t>TraesCS1D01G063900</t>
  </si>
  <si>
    <t>TraesCS1D01G065000</t>
  </si>
  <si>
    <t>TraesCS1D01G065100</t>
  </si>
  <si>
    <t>TraesCS1D01G065200</t>
  </si>
  <si>
    <t>TraesCS1D01G071800</t>
  </si>
  <si>
    <t>TraesCS1D01G074700</t>
  </si>
  <si>
    <t>TraesCS1D01G074800</t>
  </si>
  <si>
    <t>TraesCS1D01G075100</t>
  </si>
  <si>
    <t>TraesCS1D01G095900</t>
  </si>
  <si>
    <t>TraesCS1D01G102700</t>
  </si>
  <si>
    <t>TraesCS1D01G103200</t>
  </si>
  <si>
    <t>TraesCS1D01G107600</t>
  </si>
  <si>
    <t>TraesCS1D01G107800</t>
  </si>
  <si>
    <t>TraesCS1D01G108000</t>
  </si>
  <si>
    <t>TraesCS1D01G114500</t>
  </si>
  <si>
    <t>TraesCS1D01G116300</t>
  </si>
  <si>
    <t>TraesCS1D01G149700</t>
  </si>
  <si>
    <t>TraesCS1D01G197300</t>
  </si>
  <si>
    <t>TraesCS1D01G204500</t>
  </si>
  <si>
    <t>TraesCS1D01G206700</t>
  </si>
  <si>
    <t>TraesCS1D01G218400</t>
  </si>
  <si>
    <t>TraesCS1D01G221200</t>
  </si>
  <si>
    <t>TraesCS1D01G232500</t>
  </si>
  <si>
    <t>TraesCS1D01G233500</t>
  </si>
  <si>
    <t>TraesCS1D01G234400</t>
  </si>
  <si>
    <t>TraesCS1D01G236400</t>
  </si>
  <si>
    <t>TraesCS1D01G237400</t>
  </si>
  <si>
    <t>TraesCS1D01G238300</t>
  </si>
  <si>
    <t>TraesCS1D01G243600</t>
  </si>
  <si>
    <t>TraesCS1D01G250200</t>
  </si>
  <si>
    <t>TraesCS1D01G252700</t>
  </si>
  <si>
    <t>TraesCS1D01G252900</t>
  </si>
  <si>
    <t>TraesCS1D01G261500</t>
  </si>
  <si>
    <t>TraesCS1D01G267900</t>
  </si>
  <si>
    <t>TraesCS1D01G268000</t>
  </si>
  <si>
    <t>TraesCS1D01G268200</t>
  </si>
  <si>
    <t>TraesCS1D01G282700</t>
  </si>
  <si>
    <t>TraesCS1D01G284000</t>
  </si>
  <si>
    <t>TraesCS1D01G291800</t>
  </si>
  <si>
    <t>TraesCS1D01G303900</t>
  </si>
  <si>
    <t>TraesCS1D01G304000</t>
  </si>
  <si>
    <t>TraesCS1D01G304600</t>
  </si>
  <si>
    <t>TraesCS1D01G305700</t>
  </si>
  <si>
    <t>TraesCS1D01G306900</t>
  </si>
  <si>
    <t>TraesCS1D01G307000</t>
  </si>
  <si>
    <t>TraesCS1D01G309300</t>
  </si>
  <si>
    <t>TraesCS1D01G317100</t>
  </si>
  <si>
    <t>TraesCS1D01G337400</t>
  </si>
  <si>
    <t>TraesCS1D01G343700</t>
  </si>
  <si>
    <t>TraesCS1D01G350900</t>
  </si>
  <si>
    <t>TraesCS1D01G351000</t>
  </si>
  <si>
    <t>TraesCS1D01G351200</t>
  </si>
  <si>
    <t>TraesCS1D01G357700</t>
  </si>
  <si>
    <t>TraesCS1D01G362000</t>
  </si>
  <si>
    <t>TraesCS1D01G367300</t>
  </si>
  <si>
    <t>TraesCS1D01G376300</t>
  </si>
  <si>
    <t>TraesCS1D01G382300</t>
  </si>
  <si>
    <t>TraesCS1D01G389400</t>
  </si>
  <si>
    <t>TraesCS1D01G390300</t>
  </si>
  <si>
    <t>TraesCS1D01G390400</t>
  </si>
  <si>
    <t>TraesCS1D01G393800</t>
  </si>
  <si>
    <t>TraesCS1D01G394200</t>
  </si>
  <si>
    <t>TraesCS1D01G394800</t>
  </si>
  <si>
    <t>TraesCS1D01G395300</t>
  </si>
  <si>
    <t>TraesCS1D01G395400</t>
  </si>
  <si>
    <t>TraesCS1D01G405700</t>
  </si>
  <si>
    <t>TraesCS1D01G405800</t>
  </si>
  <si>
    <t>TraesCS1D01G408900</t>
  </si>
  <si>
    <t>TraesCS1D01G413000</t>
  </si>
  <si>
    <t>TraesCS1D01G415200</t>
  </si>
  <si>
    <t>TraesCS1D01G421200</t>
  </si>
  <si>
    <t>TraesCS1D01G436000</t>
  </si>
  <si>
    <t>TraesCS1D01G436400</t>
  </si>
  <si>
    <t>TraesCS1D01G438300</t>
  </si>
  <si>
    <t>TraesCS1D01G442200</t>
  </si>
  <si>
    <t>TraesCS1D01G443800</t>
  </si>
  <si>
    <t>TraesCS1D01G453200</t>
  </si>
  <si>
    <t>TraesCS1D01G453400</t>
  </si>
  <si>
    <t>TraesCS2A01G002200</t>
  </si>
  <si>
    <t>TraesCS2A01G004400</t>
  </si>
  <si>
    <t>TraesCS2A01G010600</t>
  </si>
  <si>
    <t>TraesCS2A01G012700</t>
  </si>
  <si>
    <t>TraesCS2A01G013100</t>
  </si>
  <si>
    <t>TraesCS2A01G027100</t>
  </si>
  <si>
    <t>TraesCS2A01G039900</t>
  </si>
  <si>
    <t>TraesCS2A01G041400</t>
  </si>
  <si>
    <t>TraesCS2A01G059600</t>
  </si>
  <si>
    <t>TraesCS2A01G060500</t>
  </si>
  <si>
    <t>TraesCS2A01G061600</t>
  </si>
  <si>
    <t>TraesCS2A01G063000</t>
  </si>
  <si>
    <t>TraesCS2A01G072100</t>
  </si>
  <si>
    <t>TraesCS2A01G073600</t>
  </si>
  <si>
    <t>TraesCS2A01G073800</t>
  </si>
  <si>
    <t>TraesCS2A01G076000</t>
  </si>
  <si>
    <t>TraesCS2A01G077500</t>
  </si>
  <si>
    <t>TraesCS2A01G081200</t>
  </si>
  <si>
    <t>TraesCS2A01G092500</t>
  </si>
  <si>
    <t>TraesCS2A01G094900</t>
  </si>
  <si>
    <t>TraesCS2A01G095700</t>
  </si>
  <si>
    <t>TraesCS2A01G099500</t>
  </si>
  <si>
    <t>TraesCS2A01G100100</t>
  </si>
  <si>
    <t>TraesCS2A01G101000</t>
  </si>
  <si>
    <t>TraesCS2A01G101100</t>
  </si>
  <si>
    <t>TraesCS2A01G101200</t>
  </si>
  <si>
    <t>TraesCS2A01G105800</t>
  </si>
  <si>
    <t>TraesCS2A01G114900</t>
  </si>
  <si>
    <t>TraesCS2A01G115800</t>
  </si>
  <si>
    <t>TraesCS2A01G121300</t>
  </si>
  <si>
    <t>TraesCS2A01G121600</t>
  </si>
  <si>
    <t>TraesCS2A01G128600</t>
  </si>
  <si>
    <t>TraesCS2A01G134300</t>
  </si>
  <si>
    <t>TraesCS2A01G135500</t>
  </si>
  <si>
    <t>TraesCS2A01G145000</t>
  </si>
  <si>
    <t>TraesCS2A01G164400</t>
  </si>
  <si>
    <t>TraesCS2A01G164500</t>
  </si>
  <si>
    <t>TraesCS2A01G164800</t>
  </si>
  <si>
    <t>TraesCS2A01G175100</t>
  </si>
  <si>
    <t>TraesCS2A01G175700</t>
  </si>
  <si>
    <t>TraesCS2A01G213300</t>
  </si>
  <si>
    <t>TraesCS2A01G215500</t>
  </si>
  <si>
    <t>TraesCS2A01G229100</t>
  </si>
  <si>
    <t>TraesCS2A01G230400</t>
  </si>
  <si>
    <t>TraesCS2A01G268400</t>
  </si>
  <si>
    <t>TraesCS2A01G300500</t>
  </si>
  <si>
    <t>TraesCS2A01G313100</t>
  </si>
  <si>
    <t>TraesCS2A01G319400</t>
  </si>
  <si>
    <t>TraesCS2A01G324100</t>
  </si>
  <si>
    <t>TraesCS2A01G325900</t>
  </si>
  <si>
    <t>TraesCS2A01G326600</t>
  </si>
  <si>
    <t>TraesCS2A01G334000</t>
  </si>
  <si>
    <t>TraesCS2A01G341300</t>
  </si>
  <si>
    <t>TraesCS2A01G344100</t>
  </si>
  <si>
    <t>TraesCS2A01G352100</t>
  </si>
  <si>
    <t>TraesCS2A01G370300</t>
  </si>
  <si>
    <t>TraesCS2A01G370700</t>
  </si>
  <si>
    <t>TraesCS2A01G377600</t>
  </si>
  <si>
    <t>TraesCS2A01G378400</t>
  </si>
  <si>
    <t>TraesCS2A01G387100</t>
  </si>
  <si>
    <t>TraesCS2A01G388000</t>
  </si>
  <si>
    <t>TraesCS2A01G388600</t>
  </si>
  <si>
    <t>TraesCS2A01G396000</t>
  </si>
  <si>
    <t>TraesCS2A01G399100</t>
  </si>
  <si>
    <t>TraesCS2A01G401200</t>
  </si>
  <si>
    <t>TraesCS2A01G405300</t>
  </si>
  <si>
    <t>TraesCS2A01G411900</t>
  </si>
  <si>
    <t>TraesCS2A01G415000</t>
  </si>
  <si>
    <t>TraesCS2A01G415300</t>
  </si>
  <si>
    <t>TraesCS2A01G428600</t>
  </si>
  <si>
    <t>TraesCS2A01G428800</t>
  </si>
  <si>
    <t>TraesCS2A01G438800</t>
  </si>
  <si>
    <t>TraesCS2A01G452800</t>
  </si>
  <si>
    <t>TraesCS2A01G453000</t>
  </si>
  <si>
    <t>TraesCS2A01G465500</t>
  </si>
  <si>
    <t>TraesCS2A01G468200</t>
  </si>
  <si>
    <t>TraesCS2A01G468500</t>
  </si>
  <si>
    <t>TraesCS2A01G483600</t>
  </si>
  <si>
    <t>TraesCS2A01G485800</t>
  </si>
  <si>
    <t>TraesCS2A01G517800</t>
  </si>
  <si>
    <t>TraesCS2A01G530900</t>
  </si>
  <si>
    <t>TraesCS2A01G548600</t>
  </si>
  <si>
    <t>TraesCS2A01G549500</t>
  </si>
  <si>
    <t>TraesCS2A01G554300</t>
  </si>
  <si>
    <t>TraesCS2A01G567500</t>
  </si>
  <si>
    <t>TraesCS2A01G575600</t>
  </si>
  <si>
    <t>TraesCS2A01G575900</t>
  </si>
  <si>
    <t>TraesCS2A01G576000</t>
  </si>
  <si>
    <t>TraesCS2A01G576100</t>
  </si>
  <si>
    <t>TraesCS2A01G578500</t>
  </si>
  <si>
    <t>TraesCS2A01G579000</t>
  </si>
  <si>
    <t>TraesCS2A01G579700</t>
  </si>
  <si>
    <t>TraesCS2A01G588400</t>
  </si>
  <si>
    <t>TraesCS2A01G588800</t>
  </si>
  <si>
    <t>TraesCS2A01G589000</t>
  </si>
  <si>
    <t>TraesCS2A01G590600</t>
  </si>
  <si>
    <t>TraesCS2B01G004200</t>
  </si>
  <si>
    <t>TraesCS2B01G004600</t>
  </si>
  <si>
    <t>TraesCS2B01G005200</t>
  </si>
  <si>
    <t>TraesCS2B01G012700</t>
  </si>
  <si>
    <t>TraesCS2B01G020900</t>
  </si>
  <si>
    <t>TraesCS2B01G034400</t>
  </si>
  <si>
    <t>TraesCS2B01G040400</t>
  </si>
  <si>
    <t>TraesCS2B01G050300</t>
  </si>
  <si>
    <t>TraesCS2B01G052800</t>
  </si>
  <si>
    <t>TraesCS2B01G063800</t>
  </si>
  <si>
    <t>TraesCS2B01G064000</t>
  </si>
  <si>
    <t>TraesCS2B01G066900</t>
  </si>
  <si>
    <t>TraesCS2B01G069700</t>
  </si>
  <si>
    <t>TraesCS2B01G075000</t>
  </si>
  <si>
    <t>TraesCS2B01G075300</t>
  </si>
  <si>
    <t>TraesCS2B01G087000</t>
  </si>
  <si>
    <t>TraesCS2B01G087100</t>
  </si>
  <si>
    <t>TraesCS2B01G090800</t>
  </si>
  <si>
    <t>TraesCS2B01G095100</t>
  </si>
  <si>
    <t>TraesCS2B01G095700</t>
  </si>
  <si>
    <t>TraesCS2B01G095800</t>
  </si>
  <si>
    <t>TraesCS2B01G098400</t>
  </si>
  <si>
    <t>TraesCS2B01G100500</t>
  </si>
  <si>
    <t>TraesCS2B01G110100</t>
  </si>
  <si>
    <t>TraesCS2B01G114300</t>
  </si>
  <si>
    <t>TraesCS2B01G116200</t>
  </si>
  <si>
    <t>TraesCS2B01G116300</t>
  </si>
  <si>
    <t>TraesCS2B01G116400</t>
  </si>
  <si>
    <t>TraesCS2B01G116600</t>
  </si>
  <si>
    <t>TraesCS2B01G117100</t>
  </si>
  <si>
    <t>TraesCS2B01G118200</t>
  </si>
  <si>
    <t>TraesCS2B01G118700</t>
  </si>
  <si>
    <t>TraesCS2B01G120200</t>
  </si>
  <si>
    <t>TraesCS2B01G122800</t>
  </si>
  <si>
    <t>TraesCS2B01G127400</t>
  </si>
  <si>
    <t>TraesCS2B01G130500</t>
  </si>
  <si>
    <t>TraesCS2B01G131100</t>
  </si>
  <si>
    <t>TraesCS2B01G134100</t>
  </si>
  <si>
    <t>TraesCS2B01G135400</t>
  </si>
  <si>
    <t>TraesCS2B01G137200</t>
  </si>
  <si>
    <t>TraesCS2B01G142300</t>
  </si>
  <si>
    <t>TraesCS2B01G143600</t>
  </si>
  <si>
    <t>TraesCS2B01G150700</t>
  </si>
  <si>
    <t>TraesCS2B01G159300</t>
  </si>
  <si>
    <t>TraesCS2B01G159400</t>
  </si>
  <si>
    <t>TraesCS2B01G169900</t>
  </si>
  <si>
    <t>TraesCS2B01G184600</t>
  </si>
  <si>
    <t>TraesCS2B01G190300</t>
  </si>
  <si>
    <t>TraesCS2B01G193400</t>
  </si>
  <si>
    <t>TraesCS2B01G201500</t>
  </si>
  <si>
    <t>TraesCS2B01G238100</t>
  </si>
  <si>
    <t>TraesCS2B01G240500</t>
  </si>
  <si>
    <t>TraesCS2B01G299200</t>
  </si>
  <si>
    <t>TraesCS2B01G311100</t>
  </si>
  <si>
    <t>TraesCS2B01G316700</t>
  </si>
  <si>
    <t>TraesCS2B01G327300</t>
  </si>
  <si>
    <t>TraesCS2B01G330200</t>
  </si>
  <si>
    <t>TraesCS2B01G337600</t>
  </si>
  <si>
    <t>TraesCS2B01G340600</t>
  </si>
  <si>
    <t>TraesCS2B01G341300</t>
  </si>
  <si>
    <t>TraesCS2B01G341600</t>
  </si>
  <si>
    <t>TraesCS2B01G344500</t>
  </si>
  <si>
    <t>TraesCS2B01G347200</t>
  </si>
  <si>
    <t>TraesCS2B01G355300</t>
  </si>
  <si>
    <t>TraesCS2B01G362500</t>
  </si>
  <si>
    <t>TraesCS2B01G367200</t>
  </si>
  <si>
    <t>TraesCS2B01G392500</t>
  </si>
  <si>
    <t>TraesCS2B01G395400</t>
  </si>
  <si>
    <t>TraesCS2B01G404000</t>
  </si>
  <si>
    <t>TraesCS2B01G404700</t>
  </si>
  <si>
    <t>TraesCS2B01G405900</t>
  </si>
  <si>
    <t>TraesCS2B01G411600</t>
  </si>
  <si>
    <t>TraesCS2B01G414300</t>
  </si>
  <si>
    <t>TraesCS2B01G423200</t>
  </si>
  <si>
    <t>TraesCS2B01G423300</t>
  </si>
  <si>
    <t>TraesCS2B01G423400</t>
  </si>
  <si>
    <t>TraesCS2B01G425400</t>
  </si>
  <si>
    <t>TraesCS2B01G430500</t>
  </si>
  <si>
    <t>TraesCS2B01G434300</t>
  </si>
  <si>
    <t>TraesCS2B01G438200</t>
  </si>
  <si>
    <t>TraesCS2B01G449300</t>
  </si>
  <si>
    <t>TraesCS2B01G456900</t>
  </si>
  <si>
    <t>TraesCS2B01G458600</t>
  </si>
  <si>
    <t>TraesCS2B01G469900</t>
  </si>
  <si>
    <t>TraesCS2B01G474200</t>
  </si>
  <si>
    <t>TraesCS2B01G474300</t>
  </si>
  <si>
    <t>TraesCS2B01G474400</t>
  </si>
  <si>
    <t>TraesCS2B01G484400</t>
  </si>
  <si>
    <t>TraesCS2B01G487000</t>
  </si>
  <si>
    <t>TraesCS2B01G487100</t>
  </si>
  <si>
    <t>TraesCS2B01G491100</t>
  </si>
  <si>
    <t>TraesCS2B01G491400</t>
  </si>
  <si>
    <t>TraesCS2B01G501700</t>
  </si>
  <si>
    <t>TraesCS2B01G501800</t>
  </si>
  <si>
    <t>TraesCS2B01G502800</t>
  </si>
  <si>
    <t>TraesCS2B01G504500</t>
  </si>
  <si>
    <t>TraesCS2B01G508400</t>
  </si>
  <si>
    <t>TraesCS2B01G512500</t>
  </si>
  <si>
    <t>TraesCS2B01G529400</t>
  </si>
  <si>
    <t>TraesCS2B01G530800</t>
  </si>
  <si>
    <t>TraesCS2B01G533300</t>
  </si>
  <si>
    <t>TraesCS2B01G537400</t>
  </si>
  <si>
    <t>TraesCS2B01G546400</t>
  </si>
  <si>
    <t>TraesCS2B01G547900</t>
  </si>
  <si>
    <t>TraesCS2B01G557500</t>
  </si>
  <si>
    <t>TraesCS2B01G560100</t>
  </si>
  <si>
    <t>TraesCS2B01G564300</t>
  </si>
  <si>
    <t>TraesCS2B01G570800</t>
  </si>
  <si>
    <t>TraesCS2B01G578600</t>
  </si>
  <si>
    <t>TraesCS2B01G579900</t>
  </si>
  <si>
    <t>TraesCS2B01G580100</t>
  </si>
  <si>
    <t>TraesCS2B01G586300</t>
  </si>
  <si>
    <t>TraesCS2B01G588000</t>
  </si>
  <si>
    <t>TraesCS2B01G589200</t>
  </si>
  <si>
    <t>TraesCS2B01G589800</t>
  </si>
  <si>
    <t>TraesCS2B01G594800</t>
  </si>
  <si>
    <t>TraesCS2B01G605400</t>
  </si>
  <si>
    <t>TraesCS2B01G609300</t>
  </si>
  <si>
    <t>TraesCS2B01G611200</t>
  </si>
  <si>
    <t>TraesCS2B01G611300</t>
  </si>
  <si>
    <t>TraesCS2B01G617700</t>
  </si>
  <si>
    <t>TraesCS2B01G629100</t>
  </si>
  <si>
    <t>TraesCS2D01G003000</t>
  </si>
  <si>
    <t>TraesCS2D01G004400</t>
  </si>
  <si>
    <t>TraesCS2D01G010000</t>
  </si>
  <si>
    <t>TraesCS2D01G011200</t>
  </si>
  <si>
    <t>TraesCS2D01G012400</t>
  </si>
  <si>
    <t>TraesCS2D01G013500</t>
  </si>
  <si>
    <t>TraesCS2D01G014500</t>
  </si>
  <si>
    <t>TraesCS2D01G025200</t>
  </si>
  <si>
    <t>TraesCS2D01G038500</t>
  </si>
  <si>
    <t>TraesCS2D01G050500</t>
  </si>
  <si>
    <t>TraesCS2D01G052400</t>
  </si>
  <si>
    <t>TraesCS2D01G052500</t>
  </si>
  <si>
    <t>TraesCS2D01G052700</t>
  </si>
  <si>
    <t>TraesCS2D01G070200</t>
  </si>
  <si>
    <t>TraesCS2D01G070900</t>
  </si>
  <si>
    <t>TraesCS2D01G071000</t>
  </si>
  <si>
    <t>TraesCS2D01G074500</t>
  </si>
  <si>
    <t>TraesCS2D01G074700</t>
  </si>
  <si>
    <t>TraesCS2D01G076100</t>
  </si>
  <si>
    <t>TraesCS2D01G078800</t>
  </si>
  <si>
    <t>TraesCS2D01G081700</t>
  </si>
  <si>
    <t>TraesCS2D01G082100</t>
  </si>
  <si>
    <t>TraesCS2D01G089400</t>
  </si>
  <si>
    <t>TraesCS2D01G091500</t>
  </si>
  <si>
    <t>TraesCS2D01G091900</t>
  </si>
  <si>
    <t>TraesCS2D01G092100</t>
  </si>
  <si>
    <t>TraesCS2D01G092900</t>
  </si>
  <si>
    <t>TraesCS2D01G094200</t>
  </si>
  <si>
    <t>TraesCS2D01G098900</t>
  </si>
  <si>
    <t>TraesCS2D01G099000</t>
  </si>
  <si>
    <t>TraesCS2D01G099200</t>
  </si>
  <si>
    <t>TraesCS2D01G099600</t>
  </si>
  <si>
    <t>TraesCS2D01G100600</t>
  </si>
  <si>
    <t>TraesCS2D01G100800</t>
  </si>
  <si>
    <t>TraesCS2D01G102900</t>
  </si>
  <si>
    <t>TraesCS2D01G109600</t>
  </si>
  <si>
    <t>TraesCS2D01G112800</t>
  </si>
  <si>
    <t>TraesCS2D01G119400</t>
  </si>
  <si>
    <t>TraesCS2D01G124100</t>
  </si>
  <si>
    <t>TraesCS2D01G137900</t>
  </si>
  <si>
    <t>TraesCS2D01G148800</t>
  </si>
  <si>
    <t>TraesCS2D01G166100</t>
  </si>
  <si>
    <t>TraesCS2D01G171400</t>
  </si>
  <si>
    <t>TraesCS2D01G172300</t>
  </si>
  <si>
    <t>TraesCS2D01G172900</t>
  </si>
  <si>
    <t>TraesCS2D01G177900</t>
  </si>
  <si>
    <t>TraesCS2D01G182500</t>
  </si>
  <si>
    <t>TraesCS2D01G183000</t>
  </si>
  <si>
    <t>TraesCS2D01G184400</t>
  </si>
  <si>
    <t>TraesCS2D01G188600</t>
  </si>
  <si>
    <t>TraesCS2D01G190100</t>
  </si>
  <si>
    <t>TraesCS2D01G192300</t>
  </si>
  <si>
    <t>TraesCS2D01G219100</t>
  </si>
  <si>
    <t>TraesCS2D01G221100</t>
  </si>
  <si>
    <t>TraesCS2D01G234000</t>
  </si>
  <si>
    <t>TraesCS2D01G263100</t>
  </si>
  <si>
    <t>TraesCS2D01G307100</t>
  </si>
  <si>
    <t>TraesCS2D01G311600</t>
  </si>
  <si>
    <t>TraesCS2D01G317100</t>
  </si>
  <si>
    <t>TraesCS2D01G318900</t>
  </si>
  <si>
    <t>TraesCS2D01G320600</t>
  </si>
  <si>
    <t>TraesCS2D01G322400</t>
  </si>
  <si>
    <t>TraesCS2D01G327800</t>
  </si>
  <si>
    <t>TraesCS2D01G328200</t>
  </si>
  <si>
    <t>TraesCS2D01G335300</t>
  </si>
  <si>
    <t>TraesCS2D01G336300</t>
  </si>
  <si>
    <t>TraesCS2D01G341200</t>
  </si>
  <si>
    <t>TraesCS2D01G373700</t>
  </si>
  <si>
    <t>TraesCS2D01G374000</t>
  </si>
  <si>
    <t>TraesCS2D01G383300</t>
  </si>
  <si>
    <t>TraesCS2D01G383900</t>
  </si>
  <si>
    <t>TraesCS2D01G386400</t>
  </si>
  <si>
    <t>TraesCS2D01G396600</t>
  </si>
  <si>
    <t>TraesCS2D01G402100</t>
  </si>
  <si>
    <t>TraesCS2D01G402300</t>
  </si>
  <si>
    <t>TraesCS2D01G402700</t>
  </si>
  <si>
    <t>TraesCS2D01G409700</t>
  </si>
  <si>
    <t>TraesCS2D01G414900</t>
  </si>
  <si>
    <t>TraesCS2D01G417700</t>
  </si>
  <si>
    <t>TraesCS2D01G426700</t>
  </si>
  <si>
    <t>TraesCS2D01G430100</t>
  </si>
  <si>
    <t>TraesCS2D01G452500</t>
  </si>
  <si>
    <t>TraesCS2D01G452600</t>
  </si>
  <si>
    <t>TraesCS2D01G463300</t>
  </si>
  <si>
    <t>TraesCS2D01G465900</t>
  </si>
  <si>
    <t>TraesCS2D01G478900</t>
  </si>
  <si>
    <t>TraesCS2D01G480800</t>
  </si>
  <si>
    <t>TraesCS2D01G485800</t>
  </si>
  <si>
    <t>TraesCS2D01G505700</t>
  </si>
  <si>
    <t>TraesCS2D01G510800</t>
  </si>
  <si>
    <t>TraesCS2D01G526000</t>
  </si>
  <si>
    <t>TraesCS2D01G532800</t>
  </si>
  <si>
    <t>TraesCS2D01G550200</t>
  </si>
  <si>
    <t>TraesCS2D01G550400</t>
  </si>
  <si>
    <t>TraesCS2D01G550500</t>
  </si>
  <si>
    <t>TraesCS2D01G560000</t>
  </si>
  <si>
    <t>TraesCS2D01G567700</t>
  </si>
  <si>
    <t>TraesCS2D01G577200</t>
  </si>
  <si>
    <t>TraesCS2D01G578000</t>
  </si>
  <si>
    <t>TraesCS2D01G586300</t>
  </si>
  <si>
    <t>TraesCS2D01G586800</t>
  </si>
  <si>
    <t>TraesCS2D01G589700</t>
  </si>
  <si>
    <t>TraesCS2D01G601800</t>
  </si>
  <si>
    <t>TraesCS3A01G003700</t>
  </si>
  <si>
    <t>TraesCS3A01G005600</t>
  </si>
  <si>
    <t>TraesCS3A01G005800</t>
  </si>
  <si>
    <t>TraesCS3A01G006000</t>
  </si>
  <si>
    <t>TraesCS3A01G028000</t>
  </si>
  <si>
    <t>TraesCS3A01G045100</t>
  </si>
  <si>
    <t>TraesCS3A01G048300</t>
  </si>
  <si>
    <t>TraesCS3A01G050400</t>
  </si>
  <si>
    <t>TraesCS3A01G052900</t>
  </si>
  <si>
    <t>TraesCS3A01G054300</t>
  </si>
  <si>
    <t>TraesCS3A01G061500</t>
  </si>
  <si>
    <t>TraesCS3A01G066100</t>
  </si>
  <si>
    <t>TraesCS3A01G066200</t>
  </si>
  <si>
    <t>TraesCS3A01G066300</t>
  </si>
  <si>
    <t>TraesCS3A01G066400</t>
  </si>
  <si>
    <t>TraesCS3A01G066500</t>
  </si>
  <si>
    <t>TraesCS3A01G081000</t>
  </si>
  <si>
    <t>TraesCS3A01G083900</t>
  </si>
  <si>
    <t>TraesCS3A01G085800</t>
  </si>
  <si>
    <t>TraesCS3A01G092600</t>
  </si>
  <si>
    <t>TraesCS3A01G108600</t>
  </si>
  <si>
    <t>TraesCS3A01G115000</t>
  </si>
  <si>
    <t>TraesCS3A01G116500</t>
  </si>
  <si>
    <t>TraesCS3A01G116800</t>
  </si>
  <si>
    <t>TraesCS3A01G121900</t>
  </si>
  <si>
    <t>TraesCS3A01G123800</t>
  </si>
  <si>
    <t>TraesCS3A01G136300</t>
  </si>
  <si>
    <t>TraesCS3A01G137900</t>
  </si>
  <si>
    <t>TraesCS3A01G141800</t>
  </si>
  <si>
    <t>TraesCS3A01G143000</t>
  </si>
  <si>
    <t>TraesCS3A01G144400</t>
  </si>
  <si>
    <t>TraesCS3A01G149000</t>
  </si>
  <si>
    <t>TraesCS3A01G152700</t>
  </si>
  <si>
    <t>TraesCS3A01G153700</t>
  </si>
  <si>
    <t>TraesCS3A01G160200</t>
  </si>
  <si>
    <t>TraesCS3A01G167100</t>
  </si>
  <si>
    <t>TraesCS3A01G168100</t>
  </si>
  <si>
    <t>TraesCS3A01G169800</t>
  </si>
  <si>
    <t>TraesCS3A01G171000</t>
  </si>
  <si>
    <t>TraesCS3A01G182400</t>
  </si>
  <si>
    <t>TraesCS3A01G225200</t>
  </si>
  <si>
    <t>TraesCS3A01G234100</t>
  </si>
  <si>
    <t>TraesCS3A01G234600</t>
  </si>
  <si>
    <t>TraesCS3A01G235100</t>
  </si>
  <si>
    <t>TraesCS3A01G242700</t>
  </si>
  <si>
    <t>TraesCS3A01G251200</t>
  </si>
  <si>
    <t>TraesCS3A01G288500</t>
  </si>
  <si>
    <t>TraesCS3A01G292400</t>
  </si>
  <si>
    <t>TraesCS3A01G304500</t>
  </si>
  <si>
    <t>TraesCS3A01G305300</t>
  </si>
  <si>
    <t>TraesCS3A01G308800</t>
  </si>
  <si>
    <t>TraesCS3A01G325800</t>
  </si>
  <si>
    <t>TraesCS3A01G329900</t>
  </si>
  <si>
    <t>TraesCS3A01G353900</t>
  </si>
  <si>
    <t>TraesCS3A01G357600</t>
  </si>
  <si>
    <t>TraesCS3A01G358200</t>
  </si>
  <si>
    <t>TraesCS3A01G358400</t>
  </si>
  <si>
    <t>TraesCS3A01G368700</t>
  </si>
  <si>
    <t>TraesCS3A01G371800</t>
  </si>
  <si>
    <t>TraesCS3A01G371900</t>
  </si>
  <si>
    <t>TraesCS3A01G372000</t>
  </si>
  <si>
    <t>TraesCS3A01G372100</t>
  </si>
  <si>
    <t>TraesCS3A01G372200</t>
  </si>
  <si>
    <t>TraesCS3A01G374400</t>
  </si>
  <si>
    <t>TraesCS3A01G377200</t>
  </si>
  <si>
    <t>TraesCS3A01G384600</t>
  </si>
  <si>
    <t>TraesCS3A01G385500</t>
  </si>
  <si>
    <t>TraesCS3A01G388000</t>
  </si>
  <si>
    <t>TraesCS3A01G417300</t>
  </si>
  <si>
    <t>TraesCS3A01G425700</t>
  </si>
  <si>
    <t>TraesCS3A01G426100</t>
  </si>
  <si>
    <t>TraesCS3A01G441800</t>
  </si>
  <si>
    <t>TraesCS3A01G442200</t>
  </si>
  <si>
    <t>TraesCS3A01G442400</t>
  </si>
  <si>
    <t>TraesCS3A01G442500</t>
  </si>
  <si>
    <t>TraesCS3A01G445500</t>
  </si>
  <si>
    <t>TraesCS3A01G451300</t>
  </si>
  <si>
    <t>TraesCS3A01G451400</t>
  </si>
  <si>
    <t>TraesCS3A01G451500</t>
  </si>
  <si>
    <t>TraesCS3A01G451600</t>
  </si>
  <si>
    <t>TraesCS3A01G451700</t>
  </si>
  <si>
    <t>TraesCS3A01G451800</t>
  </si>
  <si>
    <t>TraesCS3A01G451900</t>
  </si>
  <si>
    <t>TraesCS3A01G454700</t>
  </si>
  <si>
    <t>TraesCS3A01G454800</t>
  </si>
  <si>
    <t>TraesCS3A01G473600</t>
  </si>
  <si>
    <t>TraesCS3A01G473800</t>
  </si>
  <si>
    <t>TraesCS3A01G479900</t>
  </si>
  <si>
    <t>TraesCS3A01G480900</t>
  </si>
  <si>
    <t>TraesCS3A01G483700</t>
  </si>
  <si>
    <t>TraesCS3A01G483800</t>
  </si>
  <si>
    <t>TraesCS3A01G490000</t>
  </si>
  <si>
    <t>TraesCS3A01G495000</t>
  </si>
  <si>
    <t>TraesCS3A01G495200</t>
  </si>
  <si>
    <t>TraesCS3A01G496600</t>
  </si>
  <si>
    <t>TraesCS3A01G497600</t>
  </si>
  <si>
    <t>TraesCS3A01G497900</t>
  </si>
  <si>
    <t>TraesCS3A01G498400</t>
  </si>
  <si>
    <t>TraesCS3A01G515500</t>
  </si>
  <si>
    <t>TraesCS3A01G515900</t>
  </si>
  <si>
    <t>TraesCS3A01G527300</t>
  </si>
  <si>
    <t>TraesCS3A01G529000</t>
  </si>
  <si>
    <t>TraesCS3A01G531500</t>
  </si>
  <si>
    <t>TraesCS3A01G534300</t>
  </si>
  <si>
    <t>TraesCS3A01G537200</t>
  </si>
  <si>
    <t>TraesCS3A01G537400</t>
  </si>
  <si>
    <t>TraesCS3A01G539500</t>
  </si>
  <si>
    <t>TraesCS3B01G008200</t>
  </si>
  <si>
    <t>TraesCS3B01G008800</t>
  </si>
  <si>
    <t>TraesCS3B01G008900</t>
  </si>
  <si>
    <t>TraesCS3B01G009700</t>
  </si>
  <si>
    <t>TraesCS3B01G014200</t>
  </si>
  <si>
    <t>TraesCS3B01G017600</t>
  </si>
  <si>
    <t>TraesCS3B01G018100</t>
  </si>
  <si>
    <t>TraesCS3B01G018200</t>
  </si>
  <si>
    <t>TraesCS3B01G030900</t>
  </si>
  <si>
    <t>TraesCS3B01G031000</t>
  </si>
  <si>
    <t>TraesCS3B01G034600</t>
  </si>
  <si>
    <t>TraesCS3B01G037600</t>
  </si>
  <si>
    <t>TraesCS3B01G047400</t>
  </si>
  <si>
    <t>TraesCS3B01G049000</t>
  </si>
  <si>
    <t>TraesCS3B01G059200</t>
  </si>
  <si>
    <t>TraesCS3B01G061900</t>
  </si>
  <si>
    <t>TraesCS3B01G065300</t>
  </si>
  <si>
    <t>TraesCS3B01G068600</t>
  </si>
  <si>
    <t>TraesCS3B01G071000</t>
  </si>
  <si>
    <t>TraesCS3B01G074100</t>
  </si>
  <si>
    <t>TraesCS3B01G074200</t>
  </si>
  <si>
    <t>TraesCS3B01G077600</t>
  </si>
  <si>
    <t>TraesCS3B01G090800</t>
  </si>
  <si>
    <t>TraesCS3B01G091800</t>
  </si>
  <si>
    <t>TraesCS3B01G095700</t>
  </si>
  <si>
    <t>TraesCS3B01G099000</t>
  </si>
  <si>
    <t>TraesCS3B01G100900</t>
  </si>
  <si>
    <t>TraesCS3B01G101100</t>
  </si>
  <si>
    <t>TraesCS3B01G102000</t>
  </si>
  <si>
    <t>TraesCS3B01G111200</t>
  </si>
  <si>
    <t>TraesCS3B01G131300</t>
  </si>
  <si>
    <t>TraesCS3B01G134400</t>
  </si>
  <si>
    <t>TraesCS3B01G134500</t>
  </si>
  <si>
    <t>TraesCS3B01G135600</t>
  </si>
  <si>
    <t>TraesCS3B01G138400</t>
  </si>
  <si>
    <t>TraesCS3B01G138800</t>
  </si>
  <si>
    <t>TraesCS3B01G139800</t>
  </si>
  <si>
    <t>TraesCS3B01G148500</t>
  </si>
  <si>
    <t>TraesCS3B01G151700</t>
  </si>
  <si>
    <t>TraesCS3B01G154200</t>
  </si>
  <si>
    <t>TraesCS3B01G155500</t>
  </si>
  <si>
    <t>TraesCS3B01G160700</t>
  </si>
  <si>
    <t>TraesCS3B01G161000</t>
  </si>
  <si>
    <t>TraesCS3B01G162100</t>
  </si>
  <si>
    <t>TraesCS3B01G170900</t>
  </si>
  <si>
    <t>TraesCS3B01G171000</t>
  </si>
  <si>
    <t>TraesCS3B01G176200</t>
  </si>
  <si>
    <t>TraesCS3B01G177900</t>
  </si>
  <si>
    <t>TraesCS3B01G180300</t>
  </si>
  <si>
    <t>TraesCS3B01G196600</t>
  </si>
  <si>
    <t>TraesCS3B01G199200</t>
  </si>
  <si>
    <t>TraesCS3B01G204800</t>
  </si>
  <si>
    <t>TraesCS3B01G206000</t>
  </si>
  <si>
    <t>TraesCS3B01G212400</t>
  </si>
  <si>
    <t>TraesCS3B01G243500</t>
  </si>
  <si>
    <t>TraesCS3B01G257900</t>
  </si>
  <si>
    <t>TraesCS3B01G265200</t>
  </si>
  <si>
    <t>TraesCS3B01G269100</t>
  </si>
  <si>
    <t>TraesCS3B01G277600</t>
  </si>
  <si>
    <t>TraesCS3B01G280700</t>
  </si>
  <si>
    <t>TraesCS3B01G319100</t>
  </si>
  <si>
    <t>TraesCS3B01G323300</t>
  </si>
  <si>
    <t>TraesCS3B01G331200</t>
  </si>
  <si>
    <t>TraesCS3B01G334000</t>
  </si>
  <si>
    <t>TraesCS3B01G354900</t>
  </si>
  <si>
    <t>TraesCS3B01G360000</t>
  </si>
  <si>
    <t>TraesCS3B01G390200</t>
  </si>
  <si>
    <t>TraesCS3B01G390300</t>
  </si>
  <si>
    <t>TraesCS3B01G391200</t>
  </si>
  <si>
    <t>TraesCS3B01G400200</t>
  </si>
  <si>
    <t>TraesCS3B01G400400</t>
  </si>
  <si>
    <t>TraesCS3B01G400500</t>
  </si>
  <si>
    <t>TraesCS3B01G404200</t>
  </si>
  <si>
    <t>TraesCS3B01G404400</t>
  </si>
  <si>
    <t>TraesCS3B01G416500</t>
  </si>
  <si>
    <t>TraesCS3B01G417500</t>
  </si>
  <si>
    <t>TraesCS3B01G420700</t>
  </si>
  <si>
    <t>TraesCS3B01G440500</t>
  </si>
  <si>
    <t>TraesCS3B01G447300</t>
  </si>
  <si>
    <t>TraesCS3B01G450100</t>
  </si>
  <si>
    <t>TraesCS3B01G452200</t>
  </si>
  <si>
    <t>TraesCS3B01G471500</t>
  </si>
  <si>
    <t>TraesCS3B01G475700</t>
  </si>
  <si>
    <t>TraesCS3B01G476200</t>
  </si>
  <si>
    <t>TraesCS3B01G476300</t>
  </si>
  <si>
    <t>TraesCS3B01G480100</t>
  </si>
  <si>
    <t>TraesCS3B01G484100</t>
  </si>
  <si>
    <t>TraesCS3B01G488700</t>
  </si>
  <si>
    <t>TraesCS3B01G493300</t>
  </si>
  <si>
    <t>TraesCS3B01G493400</t>
  </si>
  <si>
    <t>TraesCS3B01G493500</t>
  </si>
  <si>
    <t>TraesCS3B01G498700</t>
  </si>
  <si>
    <t>TraesCS3B01G515900</t>
  </si>
  <si>
    <t>TraesCS3B01G517000</t>
  </si>
  <si>
    <t>TraesCS3B01G521300</t>
  </si>
  <si>
    <t>TraesCS3B01G525400</t>
  </si>
  <si>
    <t>TraesCS3B01G530500</t>
  </si>
  <si>
    <t>TraesCS3B01G530600</t>
  </si>
  <si>
    <t>TraesCS3B01G531000</t>
  </si>
  <si>
    <t>TraesCS3B01G544300</t>
  </si>
  <si>
    <t>TraesCS3B01G548800</t>
  </si>
  <si>
    <t>TraesCS3B01G550600</t>
  </si>
  <si>
    <t>TraesCS3B01G557000</t>
  </si>
  <si>
    <t>TraesCS3B01G560400</t>
  </si>
  <si>
    <t>TraesCS3B01G560600</t>
  </si>
  <si>
    <t>TraesCS3B01G561000</t>
  </si>
  <si>
    <t>TraesCS3B01G568800</t>
  </si>
  <si>
    <t>TraesCS3B01G569500</t>
  </si>
  <si>
    <t>TraesCS3B01G569600</t>
  </si>
  <si>
    <t>TraesCS3B01G575100</t>
  </si>
  <si>
    <t>TraesCS3B01G576900</t>
  </si>
  <si>
    <t>TraesCS3B01G583500</t>
  </si>
  <si>
    <t>TraesCS3B01G583700</t>
  </si>
  <si>
    <t>TraesCS3B01G586500</t>
  </si>
  <si>
    <t>TraesCS3B01G594000</t>
  </si>
  <si>
    <t>TraesCS3B01G597300</t>
  </si>
  <si>
    <t>TraesCS3B01G598000</t>
  </si>
  <si>
    <t>TraesCS3B01G601900</t>
  </si>
  <si>
    <t>TraesCS3B01G602900</t>
  </si>
  <si>
    <t>TraesCS3B01G605300</t>
  </si>
  <si>
    <t>TraesCS3B01G607800</t>
  </si>
  <si>
    <t>TraesCS3B01G611300</t>
  </si>
  <si>
    <t>TraesCS3D01G004800</t>
  </si>
  <si>
    <t>TraesCS3D01G004900</t>
  </si>
  <si>
    <t>TraesCS3D01G005700</t>
  </si>
  <si>
    <t>TraesCS3D01G018000</t>
  </si>
  <si>
    <t>TraesCS3D01G025700</t>
  </si>
  <si>
    <t>TraesCS3D01G028300</t>
  </si>
  <si>
    <t>TraesCS3D01G031300</t>
  </si>
  <si>
    <t>TraesCS3D01G032600</t>
  </si>
  <si>
    <t>TraesCS3D01G034400</t>
  </si>
  <si>
    <t>TraesCS3D01G034600</t>
  </si>
  <si>
    <t>TraesCS3D01G035000</t>
  </si>
  <si>
    <t>TraesCS3D01G039200</t>
  </si>
  <si>
    <t>TraesCS3D01G049800</t>
  </si>
  <si>
    <t>TraesCS3D01G049900</t>
  </si>
  <si>
    <t>TraesCS3D01G055900</t>
  </si>
  <si>
    <t>TraesCS3D01G057100</t>
  </si>
  <si>
    <t>TraesCS3D01G057400</t>
  </si>
  <si>
    <t>TraesCS3D01G057500</t>
  </si>
  <si>
    <t>TraesCS3D01G059000</t>
  </si>
  <si>
    <t>TraesCS3D01G061300</t>
  </si>
  <si>
    <t>TraesCS3D01G061400</t>
  </si>
  <si>
    <t>TraesCS3D01G066800</t>
  </si>
  <si>
    <t>TraesCS3D01G075300</t>
  </si>
  <si>
    <t>TraesCS3D01G077500</t>
  </si>
  <si>
    <t>TraesCS3D01G080400</t>
  </si>
  <si>
    <t>TraesCS3D01G080900</t>
  </si>
  <si>
    <t>TraesCS3D01G085200</t>
  </si>
  <si>
    <t>TraesCS3D01G085900</t>
  </si>
  <si>
    <t>TraesCS3D01G092700</t>
  </si>
  <si>
    <t>TraesCS3D01G095700</t>
  </si>
  <si>
    <t>TraesCS3D01G096000</t>
  </si>
  <si>
    <t>TraesCS3D01G102800</t>
  </si>
  <si>
    <t>TraesCS3D01G104300</t>
  </si>
  <si>
    <t>TraesCS3D01G114500</t>
  </si>
  <si>
    <t>TraesCS3D01G117500</t>
  </si>
  <si>
    <t>TraesCS3D01G118400</t>
  </si>
  <si>
    <t>TraesCS3D01G122500</t>
  </si>
  <si>
    <t>TraesCS3D01G129300</t>
  </si>
  <si>
    <t>TraesCS3D01G133800</t>
  </si>
  <si>
    <t>TraesCS3D01G137100</t>
  </si>
  <si>
    <t>TraesCS3D01G138700</t>
  </si>
  <si>
    <t>TraesCS3D01G143600</t>
  </si>
  <si>
    <t>TraesCS3D01G144600</t>
  </si>
  <si>
    <t>TraesCS3D01G157100</t>
  </si>
  <si>
    <t>TraesCS3D01G160300</t>
  </si>
  <si>
    <t>TraesCS3D01G161100</t>
  </si>
  <si>
    <t>TraesCS3D01G170900</t>
  </si>
  <si>
    <t>TraesCS3D01G172000</t>
  </si>
  <si>
    <t>TraesCS3D01G180400</t>
  </si>
  <si>
    <t>TraesCS3D01G182000</t>
  </si>
  <si>
    <t>TraesCS3D01G185000</t>
  </si>
  <si>
    <t>TraesCS3D01G195200</t>
  </si>
  <si>
    <t>TraesCS3D01G228100</t>
  </si>
  <si>
    <t>TraesCS3D01G235900</t>
  </si>
  <si>
    <t>TraesCS3D01G241200</t>
  </si>
  <si>
    <t>TraesCS3D01G251600</t>
  </si>
  <si>
    <t>TraesCS3D01G285100</t>
  </si>
  <si>
    <t>TraesCS3D01G288300</t>
  </si>
  <si>
    <t>TraesCS3D01G296500</t>
  </si>
  <si>
    <t>TraesCS3D01G319200</t>
  </si>
  <si>
    <t>TraesCS3D01G323200</t>
  </si>
  <si>
    <t>TraesCS3D01G323300</t>
  </si>
  <si>
    <t>TraesCS3D01G342400</t>
  </si>
  <si>
    <t>TraesCS3D01G350500</t>
  </si>
  <si>
    <t>TraesCS3D01G350900</t>
  </si>
  <si>
    <t>TraesCS3D01G351500</t>
  </si>
  <si>
    <t>TraesCS3D01G352600</t>
  </si>
  <si>
    <t>TraesCS3D01G352700</t>
  </si>
  <si>
    <t>TraesCS3D01G361300</t>
  </si>
  <si>
    <t>TraesCS3D01G361600</t>
  </si>
  <si>
    <t>TraesCS3D01G361700</t>
  </si>
  <si>
    <t>TraesCS3D01G363700</t>
  </si>
  <si>
    <t>TraesCS3D01G364900</t>
  </si>
  <si>
    <t>TraesCS3D01G365000</t>
  </si>
  <si>
    <t>TraesCS3D01G369300</t>
  </si>
  <si>
    <t>TraesCS3D01G377500</t>
  </si>
  <si>
    <t>TraesCS3D01G381500</t>
  </si>
  <si>
    <t>TraesCS3D01G381600</t>
  </si>
  <si>
    <t>TraesCS3D01G412800</t>
  </si>
  <si>
    <t>TraesCS3D01G423700</t>
  </si>
  <si>
    <t>TraesCS3D01G429700</t>
  </si>
  <si>
    <t>TraesCS3D01G434600</t>
  </si>
  <si>
    <t>TraesCS3D01G434900</t>
  </si>
  <si>
    <t>TraesCS3D01G435100</t>
  </si>
  <si>
    <t>TraesCS3D01G438300</t>
  </si>
  <si>
    <t>TraesCS3D01G440900</t>
  </si>
  <si>
    <t>TraesCS3D01G443600</t>
  </si>
  <si>
    <t>TraesCS3D01G443800</t>
  </si>
  <si>
    <t>TraesCS3D01G444200</t>
  </si>
  <si>
    <t>TraesCS3D01G444300</t>
  </si>
  <si>
    <t>TraesCS3D01G447500</t>
  </si>
  <si>
    <t>TraesCS3D01G450700</t>
  </si>
  <si>
    <t>TraesCS3D01G451100</t>
  </si>
  <si>
    <t>TraesCS3D01G451200</t>
  </si>
  <si>
    <t>TraesCS3D01G452800</t>
  </si>
  <si>
    <t>TraesCS3D01G464400</t>
  </si>
  <si>
    <t>TraesCS3D01G475600</t>
  </si>
  <si>
    <t>TraesCS3D01G477900</t>
  </si>
  <si>
    <t>TraesCS3D01G478400</t>
  </si>
  <si>
    <t>TraesCS3D01G478800</t>
  </si>
  <si>
    <t>TraesCS3D01G478900</t>
  </si>
  <si>
    <t>TraesCS3D01G480500</t>
  </si>
  <si>
    <t>TraesCS3D01G492300</t>
  </si>
  <si>
    <t>TraesCS3D01G502000</t>
  </si>
  <si>
    <t>TraesCS3D01G502100</t>
  </si>
  <si>
    <t>TraesCS3D01G502300</t>
  </si>
  <si>
    <t>TraesCS3D01G505000</t>
  </si>
  <si>
    <t>TraesCS3D01G505200</t>
  </si>
  <si>
    <t>TraesCS3D01G511600</t>
  </si>
  <si>
    <t>TraesCS3D01G515900</t>
  </si>
  <si>
    <t>TraesCS3D01G523400</t>
  </si>
  <si>
    <t>TraesCS3D01G526300</t>
  </si>
  <si>
    <t>TraesCS3D01G526500</t>
  </si>
  <si>
    <t>TraesCS3D01G531800</t>
  </si>
  <si>
    <t>TraesCS3D01G532800</t>
  </si>
  <si>
    <t>TraesCS3D01G533400</t>
  </si>
  <si>
    <t>TraesCS3D01G534300</t>
  </si>
  <si>
    <t>TraesCS3D01G539700</t>
  </si>
  <si>
    <t>TraesCS3D01G541400</t>
  </si>
  <si>
    <t>TraesCS3D01G542900</t>
  </si>
  <si>
    <t>TraesCS4A01G001000</t>
  </si>
  <si>
    <t>TraesCS4A01G006100</t>
  </si>
  <si>
    <t>TraesCS4A01G007600</t>
  </si>
  <si>
    <t>TraesCS4A01G010500</t>
  </si>
  <si>
    <t>TraesCS4A01G011300</t>
  </si>
  <si>
    <t>TraesCS4A01G011400</t>
  </si>
  <si>
    <t>TraesCS4A01G011500</t>
  </si>
  <si>
    <t>TraesCS4A01G014300</t>
  </si>
  <si>
    <t>TraesCS4A01G014700</t>
  </si>
  <si>
    <t>TraesCS4A01G015700</t>
  </si>
  <si>
    <t>TraesCS4A01G021400</t>
  </si>
  <si>
    <t>TraesCS4A01G027100</t>
  </si>
  <si>
    <t>TraesCS4A01G027200</t>
  </si>
  <si>
    <t>TraesCS4A01G029900</t>
  </si>
  <si>
    <t>TraesCS4A01G033700</t>
  </si>
  <si>
    <t>TraesCS4A01G035600</t>
  </si>
  <si>
    <t>TraesCS4A01G039400</t>
  </si>
  <si>
    <t>TraesCS4A01G040300</t>
  </si>
  <si>
    <t>TraesCS4A01G043900</t>
  </si>
  <si>
    <t>TraesCS4A01G052000</t>
  </si>
  <si>
    <t>TraesCS4A01G052100</t>
  </si>
  <si>
    <t>TraesCS4A01G055200</t>
  </si>
  <si>
    <t>TraesCS4A01G058100</t>
  </si>
  <si>
    <t>TraesCS4A01G065900</t>
  </si>
  <si>
    <t>TraesCS4A01G073300</t>
  </si>
  <si>
    <t>TraesCS4A01G075100</t>
  </si>
  <si>
    <t>TraesCS4A01G083100</t>
  </si>
  <si>
    <t>TraesCS4A01G103400</t>
  </si>
  <si>
    <t>TraesCS4A01G112600</t>
  </si>
  <si>
    <t>TraesCS4A01G119400</t>
  </si>
  <si>
    <t>TraesCS4A01G119500</t>
  </si>
  <si>
    <t>TraesCS4A01G123800</t>
  </si>
  <si>
    <t>TraesCS4A01G127900</t>
  </si>
  <si>
    <t>TraesCS4A01G132800</t>
  </si>
  <si>
    <t>TraesCS4A01G139000</t>
  </si>
  <si>
    <t>TraesCS4A01G175100</t>
  </si>
  <si>
    <t>TraesCS4A01G175200</t>
  </si>
  <si>
    <t>TraesCS4A01G175300</t>
  </si>
  <si>
    <t>TraesCS4A01G194300</t>
  </si>
  <si>
    <t>TraesCS4A01G203500</t>
  </si>
  <si>
    <t>TraesCS4A01G205000</t>
  </si>
  <si>
    <t>TraesCS4A01G214200</t>
  </si>
  <si>
    <t>TraesCS4A01G217500</t>
  </si>
  <si>
    <t>TraesCS4A01G226200</t>
  </si>
  <si>
    <t>TraesCS4A01G231200</t>
  </si>
  <si>
    <t>TraesCS4A01G244600</t>
  </si>
  <si>
    <t>TraesCS4A01G245400</t>
  </si>
  <si>
    <t>TraesCS4A01G247900</t>
  </si>
  <si>
    <t>TraesCS4A01G248000</t>
  </si>
  <si>
    <t>TraesCS4A01G263300</t>
  </si>
  <si>
    <t>TraesCS4A01G287900</t>
  </si>
  <si>
    <t>TraesCS4A01G288000</t>
  </si>
  <si>
    <t>TraesCS4A01G300500</t>
  </si>
  <si>
    <t>TraesCS4A01G302300</t>
  </si>
  <si>
    <t>TraesCS4A01G302500</t>
  </si>
  <si>
    <t>TraesCS4A01G302700</t>
  </si>
  <si>
    <t>TraesCS4A01G303100</t>
  </si>
  <si>
    <t>TraesCS4A01G308500</t>
  </si>
  <si>
    <t>TraesCS4A01G318700</t>
  </si>
  <si>
    <t>TraesCS4A01G318900</t>
  </si>
  <si>
    <t>TraesCS4A01G324900</t>
  </si>
  <si>
    <t>TraesCS4A01G325100</t>
  </si>
  <si>
    <t>TraesCS4A01G328100</t>
  </si>
  <si>
    <t>TraesCS4A01G338000</t>
  </si>
  <si>
    <t>TraesCS4A01G339100</t>
  </si>
  <si>
    <t>TraesCS4A01G361500</t>
  </si>
  <si>
    <t>TraesCS4A01G361600</t>
  </si>
  <si>
    <t>TraesCS4A01G361800</t>
  </si>
  <si>
    <t>TraesCS4A01G362300</t>
  </si>
  <si>
    <t>TraesCS4A01G363000</t>
  </si>
  <si>
    <t>TraesCS4A01G369900</t>
  </si>
  <si>
    <t>TraesCS4A01G372200</t>
  </si>
  <si>
    <t>TraesCS4A01G377000</t>
  </si>
  <si>
    <t>TraesCS4A01G385000</t>
  </si>
  <si>
    <t>TraesCS4A01G387500</t>
  </si>
  <si>
    <t>TraesCS4A01G394100</t>
  </si>
  <si>
    <t>TraesCS4A01G399700</t>
  </si>
  <si>
    <t>TraesCS4A01G402000</t>
  </si>
  <si>
    <t>TraesCS4A01G402300</t>
  </si>
  <si>
    <t>TraesCS4A01G404700</t>
  </si>
  <si>
    <t>TraesCS4A01G431200</t>
  </si>
  <si>
    <t>TraesCS4A01G436000</t>
  </si>
  <si>
    <t>TraesCS4A01G438900</t>
  </si>
  <si>
    <t>TraesCS4A01G443900</t>
  </si>
  <si>
    <t>TraesCS4A01G444000</t>
  </si>
  <si>
    <t>TraesCS4A01G450800</t>
  </si>
  <si>
    <t>TraesCS4A01G451000</t>
  </si>
  <si>
    <t>TraesCS4A01G452200</t>
  </si>
  <si>
    <t>TraesCS4A01G452800</t>
  </si>
  <si>
    <t>TraesCS4A01G453400</t>
  </si>
  <si>
    <t>TraesCS4A01G459800</t>
  </si>
  <si>
    <t>TraesCS4A01G459900</t>
  </si>
  <si>
    <t>TraesCS4A01G460200</t>
  </si>
  <si>
    <t>TraesCS4A01G460300</t>
  </si>
  <si>
    <t>TraesCS4A01G460400</t>
  </si>
  <si>
    <t>TraesCS4A01G460500</t>
  </si>
  <si>
    <t>TraesCS4A01G460600</t>
  </si>
  <si>
    <t>TraesCS4A01G460700</t>
  </si>
  <si>
    <t>TraesCS4A01G460800</t>
  </si>
  <si>
    <t>TraesCS4A01G460900</t>
  </si>
  <si>
    <t>TraesCS4A01G461400</t>
  </si>
  <si>
    <t>TraesCS4A01G473700</t>
  </si>
  <si>
    <t>TraesCS4A01G480800</t>
  </si>
  <si>
    <t>TraesCS4A01G485600</t>
  </si>
  <si>
    <t>TraesCS4A01G485700</t>
  </si>
  <si>
    <t>TraesCS4A01G495800</t>
  </si>
  <si>
    <t>TraesCS4B01G010700</t>
  </si>
  <si>
    <t>TraesCS4B01G010800</t>
  </si>
  <si>
    <t>TraesCS4B01G010900</t>
  </si>
  <si>
    <t>TraesCS4B01G011000</t>
  </si>
  <si>
    <t>TraesCS4B01G011100</t>
  </si>
  <si>
    <t>TraesCS4B01G011200</t>
  </si>
  <si>
    <t>TraesCS4B01G011300</t>
  </si>
  <si>
    <t>TraesCS4B01G011500</t>
  </si>
  <si>
    <t>TraesCS4B01G011600</t>
  </si>
  <si>
    <t>TraesCS4B01G011700</t>
  </si>
  <si>
    <t>TraesCS4B01G013700</t>
  </si>
  <si>
    <t>TraesCS4B01G048700</t>
  </si>
  <si>
    <t>TraesCS4B01G052900</t>
  </si>
  <si>
    <t>TraesCS4B01G070000</t>
  </si>
  <si>
    <t>TraesCS4B01G070400</t>
  </si>
  <si>
    <t>TraesCS4B01G075800</t>
  </si>
  <si>
    <t>TraesCS4B01G081200</t>
  </si>
  <si>
    <t>TraesCS4B01G084600</t>
  </si>
  <si>
    <t>TraesCS4B01G090200</t>
  </si>
  <si>
    <t>TraesCS4B01G094600</t>
  </si>
  <si>
    <t>TraesCS4B01G096100</t>
  </si>
  <si>
    <t>TraesCS4B01G098400</t>
  </si>
  <si>
    <t>TraesCS4B01G107400</t>
  </si>
  <si>
    <t>TraesCS4B01G108700</t>
  </si>
  <si>
    <t>TraesCS4B01G115400</t>
  </si>
  <si>
    <t>TraesCS4B01G116900</t>
  </si>
  <si>
    <t>TraesCS4B01G123300</t>
  </si>
  <si>
    <t>TraesCS4B01G139000</t>
  </si>
  <si>
    <t>TraesCS4B01G171900</t>
  </si>
  <si>
    <t>TraesCS4B01G176900</t>
  </si>
  <si>
    <t>TraesCS4B01G180600</t>
  </si>
  <si>
    <t>TraesCS4B01G183900</t>
  </si>
  <si>
    <t>TraesCS4B01G189500</t>
  </si>
  <si>
    <t>TraesCS4B01G191500</t>
  </si>
  <si>
    <t>TraesCS4B01G200600</t>
  </si>
  <si>
    <t>TraesCS4B01G203700</t>
  </si>
  <si>
    <t>TraesCS4B01G220100</t>
  </si>
  <si>
    <t>TraesCS4B01G227900</t>
  </si>
  <si>
    <t>TraesCS4B01G229500</t>
  </si>
  <si>
    <t>TraesCS4B01G243300</t>
  </si>
  <si>
    <t>TraesCS4B01G246800</t>
  </si>
  <si>
    <t>TraesCS4B01G246900</t>
  </si>
  <si>
    <t>TraesCS4B01G252200</t>
  </si>
  <si>
    <t>TraesCS4B01G255800</t>
  </si>
  <si>
    <t>TraesCS4B01G261300</t>
  </si>
  <si>
    <t>TraesCS4B01G264700</t>
  </si>
  <si>
    <t>TraesCS4B01G266100</t>
  </si>
  <si>
    <t>TraesCS4B01G271700</t>
  </si>
  <si>
    <t>TraesCS4B01G276000</t>
  </si>
  <si>
    <t>TraesCS4B01G282000</t>
  </si>
  <si>
    <t>TraesCS4B01G282300</t>
  </si>
  <si>
    <t>TraesCS4B01G298600</t>
  </si>
  <si>
    <t>TraesCS4B01G299000</t>
  </si>
  <si>
    <t>TraesCS4B01G300000</t>
  </si>
  <si>
    <t>TraesCS4B01G304500</t>
  </si>
  <si>
    <t>TraesCS4B01G305700</t>
  </si>
  <si>
    <t>TraesCS4B01G315500</t>
  </si>
  <si>
    <t>TraesCS4B01G320400</t>
  </si>
  <si>
    <t>TraesCS4B01G326500</t>
  </si>
  <si>
    <t>TraesCS4B01G326600</t>
  </si>
  <si>
    <t>TraesCS4B01G327100</t>
  </si>
  <si>
    <t>TraesCS4B01G328000</t>
  </si>
  <si>
    <t>TraesCS4B01G329800</t>
  </si>
  <si>
    <t>TraesCS4B01G333200</t>
  </si>
  <si>
    <t>TraesCS4B01G333500</t>
  </si>
  <si>
    <t>TraesCS4B01G333600</t>
  </si>
  <si>
    <t>TraesCS4B01G334900</t>
  </si>
  <si>
    <t>TraesCS4B01G342800</t>
  </si>
  <si>
    <t>TraesCS4B01G344700</t>
  </si>
  <si>
    <t>TraesCS4B01G346800</t>
  </si>
  <si>
    <t>TraesCS4B01G371200</t>
  </si>
  <si>
    <t>TraesCS4B01G380000</t>
  </si>
  <si>
    <t>TraesCS4B01G380100</t>
  </si>
  <si>
    <t>TraesCS4B01G380900</t>
  </si>
  <si>
    <t>TraesCS4B01G381000</t>
  </si>
  <si>
    <t>TraesCS4B01G381100</t>
  </si>
  <si>
    <t>TraesCS4B01G381900</t>
  </si>
  <si>
    <t>TraesCS4B01G383600</t>
  </si>
  <si>
    <t>TraesCS4B01G384500</t>
  </si>
  <si>
    <t>TraesCS4B01G388900</t>
  </si>
  <si>
    <t>TraesCS4D01G004100</t>
  </si>
  <si>
    <t>TraesCS4D01G005700</t>
  </si>
  <si>
    <t>TraesCS4D01G007200</t>
  </si>
  <si>
    <t>TraesCS4D01G008600</t>
  </si>
  <si>
    <t>TraesCS4D01G008700</t>
  </si>
  <si>
    <t>TraesCS4D01G008900</t>
  </si>
  <si>
    <t>TraesCS4D01G009300</t>
  </si>
  <si>
    <t>TraesCS4D01G009400</t>
  </si>
  <si>
    <t>TraesCS4D01G009500</t>
  </si>
  <si>
    <t>TraesCS4D01G009600</t>
  </si>
  <si>
    <t>TraesCS4D01G009700</t>
  </si>
  <si>
    <t>TraesCS4D01G009800</t>
  </si>
  <si>
    <t>TraesCS4D01G010000</t>
  </si>
  <si>
    <t>TraesCS4D01G011100</t>
  </si>
  <si>
    <t>TraesCS4D01G011500</t>
  </si>
  <si>
    <t>TraesCS4D01G048600</t>
  </si>
  <si>
    <t>TraesCS4D01G051600</t>
  </si>
  <si>
    <t>TraesCS4D01G053100</t>
  </si>
  <si>
    <t>TraesCS4D01G066000</t>
  </si>
  <si>
    <t>TraesCS4D01G069200</t>
  </si>
  <si>
    <t>TraesCS4D01G075900</t>
  </si>
  <si>
    <t>TraesCS4D01G076700</t>
  </si>
  <si>
    <t>TraesCS4D01G082500</t>
  </si>
  <si>
    <t>TraesCS4D01G082600</t>
  </si>
  <si>
    <t>TraesCS4D01G082700</t>
  </si>
  <si>
    <t>TraesCS4D01G087300</t>
  </si>
  <si>
    <t>TraesCS4D01G104300</t>
  </si>
  <si>
    <t>TraesCS4D01G105800</t>
  </si>
  <si>
    <t>TraesCS4D01G107100</t>
  </si>
  <si>
    <t>TraesCS4D01G113100</t>
  </si>
  <si>
    <t>TraesCS4D01G114500</t>
  </si>
  <si>
    <t>TraesCS4D01G117100</t>
  </si>
  <si>
    <t>TraesCS4D01G119000</t>
  </si>
  <si>
    <t>TraesCS4D01G121400</t>
  </si>
  <si>
    <t>TraesCS4D01G131500</t>
  </si>
  <si>
    <t>TraesCS4D01G167100</t>
  </si>
  <si>
    <t>TraesCS4D01G173900</t>
  </si>
  <si>
    <t>TraesCS4D01G182100</t>
  </si>
  <si>
    <t>TraesCS4D01G184900</t>
  </si>
  <si>
    <t>TraesCS4D01G190900</t>
  </si>
  <si>
    <t>TraesCS4D01G191900</t>
  </si>
  <si>
    <t>TraesCS4D01G192900</t>
  </si>
  <si>
    <t>TraesCS4D01G195200</t>
  </si>
  <si>
    <t>TraesCS4D01G201700</t>
  </si>
  <si>
    <t>TraesCS4D01G220400</t>
  </si>
  <si>
    <t>TraesCS4D01G221500</t>
  </si>
  <si>
    <t>TraesCS4D01G228800</t>
  </si>
  <si>
    <t>TraesCS4D01G230600</t>
  </si>
  <si>
    <t>TraesCS4D01G242900</t>
  </si>
  <si>
    <t>TraesCS4D01G246100</t>
  </si>
  <si>
    <t>TraesCS4D01G252300</t>
  </si>
  <si>
    <t>TraesCS4D01G252400</t>
  </si>
  <si>
    <t>TraesCS4D01G252500</t>
  </si>
  <si>
    <t>TraesCS4D01G252600</t>
  </si>
  <si>
    <t>TraesCS4D01G264700</t>
  </si>
  <si>
    <t>TraesCS4D01G266000</t>
  </si>
  <si>
    <t>TraesCS4D01G270800</t>
  </si>
  <si>
    <t>TraesCS4D01G274500</t>
  </si>
  <si>
    <t>TraesCS4D01G274600</t>
  </si>
  <si>
    <t>TraesCS4D01G280700</t>
  </si>
  <si>
    <t>TraesCS4D01G288100</t>
  </si>
  <si>
    <t>TraesCS4D01G291200</t>
  </si>
  <si>
    <t>TraesCS4D01G297900</t>
  </si>
  <si>
    <t>TraesCS4D01G298900</t>
  </si>
  <si>
    <t>TraesCS4D01G301300</t>
  </si>
  <si>
    <t>TraesCS4D01G313000</t>
  </si>
  <si>
    <t>TraesCS4D01G316900</t>
  </si>
  <si>
    <t>TraesCS4D01G323300</t>
  </si>
  <si>
    <t>TraesCS4D01G323800</t>
  </si>
  <si>
    <t>TraesCS4D01G323900</t>
  </si>
  <si>
    <t>TraesCS4D01G325000</t>
  </si>
  <si>
    <t>TraesCS4D01G325100</t>
  </si>
  <si>
    <t>TraesCS4D01G329000</t>
  </si>
  <si>
    <t>TraesCS4D01G329600</t>
  </si>
  <si>
    <t>TraesCS4D01G338800</t>
  </si>
  <si>
    <t>TraesCS4D01G341400</t>
  </si>
  <si>
    <t>TraesCS4D01G356700</t>
  </si>
  <si>
    <t>TraesCS4D01G357800</t>
  </si>
  <si>
    <t>TraesCS5A01G003300</t>
  </si>
  <si>
    <t>TraesCS5A01G007000</t>
  </si>
  <si>
    <t>TraesCS5A01G007600</t>
  </si>
  <si>
    <t>TraesCS5A01G007700</t>
  </si>
  <si>
    <t>TraesCS5A01G012100</t>
  </si>
  <si>
    <t>TraesCS5A01G014000</t>
  </si>
  <si>
    <t>TraesCS5A01G018100</t>
  </si>
  <si>
    <t>TraesCS5A01G018400</t>
  </si>
  <si>
    <t>TraesCS5A01G018600</t>
  </si>
  <si>
    <t>TraesCS5A01G018700</t>
  </si>
  <si>
    <t>TraesCS5A01G018800</t>
  </si>
  <si>
    <t>TraesCS5A01G025300</t>
  </si>
  <si>
    <t>TraesCS5A01G027900</t>
  </si>
  <si>
    <t>TraesCS5A01G028800</t>
  </si>
  <si>
    <t>TraesCS5A01G029700</t>
  </si>
  <si>
    <t>TraesCS5A01G033400</t>
  </si>
  <si>
    <t>TraesCS5A01G040300</t>
  </si>
  <si>
    <t>TraesCS5A01G046400</t>
  </si>
  <si>
    <t>TraesCS5A01G053800</t>
  </si>
  <si>
    <t>TraesCS5A01G059000</t>
  </si>
  <si>
    <t>TraesCS5A01G060000</t>
  </si>
  <si>
    <t>TraesCS5A01G073100</t>
  </si>
  <si>
    <t>TraesCS5A01G075100</t>
  </si>
  <si>
    <t>TraesCS5A01G085000</t>
  </si>
  <si>
    <t>TraesCS5A01G086000</t>
  </si>
  <si>
    <t>TraesCS5A01G093500</t>
  </si>
  <si>
    <t>TraesCS5A01G104400</t>
  </si>
  <si>
    <t>TraesCS5A01G116200</t>
  </si>
  <si>
    <t>TraesCS5A01G125400</t>
  </si>
  <si>
    <t>TraesCS5A01G130500</t>
  </si>
  <si>
    <t>TraesCS5A01G135200</t>
  </si>
  <si>
    <t>TraesCS5A01G143900</t>
  </si>
  <si>
    <t>TraesCS5A01G145500</t>
  </si>
  <si>
    <t>TraesCS5A01G150700</t>
  </si>
  <si>
    <t>TraesCS5A01G155900</t>
  </si>
  <si>
    <t>TraesCS5A01G156700</t>
  </si>
  <si>
    <t>TraesCS5A01G157400</t>
  </si>
  <si>
    <t>TraesCS5A01G166600</t>
  </si>
  <si>
    <t>TraesCS5A01G172200</t>
  </si>
  <si>
    <t>TraesCS5A01G174100</t>
  </si>
  <si>
    <t>TraesCS5A01G183800</t>
  </si>
  <si>
    <t>TraesCS5A01G189900</t>
  </si>
  <si>
    <t>TraesCS5A01G194200</t>
  </si>
  <si>
    <t>TraesCS5A01G198000</t>
  </si>
  <si>
    <t>TraesCS5A01G199800</t>
  </si>
  <si>
    <t>TraesCS5A01G200800</t>
  </si>
  <si>
    <t>TraesCS5A01G206400</t>
  </si>
  <si>
    <t>TraesCS5A01G209600</t>
  </si>
  <si>
    <t>TraesCS5A01G217200</t>
  </si>
  <si>
    <t>TraesCS5A01G244500</t>
  </si>
  <si>
    <t>TraesCS5A01G246000</t>
  </si>
  <si>
    <t>TraesCS5A01G255900</t>
  </si>
  <si>
    <t>TraesCS5A01G258300</t>
  </si>
  <si>
    <t>TraesCS5A01G258400</t>
  </si>
  <si>
    <t>TraesCS5A01G258500</t>
  </si>
  <si>
    <t>TraesCS5A01G268800</t>
  </si>
  <si>
    <t>TraesCS5A01G269200</t>
  </si>
  <si>
    <t>TraesCS5A01G273300</t>
  </si>
  <si>
    <t>TraesCS5A01G274700</t>
  </si>
  <si>
    <t>TraesCS5A01G279500</t>
  </si>
  <si>
    <t>TraesCS5A01G281800</t>
  </si>
  <si>
    <t>TraesCS5A01G282700</t>
  </si>
  <si>
    <t>TraesCS5A01G282800</t>
  </si>
  <si>
    <t>TraesCS5A01G283100</t>
  </si>
  <si>
    <t>TraesCS5A01G288300</t>
  </si>
  <si>
    <t>TraesCS5A01G293400</t>
  </si>
  <si>
    <t>TraesCS5A01G302600</t>
  </si>
  <si>
    <t>TraesCS5A01G308400</t>
  </si>
  <si>
    <t>TraesCS5A01G320800</t>
  </si>
  <si>
    <t>TraesCS5A01G326000</t>
  </si>
  <si>
    <t>TraesCS5A01G327500</t>
  </si>
  <si>
    <t>TraesCS5A01G330200</t>
  </si>
  <si>
    <t>TraesCS5A01G335900</t>
  </si>
  <si>
    <t>TraesCS5A01G350500</t>
  </si>
  <si>
    <t>TraesCS5A01G352100</t>
  </si>
  <si>
    <t>TraesCS5A01G352700</t>
  </si>
  <si>
    <t>TraesCS5A01G353300</t>
  </si>
  <si>
    <t>TraesCS5A01G365200</t>
  </si>
  <si>
    <t>TraesCS5A01G387400</t>
  </si>
  <si>
    <t>TraesCS5A01G393200</t>
  </si>
  <si>
    <t>TraesCS5A01G395800</t>
  </si>
  <si>
    <t>TraesCS5A01G395900</t>
  </si>
  <si>
    <t>TraesCS5A01G407200</t>
  </si>
  <si>
    <t>TraesCS5A01G411500</t>
  </si>
  <si>
    <t>TraesCS5A01G422900</t>
  </si>
  <si>
    <t>TraesCS5A01G423100</t>
  </si>
  <si>
    <t>TraesCS5A01G441700</t>
  </si>
  <si>
    <t>TraesCS5A01G444800</t>
  </si>
  <si>
    <t>TraesCS5A01G452800</t>
  </si>
  <si>
    <t>TraesCS5A01G453500</t>
  </si>
  <si>
    <t>TraesCS5A01G453600</t>
  </si>
  <si>
    <t>TraesCS5A01G458200</t>
  </si>
  <si>
    <t>TraesCS5A01G462300</t>
  </si>
  <si>
    <t>TraesCS5A01G462400</t>
  </si>
  <si>
    <t>TraesCS5A01G462500</t>
  </si>
  <si>
    <t>TraesCS5A01G465100</t>
  </si>
  <si>
    <t>TraesCS5A01G465300</t>
  </si>
  <si>
    <t>TraesCS5A01G468500</t>
  </si>
  <si>
    <t>TraesCS5A01G473500</t>
  </si>
  <si>
    <t>TraesCS5A01G481700</t>
  </si>
  <si>
    <t>TraesCS5A01G485900</t>
  </si>
  <si>
    <t>TraesCS5A01G491600</t>
  </si>
  <si>
    <t>TraesCS5A01G496600</t>
  </si>
  <si>
    <t>TraesCS5A01G498600</t>
  </si>
  <si>
    <t>TraesCS5A01G499100</t>
  </si>
  <si>
    <t>TraesCS5A01G499200</t>
  </si>
  <si>
    <t>TraesCS5A01G504100</t>
  </si>
  <si>
    <t>TraesCS5A01G504200</t>
  </si>
  <si>
    <t>TraesCS5A01G509900</t>
  </si>
  <si>
    <t>TraesCS5A01G511900</t>
  </si>
  <si>
    <t>TraesCS5A01G515200</t>
  </si>
  <si>
    <t>TraesCS5A01G546200</t>
  </si>
  <si>
    <t>TraesCS5A01G546300</t>
  </si>
  <si>
    <t>TraesCS5A01G547400</t>
  </si>
  <si>
    <t>TraesCS5A01G556700</t>
  </si>
  <si>
    <t>TraesCS5B01G006100</t>
  </si>
  <si>
    <t>TraesCS5B01G006200</t>
  </si>
  <si>
    <t>TraesCS5B01G006300</t>
  </si>
  <si>
    <t>TraesCS5B01G011700</t>
  </si>
  <si>
    <t>TraesCS5B01G011800</t>
  </si>
  <si>
    <t>TraesCS5B01G012700</t>
  </si>
  <si>
    <t>TraesCS5B01G015600</t>
  </si>
  <si>
    <t>TraesCS5B01G015900</t>
  </si>
  <si>
    <t>TraesCS5B01G016000</t>
  </si>
  <si>
    <t>TraesCS5B01G016200</t>
  </si>
  <si>
    <t>TraesCS5B01G016300</t>
  </si>
  <si>
    <t>TraesCS5B01G016400</t>
  </si>
  <si>
    <t>TraesCS5B01G033600</t>
  </si>
  <si>
    <t>TraesCS5B01G034700</t>
  </si>
  <si>
    <t>TraesCS5B01G035800</t>
  </si>
  <si>
    <t>TraesCS5B01G035900</t>
  </si>
  <si>
    <t>TraesCS5B01G050900</t>
  </si>
  <si>
    <t>TraesCS5B01G062400</t>
  </si>
  <si>
    <t>TraesCS5B01G062800</t>
  </si>
  <si>
    <t>TraesCS5B01G065600</t>
  </si>
  <si>
    <t>TraesCS5B01G072900</t>
  </si>
  <si>
    <t>TraesCS5B01G091000</t>
  </si>
  <si>
    <t>TraesCS5B01G099600</t>
  </si>
  <si>
    <t>TraesCS5B01G103200</t>
  </si>
  <si>
    <t>TraesCS5B01G108700</t>
  </si>
  <si>
    <t>TraesCS5B01G124800</t>
  </si>
  <si>
    <t>TraesCS5B01G125400</t>
  </si>
  <si>
    <t>TraesCS5B01G130400</t>
  </si>
  <si>
    <t>TraesCS5B01G134000</t>
  </si>
  <si>
    <t>TraesCS5B01G144100</t>
  </si>
  <si>
    <t>TraesCS5B01G149300</t>
  </si>
  <si>
    <t>TraesCS5B01G154100</t>
  </si>
  <si>
    <t>TraesCS5B01G154900</t>
  </si>
  <si>
    <t>TraesCS5B01G155900</t>
  </si>
  <si>
    <t>TraesCS5B01G156300</t>
  </si>
  <si>
    <t>TraesCS5B01G163800</t>
  </si>
  <si>
    <t>TraesCS5B01G169600</t>
  </si>
  <si>
    <t>TraesCS5B01G171600</t>
  </si>
  <si>
    <t>TraesCS5B01G182100</t>
  </si>
  <si>
    <t>TraesCS5B01G185600</t>
  </si>
  <si>
    <t>TraesCS5B01G193300</t>
  </si>
  <si>
    <t>TraesCS5B01G198100</t>
  </si>
  <si>
    <t>TraesCS5B01G199400</t>
  </si>
  <si>
    <t>TraesCS5B01G204600</t>
  </si>
  <si>
    <t>TraesCS5B01G209000</t>
  </si>
  <si>
    <t>TraesCS5B01G216000</t>
  </si>
  <si>
    <t>TraesCS5B01G219500</t>
  </si>
  <si>
    <t>TraesCS5B01G222300</t>
  </si>
  <si>
    <t>TraesCS5B01G242300</t>
  </si>
  <si>
    <t>TraesCS5B01G243400</t>
  </si>
  <si>
    <t>TraesCS5B01G244800</t>
  </si>
  <si>
    <t>TraesCS5B01G245100</t>
  </si>
  <si>
    <t>TraesCS5B01G253800</t>
  </si>
  <si>
    <t>TraesCS5B01G256800</t>
  </si>
  <si>
    <t>TraesCS5B01G257500</t>
  </si>
  <si>
    <t>TraesCS5B01G261400</t>
  </si>
  <si>
    <t>TraesCS5B01G266800</t>
  </si>
  <si>
    <t>TraesCS5B01G274400</t>
  </si>
  <si>
    <t>TraesCS5B01G276600</t>
  </si>
  <si>
    <t>TraesCS5B01G278800</t>
  </si>
  <si>
    <t>TraesCS5B01G281000</t>
  </si>
  <si>
    <t>TraesCS5B01G282100</t>
  </si>
  <si>
    <t>TraesCS5B01G292500</t>
  </si>
  <si>
    <t>TraesCS5B01G308800</t>
  </si>
  <si>
    <t>TraesCS5B01G330300</t>
  </si>
  <si>
    <t>TraesCS5B01G342700</t>
  </si>
  <si>
    <t>TraesCS5B01G353100</t>
  </si>
  <si>
    <t>TraesCS5B01G358600</t>
  </si>
  <si>
    <t>TraesCS5B01G398000</t>
  </si>
  <si>
    <t>TraesCS5B01G400600</t>
  </si>
  <si>
    <t>TraesCS5B01G400900</t>
  </si>
  <si>
    <t>TraesCS5B01G415100</t>
  </si>
  <si>
    <t>TraesCS5B01G415800</t>
  </si>
  <si>
    <t>TraesCS5B01G424800</t>
  </si>
  <si>
    <t>TraesCS5B01G425000</t>
  </si>
  <si>
    <t>TraesCS5B01G436700</t>
  </si>
  <si>
    <t>TraesCS5B01G447200</t>
  </si>
  <si>
    <t>TraesCS5B01G453300</t>
  </si>
  <si>
    <t>TraesCS5B01G453400</t>
  </si>
  <si>
    <t>TraesCS5B01G456100</t>
  </si>
  <si>
    <t>TraesCS5B01G459100</t>
  </si>
  <si>
    <t>TraesCS5B01G461800</t>
  </si>
  <si>
    <t>TraesCS5B01G462300</t>
  </si>
  <si>
    <t>TraesCS5B01G462400</t>
  </si>
  <si>
    <t>TraesCS5B01G467700</t>
  </si>
  <si>
    <t>TraesCS5B01G473200</t>
  </si>
  <si>
    <t>TraesCS5B01G473400</t>
  </si>
  <si>
    <t>TraesCS5B01G473800</t>
  </si>
  <si>
    <t>TraesCS5B01G473900</t>
  </si>
  <si>
    <t>TraesCS5B01G475500</t>
  </si>
  <si>
    <t>TraesCS5B01G475800</t>
  </si>
  <si>
    <t>TraesCS5B01G476100</t>
  </si>
  <si>
    <t>TraesCS5B01G480000</t>
  </si>
  <si>
    <t>TraesCS5B01G486400</t>
  </si>
  <si>
    <t>TraesCS5B01G491400</t>
  </si>
  <si>
    <t>TraesCS5B01G499700</t>
  </si>
  <si>
    <t>TraesCS5B01G502800</t>
  </si>
  <si>
    <t>TraesCS5B01G509400</t>
  </si>
  <si>
    <t>TraesCS5B01G510200</t>
  </si>
  <si>
    <t>TraesCS5B01G511300</t>
  </si>
  <si>
    <t>TraesCS5B01G511400</t>
  </si>
  <si>
    <t>TraesCS5B01G522100</t>
  </si>
  <si>
    <t>TraesCS5B01G526900</t>
  </si>
  <si>
    <t>TraesCS5B01G527300</t>
  </si>
  <si>
    <t>TraesCS5B01G537600</t>
  </si>
  <si>
    <t>TraesCS5B01G538100</t>
  </si>
  <si>
    <t>TraesCS5B01G548400</t>
  </si>
  <si>
    <t>TraesCS5B01G553100</t>
  </si>
  <si>
    <t>TraesCS5B01G556700</t>
  </si>
  <si>
    <t>TraesCS5B01G556900</t>
  </si>
  <si>
    <t>TraesCS5B01G564900</t>
  </si>
  <si>
    <t>TraesCS5B01G565900</t>
  </si>
  <si>
    <t>TraesCS5B01G566600</t>
  </si>
  <si>
    <t>TraesCS5B01G570700</t>
  </si>
  <si>
    <t>TraesCS5B01G570900</t>
  </si>
  <si>
    <t>TraesCS5D01G004000</t>
  </si>
  <si>
    <t>TraesCS5D01G004100</t>
  </si>
  <si>
    <t>TraesCS5D01G004300</t>
  </si>
  <si>
    <t>TraesCS5D01G004900</t>
  </si>
  <si>
    <t>TraesCS5D01G013200</t>
  </si>
  <si>
    <t>TraesCS5D01G019500</t>
  </si>
  <si>
    <t>TraesCS5D01G024300</t>
  </si>
  <si>
    <t>TraesCS5D01G025700</t>
  </si>
  <si>
    <t>TraesCS5D01G029900</t>
  </si>
  <si>
    <t>TraesCS5D01G031700</t>
  </si>
  <si>
    <t>TraesCS5D01G036600</t>
  </si>
  <si>
    <t>TraesCS5D01G041700</t>
  </si>
  <si>
    <t>TraesCS5D01G044000</t>
  </si>
  <si>
    <t>TraesCS5D01G045200</t>
  </si>
  <si>
    <t>TraesCS5D01G047200</t>
  </si>
  <si>
    <t>TraesCS5D01G056100</t>
  </si>
  <si>
    <t>TraesCS5D01G056600</t>
  </si>
  <si>
    <t>TraesCS5D01G065300</t>
  </si>
  <si>
    <t>TraesCS5D01G071500</t>
  </si>
  <si>
    <t>TraesCS5D01G088600</t>
  </si>
  <si>
    <t>TraesCS5D01G105800</t>
  </si>
  <si>
    <t>TraesCS5D01G110000</t>
  </si>
  <si>
    <t>TraesCS5D01G110100</t>
  </si>
  <si>
    <t>TraesCS5D01G116500</t>
  </si>
  <si>
    <t>TraesCS5D01G128200</t>
  </si>
  <si>
    <t>TraesCS5D01G133100</t>
  </si>
  <si>
    <t>TraesCS5D01G138000</t>
  </si>
  <si>
    <t>TraesCS5D01G141700</t>
  </si>
  <si>
    <t>TraesCS5D01G147100</t>
  </si>
  <si>
    <t>TraesCS5D01G155800</t>
  </si>
  <si>
    <t>TraesCS5D01G159800</t>
  </si>
  <si>
    <t>TraesCS5D01G161000</t>
  </si>
  <si>
    <t>TraesCS5D01G162100</t>
  </si>
  <si>
    <t>TraesCS5D01G162700</t>
  </si>
  <si>
    <t>TraesCS5D01G171000</t>
  </si>
  <si>
    <t>TraesCS5D01G178800</t>
  </si>
  <si>
    <t>TraesCS5D01G201000</t>
  </si>
  <si>
    <t>TraesCS5D01G205400</t>
  </si>
  <si>
    <t>TraesCS5D01G212600</t>
  </si>
  <si>
    <t>TraesCS5D01G225200</t>
  </si>
  <si>
    <t>TraesCS5D01G240200</t>
  </si>
  <si>
    <t>TraesCS5D01G254100</t>
  </si>
  <si>
    <t>TraesCS5D01G254300</t>
  </si>
  <si>
    <t>TraesCS5D01G257600</t>
  </si>
  <si>
    <t>TraesCS5D01G266500</t>
  </si>
  <si>
    <t>TraesCS5D01G273000</t>
  </si>
  <si>
    <t>TraesCS5D01G282300</t>
  </si>
  <si>
    <t>TraesCS5D01G289800</t>
  </si>
  <si>
    <t>TraesCS5D01G290400</t>
  </si>
  <si>
    <t>TraesCS5D01G290600</t>
  </si>
  <si>
    <t>TraesCS5D01G300700</t>
  </si>
  <si>
    <t>TraesCS5D01G305600</t>
  </si>
  <si>
    <t>TraesCS5D01G315400</t>
  </si>
  <si>
    <t>TraesCS5D01G335900</t>
  </si>
  <si>
    <t>TraesCS5D01G357500</t>
  </si>
  <si>
    <t>TraesCS5D01G359600</t>
  </si>
  <si>
    <t>TraesCS5D01G360400</t>
  </si>
  <si>
    <t>TraesCS5D01G366200</t>
  </si>
  <si>
    <t>TraesCS5D01G368400</t>
  </si>
  <si>
    <t>TraesCS5D01G390900</t>
  </si>
  <si>
    <t>TraesCS5D01G399100</t>
  </si>
  <si>
    <t>TraesCS5D01G403000</t>
  </si>
  <si>
    <t>TraesCS5D01G403600</t>
  </si>
  <si>
    <t>TraesCS5D01G405400</t>
  </si>
  <si>
    <t>TraesCS5D01G411500</t>
  </si>
  <si>
    <t>TraesCS5D01G420300</t>
  </si>
  <si>
    <t>TraesCS5D01G423700</t>
  </si>
  <si>
    <t>TraesCS5D01G431100</t>
  </si>
  <si>
    <t>TraesCS5D01G431400</t>
  </si>
  <si>
    <t>TraesCS5D01G431500</t>
  </si>
  <si>
    <t>TraesCS5D01G441700</t>
  </si>
  <si>
    <t>TraesCS5D01G442900</t>
  </si>
  <si>
    <t>TraesCS5D01G449000</t>
  </si>
  <si>
    <t>TraesCS5D01G453400</t>
  </si>
  <si>
    <t>TraesCS5D01G455300</t>
  </si>
  <si>
    <t>TraesCS5D01G463200</t>
  </si>
  <si>
    <t>TraesCS5D01G464100</t>
  </si>
  <si>
    <t>TraesCS5D01G465600</t>
  </si>
  <si>
    <t>TraesCS5D01G469500</t>
  </si>
  <si>
    <t>TraesCS5D01G474900</t>
  </si>
  <si>
    <t>TraesCS5D01G475000</t>
  </si>
  <si>
    <t>TraesCS5D01G475200</t>
  </si>
  <si>
    <t>TraesCS5D01G475300</t>
  </si>
  <si>
    <t>TraesCS5D01G475500</t>
  </si>
  <si>
    <t>TraesCS5D01G477700</t>
  </si>
  <si>
    <t>TraesCS5D01G477900</t>
  </si>
  <si>
    <t>TraesCS5D01G481400</t>
  </si>
  <si>
    <t>TraesCS5D01G491800</t>
  </si>
  <si>
    <t>TraesCS5D01G495200</t>
  </si>
  <si>
    <t>TraesCS5D01G495500</t>
  </si>
  <si>
    <t>TraesCS5D01G499900</t>
  </si>
  <si>
    <t>TraesCS5D01G511800</t>
  </si>
  <si>
    <t>TraesCS5D01G521000</t>
  </si>
  <si>
    <t>TraesCS5D01G534700</t>
  </si>
  <si>
    <t>TraesCS5D01G535400</t>
  </si>
  <si>
    <t>TraesCS5D01G540100</t>
  </si>
  <si>
    <t>TraesCS5D01G540200</t>
  </si>
  <si>
    <t>TraesCS5D01G541800</t>
  </si>
  <si>
    <t>TraesCS5D01G553000</t>
  </si>
  <si>
    <t>TraesCS5D01G556200</t>
  </si>
  <si>
    <t>TraesCS5D01G561800</t>
  </si>
  <si>
    <t>TraesCS5D01G561900</t>
  </si>
  <si>
    <t>TraesCS6A01G002300</t>
  </si>
  <si>
    <t>TraesCS6A01G006600</t>
  </si>
  <si>
    <t>TraesCS6A01G007800</t>
  </si>
  <si>
    <t>TraesCS6A01G007900</t>
  </si>
  <si>
    <t>TraesCS6A01G011800</t>
  </si>
  <si>
    <t>TraesCS6A01G011900</t>
  </si>
  <si>
    <t>TraesCS6A01G012000</t>
  </si>
  <si>
    <t>TraesCS6A01G013300</t>
  </si>
  <si>
    <t>TraesCS6A01G016300</t>
  </si>
  <si>
    <t>TraesCS6A01G016900</t>
  </si>
  <si>
    <t>TraesCS6A01G020400</t>
  </si>
  <si>
    <t>TraesCS6A01G023800</t>
  </si>
  <si>
    <t>TraesCS6A01G023900</t>
  </si>
  <si>
    <t>TraesCS6A01G025300</t>
  </si>
  <si>
    <t>TraesCS6A01G025800</t>
  </si>
  <si>
    <t>TraesCS6A01G026200</t>
  </si>
  <si>
    <t>TraesCS6A01G027300</t>
  </si>
  <si>
    <t>TraesCS6A01G041600</t>
  </si>
  <si>
    <t>TraesCS6A01G042100</t>
  </si>
  <si>
    <t>TraesCS6A01G042400</t>
  </si>
  <si>
    <t>TraesCS6A01G046700</t>
  </si>
  <si>
    <t>TraesCS6A01G046800</t>
  </si>
  <si>
    <t>TraesCS6A01G048100</t>
  </si>
  <si>
    <t>TraesCS6A01G050600</t>
  </si>
  <si>
    <t>TraesCS6A01G050900</t>
  </si>
  <si>
    <t>TraesCS6A01G057000</t>
  </si>
  <si>
    <t>TraesCS6A01G058800</t>
  </si>
  <si>
    <t>TraesCS6A01G060800</t>
  </si>
  <si>
    <t>TraesCS6A01G066700</t>
  </si>
  <si>
    <t>TraesCS6A01G068400</t>
  </si>
  <si>
    <t>TraesCS6A01G072000</t>
  </si>
  <si>
    <t>TraesCS6A01G073700</t>
  </si>
  <si>
    <t>TraesCS6A01G074400</t>
  </si>
  <si>
    <t>TraesCS6A01G076600</t>
  </si>
  <si>
    <t>TraesCS6A01G077400</t>
  </si>
  <si>
    <t>TraesCS6A01G095700</t>
  </si>
  <si>
    <t>TraesCS6A01G095800</t>
  </si>
  <si>
    <t>TraesCS6A01G097500</t>
  </si>
  <si>
    <t>TraesCS6A01G097700</t>
  </si>
  <si>
    <t>TraesCS6A01G102800</t>
  </si>
  <si>
    <t>TraesCS6A01G103200</t>
  </si>
  <si>
    <t>TraesCS6A01G105000</t>
  </si>
  <si>
    <t>TraesCS6A01G106300</t>
  </si>
  <si>
    <t>TraesCS6A01G109400</t>
  </si>
  <si>
    <t>TraesCS6A01G114100</t>
  </si>
  <si>
    <t>TraesCS6A01G117000</t>
  </si>
  <si>
    <t>TraesCS6A01G119000</t>
  </si>
  <si>
    <t>TraesCS6A01G120700</t>
  </si>
  <si>
    <t>TraesCS6A01G123000</t>
  </si>
  <si>
    <t>TraesCS6A01G126100</t>
  </si>
  <si>
    <t>TraesCS6A01G131300</t>
  </si>
  <si>
    <t>TraesCS6A01G143500</t>
  </si>
  <si>
    <t>TraesCS6A01G148800</t>
  </si>
  <si>
    <t>TraesCS6A01G157100</t>
  </si>
  <si>
    <t>TraesCS6A01G166200</t>
  </si>
  <si>
    <t>TraesCS6A01G175100</t>
  </si>
  <si>
    <t>TraesCS6A01G180100</t>
  </si>
  <si>
    <t>TraesCS6A01G180400</t>
  </si>
  <si>
    <t>TraesCS6A01G184200</t>
  </si>
  <si>
    <t>TraesCS6A01G209200</t>
  </si>
  <si>
    <t>TraesCS6A01G216700</t>
  </si>
  <si>
    <t>TraesCS6A01G233200</t>
  </si>
  <si>
    <t>TraesCS6A01G240200</t>
  </si>
  <si>
    <t>TraesCS6A01G241100</t>
  </si>
  <si>
    <t>TraesCS6A01G241600</t>
  </si>
  <si>
    <t>TraesCS6A01G268200</t>
  </si>
  <si>
    <t>TraesCS6A01G279600</t>
  </si>
  <si>
    <t>TraesCS6A01G284100</t>
  </si>
  <si>
    <t>TraesCS6A01G286200</t>
  </si>
  <si>
    <t>TraesCS6A01G292500</t>
  </si>
  <si>
    <t>TraesCS6A01G295600</t>
  </si>
  <si>
    <t>TraesCS6A01G295800</t>
  </si>
  <si>
    <t>TraesCS6A01G295900</t>
  </si>
  <si>
    <t>TraesCS6A01G304300</t>
  </si>
  <si>
    <t>TraesCS6A01G309700</t>
  </si>
  <si>
    <t>TraesCS6A01G311700</t>
  </si>
  <si>
    <t>TraesCS6A01G317100</t>
  </si>
  <si>
    <t>TraesCS6A01G317200</t>
  </si>
  <si>
    <t>TraesCS6A01G324700</t>
  </si>
  <si>
    <t>TraesCS6A01G333500</t>
  </si>
  <si>
    <t>TraesCS6A01G341800</t>
  </si>
  <si>
    <t>TraesCS6A01G344100</t>
  </si>
  <si>
    <t>TraesCS6A01G357700</t>
  </si>
  <si>
    <t>TraesCS6A01G358000</t>
  </si>
  <si>
    <t>TraesCS6A01G362100</t>
  </si>
  <si>
    <t>TraesCS6A01G362200</t>
  </si>
  <si>
    <t>TraesCS6A01G362300</t>
  </si>
  <si>
    <t>TraesCS6A01G364400</t>
  </si>
  <si>
    <t>TraesCS6A01G370300</t>
  </si>
  <si>
    <t>TraesCS6A01G370800</t>
  </si>
  <si>
    <t>TraesCS6A01G379800</t>
  </si>
  <si>
    <t>TraesCS6A01G380000</t>
  </si>
  <si>
    <t>TraesCS6A01G380100</t>
  </si>
  <si>
    <t>TraesCS6A01G380400</t>
  </si>
  <si>
    <t>TraesCS6A01G389500</t>
  </si>
  <si>
    <t>TraesCS6A01G420600</t>
  </si>
  <si>
    <t>TraesCS6A01G420700</t>
  </si>
  <si>
    <t>TraesCS6A01G420800</t>
  </si>
  <si>
    <t>TraesCS6A01G420900</t>
  </si>
  <si>
    <t>TraesCS6B01G013800</t>
  </si>
  <si>
    <t>TraesCS6B01G015400</t>
  </si>
  <si>
    <t>TraesCS6B01G016000</t>
  </si>
  <si>
    <t>TraesCS6B01G016200</t>
  </si>
  <si>
    <t>TraesCS6B01G018400</t>
  </si>
  <si>
    <t>TraesCS6B01G023800</t>
  </si>
  <si>
    <t>TraesCS6B01G024700</t>
  </si>
  <si>
    <t>TraesCS6B01G027800</t>
  </si>
  <si>
    <t>TraesCS6B01G032500</t>
  </si>
  <si>
    <t>TraesCS6B01G032600</t>
  </si>
  <si>
    <t>TraesCS6B01G033100</t>
  </si>
  <si>
    <t>TraesCS6B01G033400</t>
  </si>
  <si>
    <t>TraesCS6B01G036300</t>
  </si>
  <si>
    <t>TraesCS6B01G038300</t>
  </si>
  <si>
    <t>TraesCS6B01G040800</t>
  </si>
  <si>
    <t>TraesCS6B01G054200</t>
  </si>
  <si>
    <t>TraesCS6B01G054500</t>
  </si>
  <si>
    <t>TraesCS6B01G055200</t>
  </si>
  <si>
    <t>TraesCS6B01G056000</t>
  </si>
  <si>
    <t>TraesCS6B01G057800</t>
  </si>
  <si>
    <t>TraesCS6B01G058100</t>
  </si>
  <si>
    <t>TraesCS6B01G058300</t>
  </si>
  <si>
    <t>TraesCS6B01G061000</t>
  </si>
  <si>
    <t>TraesCS6B01G061300</t>
  </si>
  <si>
    <t>TraesCS6B01G061400</t>
  </si>
  <si>
    <t>TraesCS6B01G062900</t>
  </si>
  <si>
    <t>TraesCS6B01G064500</t>
  </si>
  <si>
    <t>TraesCS6B01G064600</t>
  </si>
  <si>
    <t>TraesCS6B01G066700</t>
  </si>
  <si>
    <t>TraesCS6B01G067300</t>
  </si>
  <si>
    <t>TraesCS6B01G068000</t>
  </si>
  <si>
    <t>TraesCS6B01G068800</t>
  </si>
  <si>
    <t>TraesCS6B01G069000</t>
  </si>
  <si>
    <t>TraesCS6B01G074100</t>
  </si>
  <si>
    <t>TraesCS6B01G074900</t>
  </si>
  <si>
    <t>TraesCS6B01G080800</t>
  </si>
  <si>
    <t>TraesCS6B01G086500</t>
  </si>
  <si>
    <t>TraesCS6B01G088600</t>
  </si>
  <si>
    <t>TraesCS6B01G096400</t>
  </si>
  <si>
    <t>TraesCS6B01G096500</t>
  </si>
  <si>
    <t>TraesCS6B01G096600</t>
  </si>
  <si>
    <t>TraesCS6B01G097700</t>
  </si>
  <si>
    <t>TraesCS6B01G099100</t>
  </si>
  <si>
    <t>TraesCS6B01G099700</t>
  </si>
  <si>
    <t>TraesCS6B01G100600</t>
  </si>
  <si>
    <t>TraesCS6B01G102500</t>
  </si>
  <si>
    <t>TraesCS6B01G102600</t>
  </si>
  <si>
    <t>TraesCS6B01G102700</t>
  </si>
  <si>
    <t>TraesCS6B01G102800</t>
  </si>
  <si>
    <t>TraesCS6B01G103200</t>
  </si>
  <si>
    <t>TraesCS6B01G103600</t>
  </si>
  <si>
    <t>TraesCS6B01G103700</t>
  </si>
  <si>
    <t>TraesCS6B01G105200</t>
  </si>
  <si>
    <t>TraesCS6B01G120000</t>
  </si>
  <si>
    <t>TraesCS6B01G123600</t>
  </si>
  <si>
    <t>TraesCS6B01G125900</t>
  </si>
  <si>
    <t>TraesCS6B01G126600</t>
  </si>
  <si>
    <t>TraesCS6B01G128600</t>
  </si>
  <si>
    <t>TraesCS6B01G128900</t>
  </si>
  <si>
    <t>TraesCS6B01G132300</t>
  </si>
  <si>
    <t>TraesCS6B01G142000</t>
  </si>
  <si>
    <t>TraesCS6B01G149100</t>
  </si>
  <si>
    <t>TraesCS6B01G151200</t>
  </si>
  <si>
    <t>TraesCS6B01G157900</t>
  </si>
  <si>
    <t>TraesCS6B01G159700</t>
  </si>
  <si>
    <t>TraesCS6B01G166000</t>
  </si>
  <si>
    <t>TraesCS6B01G171800</t>
  </si>
  <si>
    <t>TraesCS6B01G172900</t>
  </si>
  <si>
    <t>TraesCS6B01G184900</t>
  </si>
  <si>
    <t>TraesCS6B01G205100</t>
  </si>
  <si>
    <t>TraesCS6B01G205300</t>
  </si>
  <si>
    <t>TraesCS6B01G205400</t>
  </si>
  <si>
    <t>TraesCS6B01G210000</t>
  </si>
  <si>
    <t>TraesCS6B01G211700</t>
  </si>
  <si>
    <t>TraesCS6B01G227200</t>
  </si>
  <si>
    <t>TraesCS6B01G238100</t>
  </si>
  <si>
    <t>TraesCS6B01G272400</t>
  </si>
  <si>
    <t>TraesCS6B01G283100</t>
  </si>
  <si>
    <t>TraesCS6B01G284400</t>
  </si>
  <si>
    <t>TraesCS6B01G284800</t>
  </si>
  <si>
    <t>TraesCS6B01G287900</t>
  </si>
  <si>
    <t>TraesCS6B01G295400</t>
  </si>
  <si>
    <t>TraesCS6B01G302800</t>
  </si>
  <si>
    <t>TraesCS6B01G315100</t>
  </si>
  <si>
    <t>TraesCS6B01G322900</t>
  </si>
  <si>
    <t>TraesCS6B01G325700</t>
  </si>
  <si>
    <t>TraesCS6B01G339500</t>
  </si>
  <si>
    <t>TraesCS6B01G341900</t>
  </si>
  <si>
    <t>TraesCS6B01G350200</t>
  </si>
  <si>
    <t>TraesCS6B01G354500</t>
  </si>
  <si>
    <t>TraesCS6B01G356700</t>
  </si>
  <si>
    <t>TraesCS6B01G364200</t>
  </si>
  <si>
    <t>TraesCS6B01G366000</t>
  </si>
  <si>
    <t>TraesCS6B01G369500</t>
  </si>
  <si>
    <t>TraesCS6B01G373700</t>
  </si>
  <si>
    <t>TraesCS6B01G375900</t>
  </si>
  <si>
    <t>TraesCS6B01G387100</t>
  </si>
  <si>
    <t>TraesCS6B01G389400</t>
  </si>
  <si>
    <t>TraesCS6B01G390000</t>
  </si>
  <si>
    <t>TraesCS6B01G390300</t>
  </si>
  <si>
    <t>TraesCS6B01G392100</t>
  </si>
  <si>
    <t>TraesCS6B01G392600</t>
  </si>
  <si>
    <t>TraesCS6B01G396000</t>
  </si>
  <si>
    <t>TraesCS6B01G396500</t>
  </si>
  <si>
    <t>TraesCS6B01G407700</t>
  </si>
  <si>
    <t>TraesCS6B01G408800</t>
  </si>
  <si>
    <t>TraesCS6B01G408900</t>
  </si>
  <si>
    <t>TraesCS6B01G417400</t>
  </si>
  <si>
    <t>TraesCS6B01G417800</t>
  </si>
  <si>
    <t>TraesCS6B01G418700</t>
  </si>
  <si>
    <t>TraesCS6B01G418900</t>
  </si>
  <si>
    <t>TraesCS6B01G422400</t>
  </si>
  <si>
    <t>TraesCS6B01G427100</t>
  </si>
  <si>
    <t>TraesCS6B01G429800</t>
  </si>
  <si>
    <t>TraesCS6B01G429900</t>
  </si>
  <si>
    <t>TraesCS6B01G435500</t>
  </si>
  <si>
    <t>TraesCS6B01G443900</t>
  </si>
  <si>
    <t>TraesCS6B01G453700</t>
  </si>
  <si>
    <t>TraesCS6B01G467500</t>
  </si>
  <si>
    <t>TraesCS6B01G467600</t>
  </si>
  <si>
    <t>TraesCS6D01G002600</t>
  </si>
  <si>
    <t>TraesCS6D01G004400</t>
  </si>
  <si>
    <t>TraesCS6D01G005700</t>
  </si>
  <si>
    <t>TraesCS6D01G006100</t>
  </si>
  <si>
    <t>TraesCS6D01G009800</t>
  </si>
  <si>
    <t>TraesCS6D01G010900</t>
  </si>
  <si>
    <t>TraesCS6D01G012000</t>
  </si>
  <si>
    <t>TraesCS6D01G014700</t>
  </si>
  <si>
    <t>TraesCS6D01G014900</t>
  </si>
  <si>
    <t>TraesCS6D01G019300</t>
  </si>
  <si>
    <t>TraesCS6D01G019400</t>
  </si>
  <si>
    <t>TraesCS6D01G020500</t>
  </si>
  <si>
    <t>TraesCS6D01G027100</t>
  </si>
  <si>
    <t>TraesCS6D01G027200</t>
  </si>
  <si>
    <t>TraesCS6D01G027300</t>
  </si>
  <si>
    <t>TraesCS6D01G029000</t>
  </si>
  <si>
    <t>TraesCS6D01G029700</t>
  </si>
  <si>
    <t>TraesCS6D01G030000</t>
  </si>
  <si>
    <t>TraesCS6D01G030900</t>
  </si>
  <si>
    <t>TraesCS6D01G032400</t>
  </si>
  <si>
    <t>TraesCS6D01G032500</t>
  </si>
  <si>
    <t>TraesCS6D01G039600</t>
  </si>
  <si>
    <t>TraesCS6D01G045100</t>
  </si>
  <si>
    <t>TraesCS6D01G048800</t>
  </si>
  <si>
    <t>TraesCS6D01G049100</t>
  </si>
  <si>
    <t>TraesCS6D01G051800</t>
  </si>
  <si>
    <t>TraesCS6D01G054000</t>
  </si>
  <si>
    <t>TraesCS6D01G057200</t>
  </si>
  <si>
    <t>TraesCS6D01G057400</t>
  </si>
  <si>
    <t>TraesCS6D01G058100</t>
  </si>
  <si>
    <t>TraesCS6D01G061200</t>
  </si>
  <si>
    <t>TraesCS6D01G064200</t>
  </si>
  <si>
    <t>TraesCS6D01G064300</t>
  </si>
  <si>
    <t>TraesCS6D01G067900</t>
  </si>
  <si>
    <t>TraesCS6D01G068100</t>
  </si>
  <si>
    <t>TraesCS6D01G072700</t>
  </si>
  <si>
    <t>TraesCS6D01G076300</t>
  </si>
  <si>
    <t>TraesCS6D01G084200</t>
  </si>
  <si>
    <t>TraesCS6D01G084900</t>
  </si>
  <si>
    <t>TraesCS6D01G085000</t>
  </si>
  <si>
    <t>TraesCS6D01G086200</t>
  </si>
  <si>
    <t>TraesCS6D01G089200</t>
  </si>
  <si>
    <t>TraesCS6D01G091400</t>
  </si>
  <si>
    <t>TraesCS6D01G091600</t>
  </si>
  <si>
    <t>TraesCS6D01G094500</t>
  </si>
  <si>
    <t>TraesCS6D01G097800</t>
  </si>
  <si>
    <t>TraesCS6D01G097900</t>
  </si>
  <si>
    <t>TraesCS6D01G106400</t>
  </si>
  <si>
    <t>TraesCS6D01G106500</t>
  </si>
  <si>
    <t>TraesCS6D01G106600</t>
  </si>
  <si>
    <t>TraesCS6D01G107200</t>
  </si>
  <si>
    <t>TraesCS6D01G110700</t>
  </si>
  <si>
    <t>TraesCS6D01G119300</t>
  </si>
  <si>
    <t>TraesCS6D01G121200</t>
  </si>
  <si>
    <t>TraesCS6D01G125200</t>
  </si>
  <si>
    <t>TraesCS6D01G127000</t>
  </si>
  <si>
    <t>TraesCS6D01G129500</t>
  </si>
  <si>
    <t>TraesCS6D01G131000</t>
  </si>
  <si>
    <t>TraesCS6D01G133700</t>
  </si>
  <si>
    <t>TraesCS6D01G138200</t>
  </si>
  <si>
    <t>TraesCS6D01G144600</t>
  </si>
  <si>
    <t>TraesCS6D01G146400</t>
  </si>
  <si>
    <t>TraesCS6D01G164800</t>
  </si>
  <si>
    <t>TraesCS6D01G165100</t>
  </si>
  <si>
    <t>TraesCS6D01G168200</t>
  </si>
  <si>
    <t>TraesCS6D01G170300</t>
  </si>
  <si>
    <t>TraesCS6D01G188000</t>
  </si>
  <si>
    <t>TraesCS6D01G193600</t>
  </si>
  <si>
    <t>TraesCS6D01G222500</t>
  </si>
  <si>
    <t>TraesCS6D01G234400</t>
  </si>
  <si>
    <t>TraesCS6D01G246700</t>
  </si>
  <si>
    <t>TraesCS6D01G255700</t>
  </si>
  <si>
    <t>TraesCS6D01G264500</t>
  </si>
  <si>
    <t>TraesCS6D01G266700</t>
  </si>
  <si>
    <t>TraesCS6D01G266900</t>
  </si>
  <si>
    <t>TraesCS6D01G276200</t>
  </si>
  <si>
    <t>TraesCS6D01G276300</t>
  </si>
  <si>
    <t>TraesCS6D01G276700</t>
  </si>
  <si>
    <t>TraesCS6D01G289100</t>
  </si>
  <si>
    <t>TraesCS6D01G298900</t>
  </si>
  <si>
    <t>TraesCS6D01G300900</t>
  </si>
  <si>
    <t>TraesCS6D01G304500</t>
  </si>
  <si>
    <t>TraesCS6D01G315000</t>
  </si>
  <si>
    <t>TraesCS6D01G322100</t>
  </si>
  <si>
    <t>TraesCS6D01G324600</t>
  </si>
  <si>
    <t>TraesCS6D01G325200</t>
  </si>
  <si>
    <t>TraesCS6D01G340200</t>
  </si>
  <si>
    <t>TraesCS6D01G340500</t>
  </si>
  <si>
    <t>TraesCS6D01G354000</t>
  </si>
  <si>
    <t>TraesCS6D01G355500</t>
  </si>
  <si>
    <t>TraesCS6D01G356600</t>
  </si>
  <si>
    <t>TraesCS6D01G363400</t>
  </si>
  <si>
    <t>TraesCS6D01G364700</t>
  </si>
  <si>
    <t>TraesCS6D01G373700</t>
  </si>
  <si>
    <t>TraesCS6D01G376400</t>
  </si>
  <si>
    <t>TraesCS6D01G377300</t>
  </si>
  <si>
    <t>TraesCS6D01G380700</t>
  </si>
  <si>
    <t>TraesCS6D01G385300</t>
  </si>
  <si>
    <t>TraesCS6D01G396800</t>
  </si>
  <si>
    <t>TraesCS6D01G402200</t>
  </si>
  <si>
    <t>TraesCS6D01G404900</t>
  </si>
  <si>
    <t>TraesCS6D01G405000</t>
  </si>
  <si>
    <t>TraesCS7A01G001600</t>
  </si>
  <si>
    <t>TraesCS7A01G002800</t>
  </si>
  <si>
    <t>TraesCS7A01G003800</t>
  </si>
  <si>
    <t>TraesCS7A01G008900</t>
  </si>
  <si>
    <t>TraesCS7A01G009500</t>
  </si>
  <si>
    <t>TraesCS7A01G009600</t>
  </si>
  <si>
    <t>TraesCS7A01G019300</t>
  </si>
  <si>
    <t>TraesCS7A01G019400</t>
  </si>
  <si>
    <t>TraesCS7A01G028500</t>
  </si>
  <si>
    <t>TraesCS7A01G028600</t>
  </si>
  <si>
    <t>TraesCS7A01G028900</t>
  </si>
  <si>
    <t>TraesCS7A01G029400</t>
  </si>
  <si>
    <t>TraesCS7A01G029500</t>
  </si>
  <si>
    <t>TraesCS7A01G030000</t>
  </si>
  <si>
    <t>TraesCS7A01G035600</t>
  </si>
  <si>
    <t>TraesCS7A01G036500</t>
  </si>
  <si>
    <t>TraesCS7A01G038100</t>
  </si>
  <si>
    <t>TraesCS7A01G038200</t>
  </si>
  <si>
    <t>TraesCS7A01G043400</t>
  </si>
  <si>
    <t>TraesCS7A01G048200</t>
  </si>
  <si>
    <t>TraesCS7A01G051900</t>
  </si>
  <si>
    <t>TraesCS7A01G053200</t>
  </si>
  <si>
    <t>TraesCS7A01G055800</t>
  </si>
  <si>
    <t>TraesCS7A01G070100</t>
  </si>
  <si>
    <t>TraesCS7A01G074600</t>
  </si>
  <si>
    <t>TraesCS7A01G075300</t>
  </si>
  <si>
    <t>TraesCS7A01G086400</t>
  </si>
  <si>
    <t>TraesCS7A01G086700</t>
  </si>
  <si>
    <t>TraesCS7A01G088300</t>
  </si>
  <si>
    <t>TraesCS7A01G093400</t>
  </si>
  <si>
    <t>TraesCS7A01G093500</t>
  </si>
  <si>
    <t>TraesCS7A01G093600</t>
  </si>
  <si>
    <t>TraesCS7A01G100500</t>
  </si>
  <si>
    <t>TraesCS7A01G104200</t>
  </si>
  <si>
    <t>TraesCS7A01G121100</t>
  </si>
  <si>
    <t>TraesCS7A01G122700</t>
  </si>
  <si>
    <t>TraesCS7A01G124400</t>
  </si>
  <si>
    <t>TraesCS7A01G125100</t>
  </si>
  <si>
    <t>TraesCS7A01G126000</t>
  </si>
  <si>
    <t>TraesCS7A01G130700</t>
  </si>
  <si>
    <t>TraesCS7A01G134300</t>
  </si>
  <si>
    <t>TraesCS7A01G135000</t>
  </si>
  <si>
    <t>TraesCS7A01G135100</t>
  </si>
  <si>
    <t>TraesCS7A01G135200</t>
  </si>
  <si>
    <t>TraesCS7A01G135400</t>
  </si>
  <si>
    <t>TraesCS7A01G135600</t>
  </si>
  <si>
    <t>TraesCS7A01G138900</t>
  </si>
  <si>
    <t>TraesCS7A01G139600</t>
  </si>
  <si>
    <t>TraesCS7A01G156100</t>
  </si>
  <si>
    <t>TraesCS7A01G163000</t>
  </si>
  <si>
    <t>TraesCS7A01G163800</t>
  </si>
  <si>
    <t>TraesCS7A01G168000</t>
  </si>
  <si>
    <t>TraesCS7A01G168100</t>
  </si>
  <si>
    <t>TraesCS7A01G169100</t>
  </si>
  <si>
    <t>TraesCS7A01G175800</t>
  </si>
  <si>
    <t>TraesCS7A01G182300</t>
  </si>
  <si>
    <t>TraesCS7A01G183400</t>
  </si>
  <si>
    <t>TraesCS7A01G183500</t>
  </si>
  <si>
    <t>TraesCS7A01G183600</t>
  </si>
  <si>
    <t>TraesCS7A01G188800</t>
  </si>
  <si>
    <t>TraesCS7A01G189200</t>
  </si>
  <si>
    <t>TraesCS7A01G194700</t>
  </si>
  <si>
    <t>TraesCS7A01G204900</t>
  </si>
  <si>
    <t>TraesCS7A01G205100</t>
  </si>
  <si>
    <t>TraesCS7A01G207700</t>
  </si>
  <si>
    <t>TraesCS7A01G213100</t>
  </si>
  <si>
    <t>TraesCS7A01G213800</t>
  </si>
  <si>
    <t>TraesCS7A01G214500</t>
  </si>
  <si>
    <t>TraesCS7A01G214700</t>
  </si>
  <si>
    <t>TraesCS7A01G219000</t>
  </si>
  <si>
    <t>TraesCS7A01G226800</t>
  </si>
  <si>
    <t>TraesCS7A01G228900</t>
  </si>
  <si>
    <t>TraesCS7A01G232900</t>
  </si>
  <si>
    <t>TraesCS7A01G244000</t>
  </si>
  <si>
    <t>TraesCS7A01G306500</t>
  </si>
  <si>
    <t>TraesCS7A01G308800</t>
  </si>
  <si>
    <t>TraesCS7A01G317800</t>
  </si>
  <si>
    <t>TraesCS7A01G336500</t>
  </si>
  <si>
    <t>TraesCS7A01G336700</t>
  </si>
  <si>
    <t>TraesCS7A01G341900</t>
  </si>
  <si>
    <t>TraesCS7A01G352900</t>
  </si>
  <si>
    <t>TraesCS7A01G353700</t>
  </si>
  <si>
    <t>TraesCS7A01G361100</t>
  </si>
  <si>
    <t>TraesCS7A01G361200</t>
  </si>
  <si>
    <t>TraesCS7A01G377400</t>
  </si>
  <si>
    <t>TraesCS7A01G380000</t>
  </si>
  <si>
    <t>TraesCS7A01G395600</t>
  </si>
  <si>
    <t>TraesCS7A01G396100</t>
  </si>
  <si>
    <t>TraesCS7A01G399500</t>
  </si>
  <si>
    <t>TraesCS7A01G404200</t>
  </si>
  <si>
    <t>TraesCS7A01G408500</t>
  </si>
  <si>
    <t>TraesCS7A01G428100</t>
  </si>
  <si>
    <t>TraesCS7A01G439800</t>
  </si>
  <si>
    <t>TraesCS7A01G442500</t>
  </si>
  <si>
    <t>TraesCS7A01G443000</t>
  </si>
  <si>
    <t>TraesCS7A01G445500</t>
  </si>
  <si>
    <t>TraesCS7A01G445600</t>
  </si>
  <si>
    <t>TraesCS7A01G447300</t>
  </si>
  <si>
    <t>TraesCS7A01G459900</t>
  </si>
  <si>
    <t>TraesCS7A01G465400</t>
  </si>
  <si>
    <t>TraesCS7A01G475400</t>
  </si>
  <si>
    <t>TraesCS7A01G482300</t>
  </si>
  <si>
    <t>TraesCS7A01G485700</t>
  </si>
  <si>
    <t>TraesCS7A01G486600</t>
  </si>
  <si>
    <t>TraesCS7A01G486900</t>
  </si>
  <si>
    <t>TraesCS7A01G494200</t>
  </si>
  <si>
    <t>TraesCS7A01G500200</t>
  </si>
  <si>
    <t>TraesCS7A01G500300</t>
  </si>
  <si>
    <t>TraesCS7A01G500900</t>
  </si>
  <si>
    <t>TraesCS7A01G502300</t>
  </si>
  <si>
    <t>TraesCS7A01G502500</t>
  </si>
  <si>
    <t>TraesCS7A01G510300</t>
  </si>
  <si>
    <t>TraesCS7A01G510700</t>
  </si>
  <si>
    <t>TraesCS7A01G511100</t>
  </si>
  <si>
    <t>TraesCS7A01G511300</t>
  </si>
  <si>
    <t>TraesCS7A01G513600</t>
  </si>
  <si>
    <t>TraesCS7A01G518600</t>
  </si>
  <si>
    <t>TraesCS7A01G519400</t>
  </si>
  <si>
    <t>TraesCS7A01G537400</t>
  </si>
  <si>
    <t>TraesCS7A01G543900</t>
  </si>
  <si>
    <t>TraesCS7A01G549200</t>
  </si>
  <si>
    <t>TraesCS7A01G549500</t>
  </si>
  <si>
    <t>TraesCS7A01G551200</t>
  </si>
  <si>
    <t>TraesCS7A01G565700</t>
  </si>
  <si>
    <t>TraesCS7A01G565800</t>
  </si>
  <si>
    <t>TraesCS7B01G001900</t>
  </si>
  <si>
    <t>TraesCS7B01G019200</t>
  </si>
  <si>
    <t>TraesCS7B01G019400</t>
  </si>
  <si>
    <t>TraesCS7B01G021800</t>
  </si>
  <si>
    <t>TraesCS7B01G025400</t>
  </si>
  <si>
    <t>TraesCS7B01G031000</t>
  </si>
  <si>
    <t>TraesCS7B01G035400</t>
  </si>
  <si>
    <t>TraesCS7B01G036500</t>
  </si>
  <si>
    <t>TraesCS7B01G036700</t>
  </si>
  <si>
    <t>TraesCS7B01G041200</t>
  </si>
  <si>
    <t>TraesCS7B01G046700</t>
  </si>
  <si>
    <t>TraesCS7B01G053400</t>
  </si>
  <si>
    <t>TraesCS7B01G054700</t>
  </si>
  <si>
    <t>TraesCS7B01G054800</t>
  </si>
  <si>
    <t>TraesCS7B01G059200</t>
  </si>
  <si>
    <t>TraesCS7B01G060200</t>
  </si>
  <si>
    <t>TraesCS7B01G067000</t>
  </si>
  <si>
    <t>TraesCS7B01G068500</t>
  </si>
  <si>
    <t>TraesCS7B01G068900</t>
  </si>
  <si>
    <t>TraesCS7B01G072000</t>
  </si>
  <si>
    <t>TraesCS7B01G072800</t>
  </si>
  <si>
    <t>TraesCS7B01G073900</t>
  </si>
  <si>
    <t>TraesCS7B01G081000</t>
  </si>
  <si>
    <t>TraesCS7B01G083100</t>
  </si>
  <si>
    <t>TraesCS7B01G085800</t>
  </si>
  <si>
    <t>TraesCS7B01G087100</t>
  </si>
  <si>
    <t>TraesCS7B01G088300</t>
  </si>
  <si>
    <t>TraesCS7B01G088400</t>
  </si>
  <si>
    <t>TraesCS7B01G089600</t>
  </si>
  <si>
    <t>TraesCS7B01G094000</t>
  </si>
  <si>
    <t>TraesCS7B01G100300</t>
  </si>
  <si>
    <t>TraesCS7B01G119800</t>
  </si>
  <si>
    <t>TraesCS7B01G121800</t>
  </si>
  <si>
    <t>TraesCS7B01G121900</t>
  </si>
  <si>
    <t>TraesCS7B01G128200</t>
  </si>
  <si>
    <t>TraesCS7B01G129700</t>
  </si>
  <si>
    <t>TraesCS7B01G130600</t>
  </si>
  <si>
    <t>TraesCS7B01G134800</t>
  </si>
  <si>
    <t>TraesCS7B01G143200</t>
  </si>
  <si>
    <t>TraesCS7B01G160000</t>
  </si>
  <si>
    <t>TraesCS7B01G174100</t>
  </si>
  <si>
    <t>TraesCS7B01G174400</t>
  </si>
  <si>
    <t>TraesCS7B01G202500</t>
  </si>
  <si>
    <t>TraesCS7B01G206800</t>
  </si>
  <si>
    <t>TraesCS7B01G241000</t>
  </si>
  <si>
    <t>TraesCS7B01G248300</t>
  </si>
  <si>
    <t>TraesCS7B01G250500</t>
  </si>
  <si>
    <t>TraesCS7B01G258200</t>
  </si>
  <si>
    <t>TraesCS7B01G265100</t>
  </si>
  <si>
    <t>TraesCS7B01G265300</t>
  </si>
  <si>
    <t>TraesCS7B01G275000</t>
  </si>
  <si>
    <t>TraesCS7B01G275200</t>
  </si>
  <si>
    <t>TraesCS7B01G276700</t>
  </si>
  <si>
    <t>TraesCS7B01G281900</t>
  </si>
  <si>
    <t>TraesCS7B01G297500</t>
  </si>
  <si>
    <t>TraesCS7B01G299400</t>
  </si>
  <si>
    <t>TraesCS7B01G303800</t>
  </si>
  <si>
    <t>TraesCS7B01G315400</t>
  </si>
  <si>
    <t>TraesCS7B01G328300</t>
  </si>
  <si>
    <t>TraesCS7B01G338300</t>
  </si>
  <si>
    <t>TraesCS7B01G345000</t>
  </si>
  <si>
    <t>TraesCS7B01G349800</t>
  </si>
  <si>
    <t>TraesCS7B01G358200</t>
  </si>
  <si>
    <t>TraesCS7B01G361100</t>
  </si>
  <si>
    <t>TraesCS7B01G361200</t>
  </si>
  <si>
    <t>TraesCS7B01G361300</t>
  </si>
  <si>
    <t>TraesCS7B01G361400</t>
  </si>
  <si>
    <t>TraesCS7B01G364000</t>
  </si>
  <si>
    <t>TraesCS7B01G368100</t>
  </si>
  <si>
    <t>TraesCS7B01G374300</t>
  </si>
  <si>
    <t>TraesCS7B01G376500</t>
  </si>
  <si>
    <t>TraesCS7B01G379300</t>
  </si>
  <si>
    <t>TraesCS7B01G379400</t>
  </si>
  <si>
    <t>TraesCS7B01G384500</t>
  </si>
  <si>
    <t>TraesCS7B01G389000</t>
  </si>
  <si>
    <t>TraesCS7B01G389100</t>
  </si>
  <si>
    <t>TraesCS7B01G390300</t>
  </si>
  <si>
    <t>TraesCS7B01G397100</t>
  </si>
  <si>
    <t>TraesCS7B01G407400</t>
  </si>
  <si>
    <t>TraesCS7B01G408200</t>
  </si>
  <si>
    <t>TraesCS7B01G408700</t>
  </si>
  <si>
    <t>TraesCS7B01G409500</t>
  </si>
  <si>
    <t>TraesCS7B01G419900</t>
  </si>
  <si>
    <t>TraesCS7B01G420100</t>
  </si>
  <si>
    <t>TraesCS7B01G420400</t>
  </si>
  <si>
    <t>TraesCS7B01G421600</t>
  </si>
  <si>
    <t>TraesCS7B01G422000</t>
  </si>
  <si>
    <t>TraesCS7B01G422100</t>
  </si>
  <si>
    <t>TraesCS7B01G465900</t>
  </si>
  <si>
    <t>TraesCS7B01G466000</t>
  </si>
  <si>
    <t>TraesCS7B01G466100</t>
  </si>
  <si>
    <t>TraesCS7B01G472300</t>
  </si>
  <si>
    <t>TraesCS7B01G472800</t>
  </si>
  <si>
    <t>TraesCS7B01G474500</t>
  </si>
  <si>
    <t>TraesCS7B01G492200</t>
  </si>
  <si>
    <t>TraesCS7B01G492300</t>
  </si>
  <si>
    <t>TraesCS7B01G492500</t>
  </si>
  <si>
    <t>TraesCS7D01G009100</t>
  </si>
  <si>
    <t>TraesCS7D01G009200</t>
  </si>
  <si>
    <t>TraesCS7D01G012700</t>
  </si>
  <si>
    <t>TraesCS7D01G016300</t>
  </si>
  <si>
    <t>TraesCS7D01G025400</t>
  </si>
  <si>
    <t>TraesCS7D01G025500</t>
  </si>
  <si>
    <t>TraesCS7D01G025600</t>
  </si>
  <si>
    <t>TraesCS7D01G025700</t>
  </si>
  <si>
    <t>TraesCS7D01G025800</t>
  </si>
  <si>
    <t>TraesCS7D01G026200</t>
  </si>
  <si>
    <t>TraesCS7D01G032000</t>
  </si>
  <si>
    <t>TraesCS7D01G032100</t>
  </si>
  <si>
    <t>TraesCS7D01G032300</t>
  </si>
  <si>
    <t>TraesCS7D01G033000</t>
  </si>
  <si>
    <t>TraesCS7D01G034200</t>
  </si>
  <si>
    <t>TraesCS7D01G039100</t>
  </si>
  <si>
    <t>TraesCS7D01G042600</t>
  </si>
  <si>
    <t>TraesCS7D01G048500</t>
  </si>
  <si>
    <t>TraesCS7D01G053700</t>
  </si>
  <si>
    <t>TraesCS7D01G054800</t>
  </si>
  <si>
    <t>TraesCS7D01G072800</t>
  </si>
  <si>
    <t>TraesCS7D01G074100</t>
  </si>
  <si>
    <t>TraesCS7D01G081200</t>
  </si>
  <si>
    <t>TraesCS7D01G081300</t>
  </si>
  <si>
    <t>TraesCS7D01G081400</t>
  </si>
  <si>
    <t>TraesCS7D01G083600</t>
  </si>
  <si>
    <t>TraesCS7D01G086200</t>
  </si>
  <si>
    <t>TraesCS7D01G094800</t>
  </si>
  <si>
    <t>TraesCS7D01G098000</t>
  </si>
  <si>
    <t>TraesCS7D01G108100</t>
  </si>
  <si>
    <t>TraesCS7D01G113500</t>
  </si>
  <si>
    <t>TraesCS7D01G118600</t>
  </si>
  <si>
    <t>TraesCS7D01G123500</t>
  </si>
  <si>
    <t>TraesCS7D01G123600</t>
  </si>
  <si>
    <t>TraesCS7D01G130100</t>
  </si>
  <si>
    <t>TraesCS7D01G133700</t>
  </si>
  <si>
    <t>TraesCS7D01G135000</t>
  </si>
  <si>
    <t>TraesCS7D01G135200</t>
  </si>
  <si>
    <t>TraesCS7D01G135600</t>
  </si>
  <si>
    <t>TraesCS7D01G135700</t>
  </si>
  <si>
    <t>TraesCS7D01G140900</t>
  </si>
  <si>
    <t>TraesCS7D01G148100</t>
  </si>
  <si>
    <t>TraesCS7D01G148700</t>
  </si>
  <si>
    <t>TraesCS7D01G152700</t>
  </si>
  <si>
    <t>TraesCS7D01G157800</t>
  </si>
  <si>
    <t>TraesCS7D01G163100</t>
  </si>
  <si>
    <t>TraesCS7D01G168000</t>
  </si>
  <si>
    <t>TraesCS7D01G169000</t>
  </si>
  <si>
    <t>TraesCS7D01G170200</t>
  </si>
  <si>
    <t>TraesCS7D01G177200</t>
  </si>
  <si>
    <t>TraesCS7D01G177300</t>
  </si>
  <si>
    <t>TraesCS7D01G182600</t>
  </si>
  <si>
    <t>TraesCS7D01G183700</t>
  </si>
  <si>
    <t>TraesCS7D01G185000</t>
  </si>
  <si>
    <t>TraesCS7D01G185100</t>
  </si>
  <si>
    <t>TraesCS7D01G185200</t>
  </si>
  <si>
    <t>TraesCS7D01G192400</t>
  </si>
  <si>
    <t>TraesCS7D01G196100</t>
  </si>
  <si>
    <t>TraesCS7D01G205900</t>
  </si>
  <si>
    <t>TraesCS7D01G215400</t>
  </si>
  <si>
    <t>TraesCS7D01G216600</t>
  </si>
  <si>
    <t>TraesCS7D01G216700</t>
  </si>
  <si>
    <t>TraesCS7D01G216800</t>
  </si>
  <si>
    <t>TraesCS7D01G223100</t>
  </si>
  <si>
    <t>TraesCS7D01G227600</t>
  </si>
  <si>
    <t>TraesCS7D01G232300</t>
  </si>
  <si>
    <t>TraesCS7D01G236300</t>
  </si>
  <si>
    <t>TraesCS7D01G236900</t>
  </si>
  <si>
    <t>TraesCS7D01G246800</t>
  </si>
  <si>
    <t>TraesCS7D01G247100</t>
  </si>
  <si>
    <t>TraesCS7D01G276200</t>
  </si>
  <si>
    <t>TraesCS7D01G297700</t>
  </si>
  <si>
    <t>TraesCS7D01G303400</t>
  </si>
  <si>
    <t>TraesCS7D01G314100</t>
  </si>
  <si>
    <t>TraesCS7D01G317900</t>
  </si>
  <si>
    <t>TraesCS7D01G322200</t>
  </si>
  <si>
    <t>TraesCS7D01G328300</t>
  </si>
  <si>
    <t>TraesCS7D01G344400</t>
  </si>
  <si>
    <t>TraesCS7D01G352800</t>
  </si>
  <si>
    <t>TraesCS7D01G354400</t>
  </si>
  <si>
    <t>TraesCS7D01G359600</t>
  </si>
  <si>
    <t>TraesCS7D01G368800</t>
  </si>
  <si>
    <t>TraesCS7D01G369300</t>
  </si>
  <si>
    <t>TraesCS7D01G370000</t>
  </si>
  <si>
    <t>TraesCS7D01G371600</t>
  </si>
  <si>
    <t>TraesCS7D01G372700</t>
  </si>
  <si>
    <t>TraesCS7D01G373700</t>
  </si>
  <si>
    <t>TraesCS7D01G390400</t>
  </si>
  <si>
    <t>TraesCS7D01G391100</t>
  </si>
  <si>
    <t>TraesCS7D01G397600</t>
  </si>
  <si>
    <t>TraesCS7D01G401800</t>
  </si>
  <si>
    <t>TraesCS7D01G408600</t>
  </si>
  <si>
    <t>TraesCS7D01G408700</t>
  </si>
  <si>
    <t>TraesCS7D01G408800</t>
  </si>
  <si>
    <t>TraesCS7D01G416300</t>
  </si>
  <si>
    <t>TraesCS7D01G433800</t>
  </si>
  <si>
    <t>TraesCS7D01G433900</t>
  </si>
  <si>
    <t>TraesCS7D01G447800</t>
  </si>
  <si>
    <t>TraesCS7D01G448200</t>
  </si>
  <si>
    <t>TraesCS7D01G457700</t>
  </si>
  <si>
    <t>TraesCS7D01G464900</t>
  </si>
  <si>
    <t>TraesCS7D01G468100</t>
  </si>
  <si>
    <t>TraesCS7D01G472500</t>
  </si>
  <si>
    <t>TraesCS7D01G472800</t>
  </si>
  <si>
    <t>TraesCS7D01G473100</t>
  </si>
  <si>
    <t>TraesCS7D01G487400</t>
  </si>
  <si>
    <t>TraesCS7D01G488300</t>
  </si>
  <si>
    <t>TraesCS7D01G489600</t>
  </si>
  <si>
    <t>TraesCS7D01G489900</t>
  </si>
  <si>
    <t>TraesCS7D01G495300</t>
  </si>
  <si>
    <t>TraesCS7D01G499300</t>
  </si>
  <si>
    <t>TraesCS7D01G499500</t>
  </si>
  <si>
    <t>TraesCS7D01G499600</t>
  </si>
  <si>
    <t>TraesCS7D01G500100</t>
  </si>
  <si>
    <t>TraesCS7D01G500600</t>
  </si>
  <si>
    <t>TraesCS7D01G508300</t>
  </si>
  <si>
    <t>TraesCS7D01G508500</t>
  </si>
  <si>
    <t>TraesCS7D01G509700</t>
  </si>
  <si>
    <t>TraesCS7D01G517600</t>
  </si>
  <si>
    <t>TraesCS7D01G524000</t>
  </si>
  <si>
    <t>TraesCS7D01G525900</t>
  </si>
  <si>
    <t>TraesCS7D01G529400</t>
  </si>
  <si>
    <t>TraesCS7D01G535500</t>
  </si>
  <si>
    <t>TraesCS7D01G536000</t>
  </si>
  <si>
    <t>TraesCS7D01G544900</t>
  </si>
  <si>
    <t>TraesCS7D01G545000</t>
  </si>
  <si>
    <t>TraesCS7D01G550100</t>
  </si>
  <si>
    <t>TraesCSU01G009500</t>
  </si>
  <si>
    <t>TraesCSU01G009600</t>
  </si>
  <si>
    <t>TraesCSU01G015200</t>
  </si>
  <si>
    <t>TraesCSU01G025900</t>
  </si>
  <si>
    <t>TraesCSU01G026800</t>
  </si>
  <si>
    <t>TraesCSU01G028900</t>
  </si>
  <si>
    <t>TraesCSU01G029000</t>
  </si>
  <si>
    <t>TraesCSU01G048700</t>
  </si>
  <si>
    <t>TraesCSU01G048800</t>
  </si>
  <si>
    <t>TraesCSU01G049700</t>
  </si>
  <si>
    <t>TraesCSU01G058300</t>
  </si>
  <si>
    <t>TraesCSU01G059800</t>
  </si>
  <si>
    <t>TraesCSU01G060200</t>
  </si>
  <si>
    <t>TraesCSU01G065500</t>
  </si>
  <si>
    <t>TraesCSU01G066000</t>
  </si>
  <si>
    <t>TraesCSU01G073500</t>
  </si>
  <si>
    <t>TraesCSU01G079100</t>
  </si>
  <si>
    <t>TraesCSU01G083100</t>
  </si>
  <si>
    <t>TraesCSU01G091600</t>
  </si>
  <si>
    <t>TraesCSU01G094800</t>
  </si>
  <si>
    <t>TraesCSU01G101900</t>
  </si>
  <si>
    <t>TraesCSU01G105200</t>
  </si>
  <si>
    <t>TraesCSU01G107100</t>
  </si>
  <si>
    <t>TraesCSU01G109600</t>
  </si>
  <si>
    <t>TraesCSU01G119800</t>
  </si>
  <si>
    <t>TraesCSU01G120600</t>
  </si>
  <si>
    <t>TraesCSU01G124200</t>
  </si>
  <si>
    <t>TraesCSU01G130200</t>
  </si>
  <si>
    <t>TraesCSU01G130300</t>
  </si>
  <si>
    <t>TraesCSU01G138000</t>
  </si>
  <si>
    <t>TraesCSU01G141200</t>
  </si>
  <si>
    <t>TraesCSU01G161100</t>
  </si>
  <si>
    <t>TraesCSU01G163500</t>
  </si>
  <si>
    <t>TraesCSU01G165100</t>
  </si>
  <si>
    <t>TraesCSU01G182400</t>
  </si>
  <si>
    <t>TraesCSU01G183700</t>
  </si>
  <si>
    <t>TraesCSU01G205800</t>
  </si>
  <si>
    <t>TraesCSU01G214800</t>
  </si>
  <si>
    <t>TraesCSU01G226300</t>
  </si>
  <si>
    <t>TraesCSU01G240700</t>
  </si>
  <si>
    <t>TraesCSU01G267500</t>
  </si>
  <si>
    <t>Fg_up &amp; GA+Fg_vs_Fg_up</t>
  </si>
  <si>
    <t>Gene list (152)</t>
  </si>
  <si>
    <t>TraesCS1B01G276900;TraesCS1D01G266100;TraesCS1D01G266000;TraesCS1A01G021000;TraesCS1A01G021400;TraesCS1D01G265900;TraesCS1D01G265800;TraesCS1A01G265900;TraesCS1A01G265700</t>
  </si>
  <si>
    <t>TraesCS2A01G350800;TraesCS2A01G350900;TraesCS5D01G176800;TraesCS5A01G526200;TraesCS3B01G526700;TraesCS3D01G478200;TraesCS1B01G422700;TraesCS1D01G207000;TraesCS1A01G203600;TraesCS1D01G402500;TraesCS4D01G142000;TraesCS1A01G277900;TraesCS4D01G350500;TraesCSU01G020500;TraesCS3A01G483100;TraesCS3B01G529400</t>
  </si>
  <si>
    <t>TraesCS2A01G350800;TraesCS2A01G350900;TraesCS5D01G176800;TraesCS5A01G526200;TraesCS3B01G526700;TraesCS3D01G478200;TraesCS1B01G422700;TraesCS1D01G207000;TraesCS1A01G203600;TraesCS1D01G402500;TraesCS4D01G142000;TraesCS4D01G350500;TraesCSU01G020500;TraesCS3A01G483100;TraesCS3B01G529400</t>
  </si>
  <si>
    <t>TraesCS1D01G190200</t>
  </si>
  <si>
    <t>TraesCS1D01G207000</t>
  </si>
  <si>
    <t>TraesCS1D01G266000;TraesCS1A01G021000;TraesCS1A01G021400;TraesCS1D01G265900;TraesCS1A01G265700</t>
  </si>
  <si>
    <t>TraesCS2A01G350800;TraesCS2A01G350900;TraesCS1D01G207000;TraesCS1A01G203600;TraesCSU01G020500</t>
  </si>
  <si>
    <t>TraesCS2B01G008700</t>
  </si>
  <si>
    <t>TraesCS2B01G333900</t>
  </si>
  <si>
    <t>TraesCS1D01G266000;TraesCS1A01G021000;TraesCS1A01G021400;TraesCS1A01G277900;TraesCS1D01G265900;TraesCS1A01G265700</t>
  </si>
  <si>
    <t>TraesCS5D01G176800;TraesCS6D01G033000;TraesCS3B01G526700;TraesCS3D01G478200;TraesCS3A01G025400;TraesCS4A01G436500;TraesCS1D01G207000;TraesCS4D01G142000;TraesCS1A01G277900;TraesCS4D01G350500;TraesCSU01G020500;TraesCS7B01G156900;TraesCS3A01G483100;TraesCS5A01G542000;TraesCS2A01G350800;TraesCS2A01G350900;TraesCS5A01G526200;TraesCS5D01G335100;TraesCS3D01G020600;TraesCS5D01G194400;TraesCS1B01G422700;TraesCS3A01G121200;TraesCS4B01G098100;TraesCS6A01G028800;TraesCS3D01G467600;TraesCS1A01G203600;TraesCS1A01G312300;TraesCS1D01G402500;TraesCS7B01G444800;TraesCS3D01G123300;TraesCS1B01G277100;TraesCS4A01G450900;TraesCS3B01G529400</t>
  </si>
  <si>
    <t>TraesCS2A01G350800;TraesCS2A01G350900;TraesCS3D01G467600;TraesCS1D01G207000;TraesCS1A01G203600;TraesCS4D01G142000;TraesCSU01G020500</t>
  </si>
  <si>
    <t>TraesCS1D01G191100;TraesCS4B01G059100;TraesCS4B01G059300</t>
  </si>
  <si>
    <t>TraesCS3A01G082900</t>
  </si>
  <si>
    <t>TraesCS3D01G467600;TraesCS7B01G444800;TraesCS3A01G121200;TraesCS4B01G098100;TraesCS3D01G123300;TraesCS4A01G450900;TraesCS5A01G542000</t>
  </si>
  <si>
    <t>TraesCS3A01G121200</t>
  </si>
  <si>
    <t>TraesCS3B01G022200</t>
  </si>
  <si>
    <t>TraesCS6A01G028800;TraesCS3D01G467600;TraesCS6D01G033000;TraesCS5D01G194400;TraesCS7B01G444800;TraesCS3A01G121200;TraesCS4B01G098100;TraesCS3D01G123300;TraesCS4A01G450900;TraesCS5A01G542000</t>
  </si>
  <si>
    <t>TraesCS3D01G396800;TraesCS2D01G261100;TraesCS5D01G233700;TraesCS1D01G415900;TraesCS6B01G353200;TraesCS1D01G403100;TraesCS6D01G300600;TraesCS7D01G368700;TraesCS7D01G188100;TraesCS5D01G012000;TraesCS5D01G364600;TraesCS1D01G034500;TraesCS3B01G128700;TraesCS5D01G310500;TraesCS3D01G305400;TraesCS6D01G260900;TraesCS7B01G251100;TraesCS6D01G261000;TraesCS1A01G394900;TraesCS2B01G333900;TraesCS7A01G317500;TraesCS3A01G082900;TraesCS5D01G268800;TraesCS2A01G019400;TraesCS7B01G092300</t>
  </si>
  <si>
    <t>TraesCS3B01G529400</t>
  </si>
  <si>
    <t>TraesCS3D01G396800;TraesCS7D01G188100;TraesCS2D01G261100;TraesCS5D01G012000;TraesCS5D01G233700;TraesCS5D01G364600;TraesCS6B01G353200;TraesCS1D01G034500;TraesCS1D01G403100;TraesCS3B01G128700;TraesCS5D01G310500;TraesCS3D01G305400;TraesCS6D01G260900;TraesCS7B01G251100;TraesCS6D01G261000;TraesCS6D01G300600;TraesCS1A01G394900;TraesCS2B01G333900;TraesCS7A01G317500;TraesCS3A01G082900;TraesCS5D01G268800;TraesCS2A01G019400;TraesCS7B01G092300;TraesCS7D01G368700</t>
  </si>
  <si>
    <t>TraesCS2A01G350800;TraesCS2A01G350900;TraesCS5D01G176800;TraesCS5A01G526200;TraesCS3B01G526700;TraesCS3D01G478200;TraesCS1B01G422700;TraesCS3D01G467600;TraesCS1D01G207000;TraesCS1A01G203600;TraesCS1D01G402500;TraesCS4D01G142000;TraesCS4D01G350500;TraesCS3A01G483100;TraesCS3B01G529400</t>
  </si>
  <si>
    <t>TraesCS2A01G350800;TraesCS2A01G350900;TraesCS5D01G364600;TraesCS1D01G207000;TraesCS1A01G203600;TraesCSU01G020500</t>
  </si>
  <si>
    <t>TraesCS3D01G023400</t>
  </si>
  <si>
    <t>TraesCS3D01G123300</t>
  </si>
  <si>
    <t>TraesCS7D01G188100;TraesCS2D01G261100;TraesCS5D01G012000;TraesCS5D01G233700;TraesCS6D01G300600;TraesCS1A01G394900;TraesCS3A01G082900;TraesCS1D01G034500;TraesCS1D01G403100;TraesCS2A01G019400;TraesCS7B01G092300</t>
  </si>
  <si>
    <t>TraesCS2D01G261100;TraesCS5D01G012000;TraesCS5D01G233700;TraesCS6D01G261000;TraesCS6D01G300600;TraesCS1A01G394900;TraesCS3A01G082900;TraesCS1D01G034500;TraesCS1D01G403100;TraesCS6D01G260900;TraesCS2A01G019400</t>
  </si>
  <si>
    <t>TraesCS2B01G507500;TraesCS2D01G261100;TraesCS5D01G012000;TraesCS5D01G364600;TraesCS6B01G353200;TraesCS1D01G034500;TraesCS1D01G403100;TraesCS3B01G128700;TraesCS3D01G305400;TraesCS7B01G251100;TraesCS1A01G394900;TraesCS7A01G317500;TraesCS3A01G082900;TraesCS3D01G514300;TraesCS5D01G268800;TraesCS2A01G019400;TraesCS7D01G368700</t>
  </si>
  <si>
    <t>TraesCS3D01G507000</t>
  </si>
  <si>
    <t>TraesCS2D01G261100;TraesCS5D01G012000;TraesCS5D01G364600;TraesCS7B01G251100;TraesCS1A01G394900;TraesCS3A01G082900;TraesCS1D01G034500;TraesCS1D01G403100;TraesCS3D01G305400;TraesCS2A01G019400</t>
  </si>
  <si>
    <t>transferase activity, transferring alkyl or aryl (other than methyl) groups</t>
  </si>
  <si>
    <t>TraesCS4A01G450900</t>
  </si>
  <si>
    <t>TraesCS7A01G317500;TraesCS3B01G128700;TraesCS5D01G268800;TraesCS7D01G368700</t>
  </si>
  <si>
    <t>TraesCS2B01G507500;TraesCS7A01G317500;TraesCS6B01G353200;TraesCS3B01G128700;TraesCS3D01G514300;TraesCS5D01G268800;TraesCS7D01G368700</t>
  </si>
  <si>
    <t>TraesCS6A01G028800;TraesCS6D01G033000;TraesCS5D01G194400</t>
  </si>
  <si>
    <t>TraesCS5D01G519600;TraesCS1D01G259700;TraesCS7D01G124900</t>
  </si>
  <si>
    <t>TraesCS7B01G156900;TraesCS1B01G277100</t>
  </si>
  <si>
    <t>TraesCS2A01G350800;TraesCS2A01G350900;TraesCS5D01G364600;TraesCS3D01G467600;TraesCS1D01G207000;TraesCS1A01G203600;TraesCS4D01G142000;TraesCSU01G020500</t>
  </si>
  <si>
    <t>TraesCS2D01G261100;TraesCS5D01G012000;TraesCS1D01G034500;TraesCS2A01G019400</t>
  </si>
  <si>
    <t>TraesCS3B01G336100;TraesCS3B01G562500</t>
  </si>
  <si>
    <t>TraesCS5A01G542000</t>
  </si>
  <si>
    <t>regulation of seed germination</t>
  </si>
  <si>
    <t>regulation of seedling development</t>
  </si>
  <si>
    <t>TraesCS5D01G176800</t>
  </si>
  <si>
    <t>TraesCS5D01G335100</t>
  </si>
  <si>
    <t>TraesCS5D01G519600</t>
  </si>
  <si>
    <t>TraesCS6A01G028800</t>
  </si>
  <si>
    <t>TraesCS6A01G403200</t>
  </si>
  <si>
    <t>TraesCS7B01G103900</t>
  </si>
  <si>
    <t>TraesCS7D01G085500</t>
  </si>
  <si>
    <t>TraesCSU01G146600</t>
  </si>
  <si>
    <t>Fg_up &amp; GA+Fg_vs_Fg_down</t>
  </si>
  <si>
    <t>Gene list (2232)</t>
  </si>
  <si>
    <t>TraesCS1A01G022500</t>
  </si>
  <si>
    <t>TraesCS2B01G611300;TraesCS3D01G025700;TraesCS5A01G281800;TraesCSU01G101900;TraesCS7D01G472800;TraesCS2B01G474300;TraesCS3D01G061400;TraesCS3A01G086500;TraesCS3B01G102000;TraesCS4A01G460700;TraesCS7D01G168000;TraesCS2B01G512500;TraesCS4A01G461400;TraesCS6D01G000200;TraesCS4A01G052100;TraesCS2B01G330200;TraesCS2D01G089400;TraesCS3B01G008900;TraesCS7D01G026200;TraesCS2A01G578500;TraesCS5D01G561900;TraesCS5A01G024200;TraesCS7B01G001900;TraesCS7D01G473100;TraesCS2D01G589700;TraesCS4B01G249400;TraesCS3D01G095700;TraesCS3B01G065300;TraesCS3D01G511600;TraesCS3D01G005700;TraesCS4D01G250000;TraesCS4D01G252300;TraesCS7A01G029500;TraesCS1B01G302400;TraesCS4A01G460200;TraesCS7D01G025800;TraesCS5A01G327500;TraesCS1A01G366600;TraesCS7D01G025400;TraesCSU01G048700;TraesCS6D01G324600;TraesCS2D01G586300;TraesCS3B01G012300;TraesCS2B01G611200;TraesCS4B01G328000;TraesCS7A01G030000;TraesCS7B01G241000;TraesCS2D01G485800;TraesCS2A01G452800;TraesCS7A01G028600;TraesCS2D01G452600;TraesCS4A01G460600;TraesCS3D01G061300;TraesCS3B01G037600;TraesCS4A01G052000;TraesCS5B01G281000;TraesCS3D01G086800;TraesCS5A01G293400;TraesCS7B01G206800;TraesCS7D01G391100;TraesCS4A01G247900;TraesCS5D01G030100;TraesCS3A01G005800;TraesCS7D01G303400;TraesCS6D01G380700;TraesCS2A01G576100;TraesCS2B01G502800;TraesCS4A01G459900;TraesCS3B01G008200;TraesCS5D01G561800;TraesCS7D01G322200;TraesCS5B01G556900;TraesCS6B01G033400;TraesCS4A01G369900;TraesCS5B01G502800;TraesCS4A01G451000;TraesCS7A01G486600;TraesCS1B01G384400;TraesCS7A01G029400;TraesCS4D01G252400;TraesCS7A01G341900;TraesCS7A01G395600;TraesCS7D01G025700;TraesCS2D01G311600;TraesCS4A01G460500;TraesCS5D01G004000;TraesCSU01G048800;TraesCS7A01G038100;TraesCS7B01G297500;TraesCS3B01G009700;TraesCS1D01G291800;TraesCS2B01G501700;TraesCS2A01G485800;TraesCS1D01G232800;TraesCS5B01G570900;TraesCS4B01G328100;TraesCS4B01G252200;TraesCS3D01G004800;TraesCS7A01G028500;TraesCS2D01G586800;TraesCS2B01G609300;TraesCS4A01G460900;TraesCS5B01G564900;TraesCS6B01G435500;TraesCS3A01G009500;TraesCS3B01G077600;TraesCS2D01G102900;TraesCS2A01G576000;TraesCS3B01G111200;TraesCS6B01G375900;TraesCS3B01G568800;TraesCS5B01G292500;TraesCS4A01G338000;TraesCS7D01G083700;TraesCS2D01G371800;TraesCS3D01G102800;TraesCS4D01G252500;TraesCS1B01G409000;TraesCS2A01G575600;TraesCS6A01G241600;TraesCS4A01G460400;TraesCS4D01G325000;TraesCS5D01G004300;TraesCS3A01G006000;TraesCS3B01G074200;TraesCS7D01G025600;TraesCS1B01G059200;TraesCS7A01G038200;TraesCS7B01G389000;TraesCS2A01G313100;TraesCS2B01G501800;TraesCS3B01G068600;TraesCS2B01G392500;TraesCS5D01G029900;TraesCS5D01G300700;TraesCS3B01G416500;TraesCS4A01G450800;TraesCS4D01G066000;TraesCS7D01G034200;TraesCS2B01G474400;TraesCS3D01G004900;TraesCS5D01G390900;TraesCS3D01G096000;TraesCS3A01G384600;TraesCS4A01G460800;TraesCS3D01G055900;TraesCS3A01G003700;TraesCS3A01G005600;TraesCS3B01G008800;TraesCS7B01G072000;TraesCS2A01G453000;TraesCS7A01G306500;TraesCS5B01G003500;TraesCS1B01G302500;TraesCS6D01G094500;TraesCS4D01G252600;TraesCS4D01G325100;TraesCS5D01G534700;TraesCS7D01G157800;TraesCS4A01G460300;TraesCS3A01G061500;TraesCS3D01G377500;TraesCS3B01G074100;TraesCS7D01G025500;TraesCS4A01G248000;TraesCS7B01G389100;TraesCS1A01G293000;TraesCS3B01G569500;TraesCS7A01G485700;TraesCS7D01G472500;TraesCS3A01G054300</t>
  </si>
  <si>
    <t>TraesCS4B01G011600;TraesCS4B01G011200;TraesCS6A01G020400;TraesCS4B01G011000;TraesCS7A01G502300;TraesCS7D01G525900;TraesCS7D01G489600;TraesCS4D01G008700;TraesCS7A01G511300;TraesCS4D01G008900;TraesCS5A01G458200;TraesCS4A01G302300;TraesCS4A01G304200;TraesCS4A01G302700;TraesCS4A01G302500;TraesCS6B01G408800;TraesCS6D01G021500;TraesCS4B01G010900;TraesCS6D01G029700;TraesCS6A01G011800;TraesCS6D01G067900;TraesCS7A01G511100;TraesCS5B01G462300;TraesCS2D01G071000;TraesCS4B01G010700;TraesCS5A01G452800;TraesCS7D01G012700;TraesCS6A01G013300;TraesCS3A01G473800;TraesCS1B01G061400;TraesCS3B01G517000;TraesCS3A01G473600;TraesCS2B01G087000;TraesCS6D01G030000;TraesCS4D01G009800;TraesCS4D01G009400;TraesCS6A01G026200;TraesCS4D01G009600;TraesCS5A01G453500;TraesCS2D01G070900;TraesCS5D01G463200;TraesCS5B01G461800;TraesCS6A01G364400;TraesCS4B01G011500;TraesCS6D01G014700;TraesCS2A01G072100;TraesCS4B01G011700;TraesCS4B01G011100;TraesCS6A01G012000;TraesCS4B01G011300;TraesCS6D01G014900;TraesCSU01G214800;TraesCS1A01G445100;TraesCS1A01G445300;TraesCS4D01G008600;TraesCS4D01G010000;TraesCS6B01G408900;TraesCS1D01G453400;TraesCS5D01G464100;TraesCS4B01G010800;TraesCS7A01G146600;TraesCSU01G240700;TraesCS6B01G018400;TraesCS1D01G453200;TraesCS6A01G011900;TraesCSU01G226300;TraesCSU01G060200;TraesCS7B01G408700;TraesCS5B01G462400;TraesCS1B01G061300;TraesCS6D01G355500;TraesCS6B01G027800;TraesCS4D01G009300;TraesCS5A01G395900;TraesCS4A01G480800;TraesCS2B01G087100;TraesCS7A01G510300;TraesCS4D01G009500;TraesCS4D01G009700;TraesCS5A01G453600</t>
  </si>
  <si>
    <t>TraesCS1A01G061100</t>
  </si>
  <si>
    <t>TraesCS4B01G011600;TraesCS4B01G011200;TraesCS6A01G020400;TraesCS4B01G011000;TraesCS7A01G502300;TraesCS7D01G525900;TraesCS7D01G489600;TraesCS4D01G008700;TraesCS7A01G511300;TraesCS4D01G008900;TraesCS5A01G458200;TraesCS4A01G302300;TraesCS6B01G230400;TraesCS4A01G304200;TraesCS4A01G302700;TraesCS4A01G302500;TraesCS6B01G408800;TraesCS6D01G021500;TraesCS4B01G010900;TraesCS6D01G029700;TraesCS6A01G011800;TraesCS6D01G067900;TraesCS7A01G511100;TraesCS5B01G462300;TraesCS2D01G071000;TraesCS4B01G010700;TraesCS5A01G452800;TraesCS7D01G012700;TraesCS6A01G013300;TraesCS3A01G473800;TraesCS1B01G061400;TraesCS3B01G517000;TraesCS3A01G473600;TraesCS2B01G087000;TraesCS6D01G030000;TraesCS4D01G009800;TraesCS4D01G009400;TraesCS6A01G026200;TraesCS4D01G009600;TraesCS5A01G453500;TraesCS2D01G070900;TraesCS5D01G463200;TraesCS5B01G461800;TraesCS6A01G364400;TraesCS4B01G011500;TraesCS6D01G014700;TraesCS2A01G072100;TraesCS4B01G011700;TraesCS4B01G011100;TraesCS6A01G012000;TraesCS4B01G011300;TraesCS6D01G014900;TraesCSU01G214800;TraesCS1A01G445100;TraesCS1A01G445300;TraesCS4D01G008600;TraesCS4D01G010000;TraesCS6B01G408900;TraesCS1D01G453400;TraesCS5D01G464100;TraesCS4B01G010800;TraesCS7A01G146600;TraesCSU01G240700;TraesCS6B01G018400;TraesCS1D01G453200;TraesCS6A01G011900;TraesCSU01G226300;TraesCSU01G060200;TraesCS7B01G408700;TraesCS5B01G462400;TraesCS1B01G061300;TraesCS6D01G355500;TraesCS6B01G027800;TraesCS4D01G009300;TraesCS5A01G395900;TraesCS4A01G480800;TraesCS2B01G087100;TraesCS7A01G510300;TraesCS4D01G009500;TraesCS4D01G009700;TraesCS5A01G453600</t>
  </si>
  <si>
    <t>TraesCS2B01G611300;TraesCS3D01G025700;TraesCS5A01G281800;TraesCS4B01G328100;TraesCS4B01G252200;TraesCS2D01G586800;TraesCS2B01G609300;TraesCS7D01G168000;TraesCS3B01G077600;TraesCS6D01G000200;TraesCS4A01G052100;TraesCS2A01G576000;TraesCS3B01G111200;TraesCS2A01G578500;TraesCS3B01G568800;TraesCS2D01G589700;TraesCS4B01G249400;TraesCS3D01G095700;TraesCS7D01G083700;TraesCS2D01G371800;TraesCS3D01G511600;TraesCS4D01G250000;TraesCS4D01G252300;TraesCS4D01G252500;TraesCS2A01G575600;TraesCS4D01G325000;TraesCS5D01G004300;TraesCS2B01G501800;TraesCS2B01G392500;TraesCS3B01G416500;TraesCS2D01G586300;TraesCS2B01G611200;TraesCS4B01G328000;TraesCS4D01G066000;TraesCS7B01G241000;TraesCS3D01G096000;TraesCS3A01G384600;TraesCS3B01G037600;TraesCS4A01G052000;TraesCS5B01G281000;TraesCS7D01G391100;TraesCS4A01G247900;TraesCS2A01G576100;TraesCS2B01G502800;TraesCS7B01G072000;TraesCS5B01G003500;TraesCS4D01G252400;TraesCS6D01G094500;TraesCS4D01G252600;TraesCS4D01G325100;TraesCS7A01G341900;TraesCS7A01G395600;TraesCS5D01G004000;TraesCS3D01G377500;TraesCS4A01G248000;TraesCS7B01G297500;TraesCS3B01G009700;TraesCS3B01G569500;TraesCS2B01G501700</t>
  </si>
  <si>
    <t>TraesCS3A01G451300;TraesCS1A01G398200;TraesCS6D01G146400;TraesCS3A01G451700;TraesCS4A01G473700;TraesCS3A01G451500;TraesCS4B01G315500;TraesCS7B01G088300;TraesCS7D01G185100;TraesCS3D01G434600;TraesCS3D01G443800;TraesCS2B01G110100;TraesCS7B01G466100;TraesCS2D01G171400;TraesCS6A01G157100;TraesCS6D01G396800;TraesCS3B01G476300;TraesCS1A01G237600;TraesCS1D01G405700;TraesCS1B01G039900;TraesCS3A01G445500;TraesCS6B01G016000;TraesCS7D01G215400;TraesCS2A01G094900;TraesCS3A01G454700;TraesCS3B01G493400;TraesCS5A01G496600;TraesCS6A01G143500;TraesCS2A01G579000;TraesCS3D01G435300;TraesCS3A01G045100;TraesCS1A01G014000;TraesCS3D01G435100;TraesCS3A01G442400;TraesCS5A01G344100;TraesCS6B01G369500;TraesCS5D01G056100;TraesCS2A01G164500;TraesCS3A01G451900;TraesCS3B01G475700;TraesCS3D01G444200;TraesCS7A01G183500;TraesCS2A01G013100;TraesCS5A01G046400;TraesCS5B01G050900;TraesCS3A01G451400;TraesCS6D01G314800;TraesCS3A01G451800;TraesCS7B01G465900;TraesCS3A01G451600;TraesCS2B01G034400;TraesCS2D01G003000;TraesCS3B01G488700;TraesCS7D01G185200;TraesCS7D01G185000;TraesCS7B01G088400;TraesCS7B01G466000;TraesCSU01G267500;TraesCS1B01G049000;TraesCS3A01G116500;TraesCS3D01G438300;TraesCS6D01G373700;TraesCS2D01G092900;TraesCS3B01G476200;TraesCS7A01G543900;TraesCS3A01G441800;TraesCS4A01G247900;TraesCS3B01G480100;TraesCS6A01G126100;TraesCS2B01G190300;TraesCS4B01G324000;TraesCS1A01G237500;TraesCS3D01G447500;TraesCS6A01G233200;TraesCS1D01G011900;TraesCS2B01G502800;TraesCS6B01G184900;TraesCS3B01G493500;TraesCS2D01G025200;TraesCS3A01G454800;TraesCS3B01G493300;TraesCS2D01G004400;TraesCS3A01G442700;TraesCS4B01G109700;TraesCS5D01G056600;TraesCS3A01G442500;TraesCS4D01G107100;TraesCS3D01G444300;TraesCS7A01G183400;TraesCS7A01G183600;TraesCS1A01G238200;TraesCS2A01G164400;TraesCS2B01G547900;TraesCS1B01G426100</t>
  </si>
  <si>
    <t>TraesCS7A01G009500;TraesCS1D01G075100;TraesCS3B01G530500;TraesCS3D01G130300;TraesCS7D01G009100;TraesCS4B01G229500;TraesCS2D01G402000;TraesCS6D01G089200;TraesCS2A01G548600;TraesCS5B01G394300;TraesCS7B01G472300;TraesCS2A01G588900;TraesCS3D01G478900;TraesCS5A01G554200;TraesCS2A01G588700;TraesCS7A01G404200;TraesCS3A01G083900;TraesCS6B01G058000;TraesCS2D01G201900;TraesCS4B01G026100;TraesCS5D01G449000;TraesCS7B01G370700;TraesCS1B01G090700;TraesCS3A01G483700;TraesCS6D01G048900;TraesCS5B01G011700;TraesCS5B01G476000;TraesCS5B01G403700;TraesCS2A01G405300;TraesCS2B01G423400;TraesCS5B01G011800;TraesCS3B01G151700;TraesCS7A01G549200;TraesCS5B01G309700;TraesCS2B01G423200;TraesCS3D01G133800;TraesCS4D01G023500;TraesCS7D01G016300;TraesCSU01G066000;TraesCS1D01G074800;TraesCS2A01G549500;TraesCS2B01G327300;TraesCS2D01G172300;TraesCS7D01G535500;TraesCS4A01G485600;TraesCS3B01G099000;TraesCS2A01G405100;TraesCS2D01G550500;TraesCS3B01G530600;TraesCS3D01G478800;TraesCS7D01G009200;TraesCS2D01G402100;TraesCS5A01G309000;TraesCS5A01G441700;TraesCS6A01G060800;TraesCS3B01G148500;TraesCS5A01G464500;TraesCS7A01G009600;TraesCS2A01G061600;TraesCS7D01G397600;TraesCS1B01G270100;TraesCS7D01G054800;TraesCS4A01G073300;TraesCS5A01G513600;TraesCS5D01G019100;TraesCS1A01G103600;TraesCS2D01G402300;TraesCS1A01G365300;TraesCS5B01G556700;TraesCS3B01G418300;TraesCS1A01G072100;TraesCS5D01G448800;TraesCS7A01G549300;TraesCS1A01G072300;TraesCS2B01G580100;TraesCS3A01G483800;TraesCS2B01G423300;TraesCS5D01G553000;TraesCS6A01G042400;TraesCS7B01G303800;TraesCS5D01G551900;TraesCS1D01G074700;TraesCS5D01G477100;TraesCS2D01G550400;TraesCS3A01G144600;TraesCS7A01G019400;TraesCS4A01G485700;TraesCS3A01G308800;TraesCS5B01G475700;TraesCS4B01G344700;TraesCS4A01G288700</t>
  </si>
  <si>
    <t>TraesCS4A01G205000;TraesCS4B01G011600;TraesCS4B01G011200;TraesCS4B01G246800;TraesCS6A01G020400;TraesCS4B01G011000;TraesCS7A01G502300;TraesCS7D01G525900;TraesCS7D01G489600;TraesCS4D01G008700;TraesCS7A01G511300;TraesCS1D01G337400;TraesCS4D01G008900;TraesCS5A01G458200;TraesCS4A01G302300;TraesCS6B01G230400;TraesCS4A01G304200;TraesCS4A01G302700;TraesCS4A01G302500;TraesCS6B01G408800;TraesCS6D01G021500;TraesCS4B01G010900;TraesCS6D01G029700;TraesCS6A01G011800;TraesCS6D01G067900;TraesCS7A01G511100;TraesCS5B01G462300;TraesCS2D01G071000;TraesCS4B01G010700;TraesCS5A01G452800;TraesCS7D01G012700;TraesCS6A01G013300;TraesCS3A01G473800;TraesCS1B01G061400;TraesCS3B01G517000;TraesCS3D01G412800;TraesCS3A01G473600;TraesCS2B01G087000;TraesCS6D01G030000;TraesCS4D01G009800;TraesCS1D01G389400;TraesCS4D01G009400;TraesCS6A01G026200;TraesCS4D01G009600;TraesCS4D01G246100;TraesCS5A01G453500;TraesCS2D01G070900;TraesCS5D01G463200;TraesCS5B01G461800;TraesCS6A01G364400;TraesCS4B01G011500;TraesCS6D01G014700;TraesCS2A01G072100;TraesCS4B01G011700;TraesCS4B01G011100;TraesCS6A01G012000;TraesCS4B01G011300;TraesCS6D01G014900;TraesCSU01G214800;TraesCS3A01G116500;TraesCS4B01G108700;TraesCS1A01G445100;TraesCS1A01G445300;TraesCS4D01G008600;TraesCS4D01G010000;TraesCS6B01G408900;TraesCS1D01G453400;TraesCS5D01G464100;TraesCS4B01G010800;TraesCS7A01G146600;TraesCSU01G240700;TraesCS6B01G018400;TraesCS1D01G453200;TraesCS6A01G011900;TraesCS4D01G105800;TraesCSU01G226300;TraesCSU01G060200;TraesCS7B01G408700;TraesCS5B01G462400;TraesCS1B01G061300;TraesCS6D01G355500;TraesCS6B01G027800;TraesCS4D01G009300;TraesCS5A01G395900;TraesCS4A01G480800;TraesCS2B01G087100;TraesCS7A01G510300;TraesCS4D01G009500;TraesCS4D01G009700;TraesCS1A01G381600;TraesCS5A01G453600;TraesCS6B01G240900</t>
  </si>
  <si>
    <t>TraesCS3A01G153700;TraesCS3A01G325800;TraesCS3D01G319200;TraesCS5A01G155900;TraesCS7D01G135600;TraesCS6A01G097700;TraesCS3B01G404200;TraesCS7A01G135400;TraesCS1D01G337400;TraesCS4D01G297900;TraesCS7B01G036500;TraesCS2D01G100800;TraesCS6B01G392600;TraesCS7D01G108100;TraesCS3A01G372000;TraesCS3B01G176200;TraesCS3D01G351500;TraesCS1A01G032700;TraesCS6A01G011800;TraesCS7A01G511100;TraesCS3B01G517000;TraesCS3A01G473600;TraesCS1B01G283000;TraesCS2B01G622300;TraesCS7D01G216800;TraesCS3A01G006200;TraesCS6D01G405000;TraesCS5A01G344100;TraesCS3D01G352600;TraesCS4B01G388900;TraesCS7D01G118600;TraesCS2B01G118200;TraesCS6A01G012000;TraesCS7A01G168100;TraesCS7D01G135700;TraesCS5B01G266800;TraesCS4B01G227900;TraesCS3A01G305300;TraesCS2D01G100700;TraesCS6B01G427100;TraesCS6B01G467600;TraesCS4D01G182100;TraesCS6B01G018400;TraesCS7A01G121100;TraesCS2A01G325900;TraesCS2A01G101000;TraesCS3D01G314100;TraesCS2B01G530800;TraesCS1B01G265000;TraesCS7B01G299400;TraesCS5B01G154100;TraesCS1A01G096800;TraesCS3D01G352700;TraesCS3A01G149000;TraesCS7D01G135000;TraesCS6D01G404900;TraesCS7A01G168000;TraesCS3B01G404400;TraesCS7D01G525900;TraesCS3B01G354900;TraesCS7A01G135600;TraesCS7A01G511300;TraesCS1B01G435000;TraesCS5B01G091000;TraesCS3B01G138800;TraesCS2D01G100600;TraesCS7A01G130700;TraesCS7B01G036700;TraesCS7B01G019400;TraesCS6A01G420900;TraesCS2B01G355300;TraesCS3A01G357600;TraesCS6B01G241100;TraesCS3A01G473800;TraesCS7D01G169000;TraesCS1B01G434700;TraesCS5B01G265300;TraesCS7B01G364000;TraesCS3D01G364900;TraesCS1D01G204500;TraesCS2D01G336300;TraesCS6B01G235900;TraesCS3B01G349300;TraesCS7D01G069700;TraesCS5D01G178800;TraesCS1A01G404900;TraesCS7D01G216600;TraesCS7B01G094000;TraesCS1D01G268200;TraesCS3B01G400500;TraesCS1B01G236900;TraesCS7A01G399500;TraesCS7B01G121900;TraesCS3D01G361600;TraesCS4D01G082600;TraesCS4A01G006100;TraesCS6B01G125900;TraesCS7B01G072800;TraesCS3B01G390300;TraesCS2D01G234000;TraesCS5D01G320800;TraesCS6A01G420800;TraesCS6B01G142000;TraesCS2D01G560000;TraesCS6A01G420700;TraesCS1B01G434800;TraesCS7B01G100300;TraesCS3B01G180300;TraesCS3A01G368700;TraesCS5D01G411500;TraesCS2B01G411600;TraesCS7A01G074600;TraesCS2D01G526000;TraesCS5D01G161000;TraesCS7D01G130100;TraesCS5A01G491600;TraesCS2A01G401200;TraesCS2D01G601800;TraesCS3A01G317100;TraesCS7D01G416300;TraesCS4D01G316900;TraesCS7D01G135200;TraesCS7A01G135000;TraesCS2A01G326600;TraesCS1A01G004500;TraesCS1B01G435200;TraesCS7B01G121800;TraesCS3D01G361700;TraesCS2A01G352100;TraesCS5A01G265600;TraesCS4A01G495800;TraesCS6B01G096500;TraesCS7B01G019200;TraesCS6A01G420600;TraesCS1B01G434900;TraesCS3D01G412800;TraesCS7D01G312100;TraesCS1B01G374300;TraesCS2B01G589800;TraesCS6B01G229700;TraesCS3B01G515900;TraesCS2D01G571500;TraesCS3A01G358200;TraesCS3B01G391200;TraesCS2B01G617700;TraesCSU01G124200;TraesCS7A01G189200;TraesCS4A01G123800;TraesCS7A01G135100;TraesCS1A01G004400;TraesCS7D01G373700;TraesCS1B01G293300;TraesCS6B01G228500;TraesCS2A01G092500;TraesCS4D01G167100;TraesCS6D01G377300;TraesCS6B01G096600;TraesCS6A01G311700;TraesCS1B01G122500;TraesCS4B01G299000;TraesCS1A01G253100;TraesCS6B01G237900;TraesCS7A01G510300;TraesCS1D01G362000;TraesCS4A01G139000;TraesCS1A01G087700;TraesCS7A01G214500;TraesCS7B01G031000;TraesCS4D01G131500;TraesCS3D01G161100;TraesCS3A01G371900;TraesCS3B01G400200;TraesCS3D01G157100;TraesCS3D01G241200;TraesCS7A01G135200;TraesCS7A01G502300;TraesCS5D01G273500;TraesCS7D01G489600;TraesCS1D01G283100;TraesCS6D01G084900;TraesCS1D01G413000;TraesCS7A01G188800;TraesCS3A01G372200;TraesCS6B01G408800;TraesCS6B01G467500;TraesCS3B01G138400;TraesCS2A01G101100;TraesCS5D01G335900;TraesCS7A01G205100;TraesCS7A01G194700;TraesCS3A01G417300;TraesCS3B01G452200;TraesCS3A01G358400;TraesCS6D01G014700;TraesCS1B01G106800;TraesCS2D01G567700;TraesCS3A01G371800;TraesCS3D01G365000;TraesCS5A01G330200;TraesCS6D01G222500;TraesCS5D01G460700;TraesCS2A01G230400;TraesCS4B01G180600;TraesCS6B01G408900;TraesCS1D01G252700;TraesCS3A01G372100;TraesCS1B01G071300;TraesCS6A01G011900;TraesCS6D01G084200;TraesCS2A01G558100;TraesCS2A01G101200;TraesCS7B01G408700;TraesCS1A01G284300;TraesCS1A01G357600;TraesCS6D01G355500;TraesCS6A01G072000;TraesCS6B01G126600;TraesCS6B01G229400;TraesCS1A01G058400;TraesCS3B01G269100;TraesCS1B01G076300;TraesCS2A01G554300</t>
  </si>
  <si>
    <t>TraesCS4A01G205000;TraesCS1D01G304600;TraesCS4B01G246800;TraesCS6A01G020400;TraesCS4B01G011000;TraesCS2A01G139100;TraesCS4D01G008700;TraesCS1D01G337400;TraesCS4A01G302300;TraesCS6B01G230400;TraesCS4A01G304200;TraesCS4A01G302700;TraesCS1A01G032700;TraesCS6D01G029700;TraesCS6A01G011800;TraesCS7A01G511100;TraesCS4B01G010700;TraesCS5A01G452800;TraesCS7D01G012700;TraesCS6A01G013300;TraesCS3B01G517000;TraesCS3D01G412800;TraesCS3A01G473600;TraesCS6D01G030000;TraesCS4D01G009800;TraesCS1D01G389400;TraesCS4D01G009400;TraesCS5A01G453500;TraesCS2D01G070900;TraesCS5B01G461800;TraesCS1B01G315300;TraesCS6A01G364400;TraesCS4B01G011700;TraesCS6A01G012000;TraesCS4B01G011300;TraesCS6D01G014900;TraesCS3A01G116500;TraesCS1A01G445100;TraesCS1D01G453400;TraesCS7A01G146600;TraesCSU01G240700;TraesCS6B01G018400;TraesCS4D01G105800;TraesCSU01G226300;TraesCS5B01G462400;TraesCS1B01G061300;TraesCS6B01G027800;TraesCS5A01G395900;TraesCS7A01G510300;TraesCS4D01G009500;TraesCS1A01G381600;TraesCS5A01G453600;TraesCS6B01G240900;TraesCS4B01G011600;TraesCS2A01G324100;TraesCS4B01G011200;TraesCS7A01G502300;TraesCS7D01G525900;TraesCS7D01G489600;TraesCS7A01G511300;TraesCS4D01G008900;TraesCS5A01G458200;TraesCS1D01G304000;TraesCS4A01G302500;TraesCS6B01G408800;TraesCS6D01G021500;TraesCS4B01G010900;TraesCS6D01G067900;TraesCS5B01G462300;TraesCS2D01G071000;TraesCS3A01G473800;TraesCS1B01G061400;TraesCS2B01G087000;TraesCS6B01G235900;TraesCS6A01G026200;TraesCS4D01G009600;TraesCS4D01G246100;TraesCS5D01G463200;TraesCSU01G094800;TraesCS4B01G011500;TraesCS6D01G014700;TraesCS2A01G072100;TraesCS1A01G304700;TraesCS4B01G011100;TraesCSU01G214800;TraesCS4B01G108700;TraesCS1A01G445300;TraesCS4D01G008600;TraesCS4D01G010000;TraesCS6B01G408900;TraesCS5D01G464100;TraesCS4B01G010800;TraesCS1D01G453200;TraesCS6A01G011900;TraesCSU01G060200;TraesCS7B01G408700;TraesCS1A01G284300;TraesCS6D01G355500;TraesCS4D01G009300;TraesCS4A01G480800;TraesCS2B01G087100;TraesCS3A01G123800;TraesCS6B01G229400;TraesCS4D01G009700;TraesCS7B01G390200</t>
  </si>
  <si>
    <t>TraesCS4A01G205000;TraesCS4B01G011600;TraesCS4B01G011200;TraesCS4B01G246800;TraesCS6A01G020400;TraesCS4B01G011000;TraesCS7A01G502300;TraesCS7D01G525900;TraesCS7D01G489600;TraesCS4D01G008700;TraesCS7A01G511300;TraesCS1D01G337400;TraesCS4D01G008900;TraesCS5A01G458200;TraesCS4A01G302300;TraesCS6B01G230400;TraesCS4A01G304200;TraesCS4A01G302700;TraesCS4A01G302500;TraesCS6B01G408800;TraesCS6D01G021500;TraesCS4B01G010900;TraesCS6D01G029700;TraesCS6A01G011800;TraesCS6D01G067900;TraesCS7A01G511100;TraesCS5B01G462300;TraesCS2D01G071000;TraesCS4B01G010700;TraesCS5A01G452800;TraesCS7D01G012700;TraesCS6A01G013300;TraesCS3A01G473800;TraesCS1B01G061400;TraesCS3B01G517000;TraesCS3D01G412800;TraesCS3A01G473600;TraesCS2B01G087000;TraesCS6D01G030000;TraesCS4D01G009800;TraesCS1D01G389400;TraesCS4D01G009400;TraesCS6A01G026200;TraesCS4D01G009600;TraesCS4D01G246100;TraesCS5A01G453500;TraesCS2D01G070900;TraesCS5D01G463200;TraesCS5B01G461800;TraesCSU01G094800;TraesCS6A01G364400;TraesCS4B01G011500;TraesCS6D01G014700;TraesCS2A01G072100;TraesCS4B01G011700;TraesCS4B01G011100;TraesCS6A01G012000;TraesCS4B01G011300;TraesCS6D01G014900;TraesCSU01G214800;TraesCS3A01G116500;TraesCS4B01G108700;TraesCS1A01G445100;TraesCS1A01G445300;TraesCS4D01G008600;TraesCS4D01G010000;TraesCS6B01G408900;TraesCS1D01G453400;TraesCS5D01G464100;TraesCS4B01G010800;TraesCS7A01G146600;TraesCSU01G240700;TraesCS6B01G018400;TraesCS1D01G453200;TraesCS6A01G011900;TraesCS4D01G105800;TraesCSU01G226300;TraesCSU01G060200;TraesCS7B01G408700;TraesCS5B01G462400;TraesCS1B01G061300;TraesCS6D01G355500;TraesCS6B01G027800;TraesCS4D01G009300;TraesCS5A01G395900;TraesCS4A01G480800;TraesCS2B01G087100;TraesCS4B01G109700;TraesCS7A01G510300;TraesCS4D01G009500;TraesCS4D01G107100;TraesCS4D01G009700;TraesCS1A01G381600;TraesCS5A01G453600;TraesCS6B01G240900</t>
  </si>
  <si>
    <t>TraesCS2A01G453000;TraesCS4B01G328000;TraesCS4D01G066000;TraesCS4B01G328100;TraesCS2B01G474400;TraesCS2D01G371800;TraesCS5B01G003500;TraesCS3D01G096000;TraesCS4A01G460600;TraesCS4D01G325100;TraesCS5B01G281000;TraesCS2D01G311600;TraesCS4D01G325000;TraesCS6D01G000200;TraesCS4A01G247900;TraesCS5D01G030100;TraesCS7D01G303400;TraesCS2A01G313100;TraesCS2B01G330200;TraesCS2B01G502800;TraesCS7D01G472500;TraesCS2B01G392500;TraesCS5A01G024200</t>
  </si>
  <si>
    <t>TraesCS7A01G009500;TraesCS1D01G075100;TraesCS3B01G530500;TraesCS4B01G229500;TraesCS6D01G089200;TraesCS7B01G174100;TraesCS7B01G067000;TraesCS5A01G554200;TraesCS2A01G588700;TraesCS3A01G083900;TraesCS1A01G091500;TraesCS6B01G058000;TraesCS2D01G201900;TraesCS4B01G026100;TraesCS7B01G370700;TraesCS1D01G237400;TraesCS1B01G090700;TraesCS3A01G483700;TraesCS6D01G048900;TraesCS5B01G011700;TraesCS5B01G476000;TraesCS5B01G403700;TraesCS2B01G423400;TraesCS5B01G011800;TraesCS3B01G151700;TraesCS7A01G549200;TraesCSU01G066000;TraesCS1D01G074800;TraesCS2A01G549500;TraesCS1A01G099100;TraesCS1B01G248900;TraesCS2B01G327300;TraesCS2D01G172300;TraesCS7D01G535500;TraesCS4A01G485600;TraesCS2A01G405100;TraesCS3B01G530600;TraesCS7B01G375300;TraesCS5A01G464500;TraesCS7D01G397600;TraesCS7D01G054800;TraesCS7D01G182600;TraesCS4A01G073300;TraesCS5A01G513600;TraesCS5D01G019100;TraesCS2D01G402300;TraesCS1A01G365300;TraesCS1A01G072100;TraesCS2B01G194200;TraesCS5D01G448800;TraesCS7A01G549300;TraesCS7D01G276200;TraesCS3A01G483800;TraesCS5D01G553000;TraesCS6A01G042400;TraesCS7B01G303800;TraesCS5D01G551900;TraesCS5D01G477100;TraesCS2D01G550400;TraesCS3A01G308800;TraesCS1A01G312400;TraesCS5B01G475700;TraesCS3B01G525400;TraesCS4B01G344700;TraesCS4A01G288700;TraesCS3D01G130300;TraesCS7D01G009100;TraesCS2D01G402000;TraesCS3A01G480900;TraesCS2D01G175600;TraesCS2A01G548600;TraesCS5B01G394300;TraesCS7B01G472300;TraesCS2A01G588900;TraesCS3D01G478900;TraesCS7A01G404200;TraesCS5D01G449000;TraesCS2A01G405300;TraesCS5B01G309700;TraesCS2B01G423200;TraesCS3D01G133800;TraesCS4D01G023500;TraesCS7D01G016300;TraesCS1A01G234700;TraesCS3B01G099000;TraesCS2D01G550500;TraesCS3D01G478800;TraesCS7D01G009200;TraesCS4B01G172700;TraesCS2D01G402100;TraesCS5A01G309000;TraesCS5A01G441700;TraesCS6A01G060800;TraesCS7B01G085800;TraesCS3B01G148500;TraesCS7A01G009600;TraesCS2A01G061600;TraesCS1B01G270100;TraesCS1A01G103600;TraesCS5B01G556700;TraesCS3B01G418300;TraesCS1A01G072300;TraesCS2B01G580100;TraesCS6B01G226700;TraesCS2B01G423300;TraesCS1D01G074700;TraesCS5B01G202200;TraesCS3A01G144600;TraesCS7A01G019400;TraesCS4A01G485700</t>
  </si>
  <si>
    <t>TraesCS5A01G206400;TraesCS3A01G153700;TraesCS5D01G212600;TraesCS6D01G404900;TraesCS6D01G222500;TraesCS7A01G502300;TraesCS1A01G004400;TraesCS7A01G135600;TraesCS1A01G004500;TraesCS7D01G489600;TraesCS1B01G435000;TraesCS1B01G293300;TraesCS4D01G297900;TraesCS2A01G230400;TraesCS6B01G228500;TraesCS1D01G283100;TraesCS2A01G092500;TraesCS6B01G467600;TraesCS6B01G467500;TraesCS6A01G420900;TraesCS2D01G234000;TraesCS6A01G420800;TraesCS6A01G420700;TraesCS6A01G420600;TraesCS5B01G204600;TraesCS1A01G357600;TraesCS1B01G434800;TraesCS1B01G434700;TraesCS3A01G368700;TraesCS4B01G299000;TraesCS6D01G405000;TraesCS2D01G091500;TraesCS7D01G130100;TraesCS1A01G096800;TraesCS3B01G515900;TraesCS4D01G131500;TraesCS3D01G161100;TraesCS1A01G404900</t>
  </si>
  <si>
    <t>TraesCS4B01G328000;TraesCS4D01G066000;TraesCS4B01G328100;TraesCS2D01G371800;TraesCS5B01G003500;TraesCS3D01G096000;TraesCS4D01G325100;TraesCS5B01G281000;TraesCS4D01G325000;TraesCS6D01G000200;TraesCS4A01G247900;TraesCS2B01G502800;TraesCS2B01G392500</t>
  </si>
  <si>
    <t>TraesCS4B01G013700;TraesCS3D01G369300;TraesCS6B01G410400;TraesCS7A01G502500;TraesCS2D01G099600;TraesCS7B01G046700;TraesCS3B01G031000;TraesCS1A01G094100;TraesCS4A01G387500;TraesCS7B01G492500;TraesCS7D01G544900;TraesCS7A01G565800;TraesCS2D01G099200;TraesCS5A01G244500;TraesCS4D01G082500;TraesCS5A01G246000;TraesCS2B01G116400;TraesCS5A01G255900;TraesCS4D01G264700;TraesCS2D01G098900;TraesCS2B01G127400;TraesCS5A01G093500;TraesCS2D01G119400;TraesCSU01G182400;TraesCS6B01G088600;TraesCS3D01G039200;TraesCSU01G079100;TraesCS3B01G139800;TraesCS4A01G043900;TraesCS7D01G499500;TraesCS2D01G109600;TraesCS2D01G112800;TraesCS2A01G412300;TraesCS4A01G387600;TraesCS3B01G323300;TraesCS2B01G131100;TraesCS7B01G420600;TraesCS3D01G122500;TraesCS2B01G116300;TraesCS2A01G115800;TraesCS5D01G523200;TraesCS6B01G054200;TraesCS7D01G083600;TraesCS2B01G117100;TraesCS6B01G064500;TraesCS3A01G028000;TraesCS3B01G531000;TraesCS5D01G251100;TraesCS6B01G231000;TraesCS6B01G229200;TraesCS6D01G045100;TraesCS7B01G419900;TraesCS6D01G020500;TraesCSU01G119800;TraesCS7B01G409500;TraesCS5D01G105800;TraesCS6B01G055200;TraesCS2D01G099000;TraesCS3B01G018100;TraesCS6B01G024700;TraesCS3A01G048300;TraesCS7B01G492300;TraesCS1B01G249800;TraesCS3B01G030900;TraesCS2B01G135400;TraesCS7B01G420700;TraesCS2B01G116200;TraesCS6A01G048100;TraesCS2B01G116600;TraesCS3D01G018000;TraesCS1B01G122200;TraesCS1B01G453400;TraesCS6B01G064600;TraesCS7B01G384500;TraesCS2A01G386700;TraesCS7A01G510200;TraesCS4B01G264700;TraesCS7A01G088300;TraesCS4B01G084600;TraesCS2A01G099500;TraesCS6D01G356600;TraesCS3B01G018200;TraesCS6B01G231700;TraesCS7D01G489900;TraesCS1A01G192900;TraesCS6D01G039600;TraesCS7A01G565700;TraesCS2A01G100100;TraesCS3A01G374400;TraesCS2D01G383300;TraesCS5A01G194200;TraesCS1D01G238300;TraesCS5D01G196600;TraesCS3D01G028300;TraesCS5D01G083200;TraesCS5B01G099600;TraesCS5B01G242300;TraesCS3D01G288300;TraesCS7B01G492200;TraesCS2B01G404000;TraesCS4D01G011500;TraesCS6B01G407700</t>
  </si>
  <si>
    <t>TraesCS7D01G487100;TraesCS3B01G196600;TraesCS4B01G013700;TraesCS7A01G009500;TraesCS7B01G407400;TraesCS1B01G259800;TraesCS7A01G500200;TraesCS7A01G502500;TraesCS2D01G099600;TraesCS4B01G229500;TraesCS5B01G440200;TraesCS7A01G336500;TraesCS6D01G354000;TraesCS1B01G261200;TraesCS4A01G387500;TraesCS2A01G588700;TraesCS5A01G244500;TraesCS4D01G082500;TraesCS6B01G230400;TraesCS4B01G026100;TraesCS5A01G246000;TraesCS7B01G370700;TraesCS2B01G330200;TraesCS2A01G073800;TraesCS5A01G024200;TraesCS5B01G403700;TraesCS2B01G423400;TraesCS3B01G151700;TraesCS1B01G254900;TraesCS2D01G119400;TraesCSU01G182400;TraesCS5A01G396100;TraesCS6B01G088600;TraesCS2D01G172300;TraesCS7D01G535500;TraesCS2B01G159400;TraesCS4A01G485600;TraesCS7A01G048200;TraesCS3D01G039200;TraesCS3B01G139800;TraesCS2A01G405100;TraesCS6D01G324600;TraesCS2D01G109600;TraesCS1A01G107200;TraesCS3A01G235100;TraesCS2D01G112800;TraesCS1D01G317100;TraesCS2A01G412300;TraesCS4A01G387600;TraesCS6A01G370300;TraesCS5B01G072900;TraesCS1D01G250200;TraesCS7B01G420600;TraesCS3D01G122500;TraesCS7D01G182600;TraesCS5A01G513600;TraesCS7D01G083600;TraesCS2B01G117100;TraesCS5D01G553000;TraesCS6A01G042400;TraesCS6B01G064500;TraesCS5D01G251100;TraesCS2D01G550400;TraesCS2D01G311600;TraesCS6B01G229200;TraesCS6D01G045100;TraesCS3A01G144400;TraesCS3A01G308800;TraesCSU01G119800;TraesCS5D01G499900;TraesCS7B01G409500;TraesCS7D01G009100;TraesCS6B01G055200;TraesCS7D01G313500;TraesCS2D01G099000;TraesCS2A01G548600;TraesCS2A01G588900;TraesCS3D01G478900;TraesCS2B01G135400;TraesCS3A01G225200;TraesCS6B01G406900;TraesCS6B01G238600;TraesCS2B01G116200;TraesCS6B01G375900;TraesCS6A01G103200;TraesCS6A01G048100;TraesCS5B01G309700;TraesCS7D01G016300;TraesCS1B01G453400;TraesCS6B01G064600;TraesCS7B01G384500;TraesCS4D01G357800;TraesCS7A01G510200;TraesCS6B01G206600;TraesCS7A01G088300;TraesCS2A01G313100;TraesCS5B01G400900;TraesCS7D01G069700;TraesCS4B01G084600;TraesCS3D01G478800;TraesCS7A01G500300;TraesCS7D01G009200;TraesCS5A01G309000;TraesCS5A01G441700;TraesCS5D01G405400;TraesCS7D01G489900;TraesCS3B01G148500;TraesCS1A01G192900;TraesCS6D01G039600;TraesCS3D01G036700;TraesCS5B01G499700;TraesCS1B01G270100;TraesCS1A01G250600;TraesCS1A01G072300;TraesCS2B01G580100;TraesCS1B01G124600;TraesCS6B01G354400;TraesCS6D01G363400;TraesCS1D01G074700;TraesCS5B01G202200;TraesCS5B01G242300;TraesCS3D01G288300;TraesCS7D01G157800;TraesCS6B01G229000;TraesCS6A01G131300;TraesCS7A01G074600;TraesCS4A01G485700;TraesCS4A01G431200;TraesCS1D01G075100;TraesCS3B01G530500;TraesCS3D01G369300;TraesCS6B01G410400;TraesCS6D01G089200;TraesCS7B01G046700;TraesCS1D01G442200;TraesCS5A01G554200;TraesCS2D01G099200;TraesCS3A01G083900;TraesCS6B01G058000;TraesCS2D01G201900;TraesCS4A01G119400;TraesCS2B01G116400;TraesCS1B01G090700;TraesCS3A01G483700;TraesCS6D01G048900;TraesCS5A01G255900;TraesCS4D01G264700;TraesCS5B01G011700;TraesCS5B01G476000;TraesCS5B01G011800;TraesCS6B01G224900;TraesCS2D01G098900;TraesCS7A01G549200;TraesCS3B01G380200;TraesCSU01G066000;TraesCS1D01G074800;TraesCS2B01G127400;TraesCS5A01G358900;TraesCS2A01G549500;TraesCS5A01G485900;TraesCS2B01G327300;TraesCS6B01G240600;TraesCSU01G079100;TraesCS4A01G043900;TraesCS7D01G499500;TraesCS7D01G384600;TraesCS3B01G530600;TraesCS3D01G235900;TraesCS3D01G172000;TraesCS4A01G460600;TraesCS2D01G137900;TraesCS5A01G464500;TraesCS7D01G487400;TraesCS3B01G323300;TraesCS7D01G397600;TraesCS2B01G131100;TraesCS5D01G030100;TraesCS7D01G054800;TraesCS4A01G073300;TraesCS2B01G116300;TraesCS5D01G019100;TraesCS7D01G303400;TraesCS2A01G115800;TraesCS5D01G523200;TraesCS2D01G402300;TraesCS1A01G365300;TraesCS1A01G072100;TraesCS5D01G448800;TraesCS6B01G054200;TraesCS7A01G549300;TraesCS7D01G524000;TraesCS3A01G483800;TraesCS7B01G303800;TraesCS5D01G551900;TraesCS5D01G477100;TraesCS6B01G159700;TraesCS3B01G531000;TraesCS6B01G231000;TraesCS3A01G169800;TraesCS7B01G419900;TraesCS5B01G475700;TraesCS6B01G229600;TraesCS7D01G053700;TraesCS3B01G171000;TraesCS4B01G344700;TraesCS4A01G288700;TraesCS3D01G130300;TraesCS2D01G402000;TraesCS7D01G042600;TraesCS5B01G394300;TraesCS6D01G091600;TraesCS7B01G472300;TraesCS1B01G249800;TraesCS7A01G404200;TraesCS1A01G249100;TraesCS7B01G420700;TraesCS5D01G449000;TraesCS6B01G427200;TraesCS2B01G116600;TraesCS2A01G405300;TraesCS2B01G423200;TraesCS3D01G133800;TraesCS4D01G023500;TraesCS6B01G230600;TraesCS2A01G386700;TraesCS4B01G264700;TraesCS3B01G099000;TraesCS6B01G166000;TraesCS2D01G550500;TraesCS6D01G121200;TraesCS2B01G474400;TraesCS2D01G402100;TraesCS2A01G099500;TraesCS6D01G356600;TraesCS6A01G060800;TraesCS7B01G085800;TraesCS6B01G231700;TraesCS7A01G009600;TraesCS2A01G061600;TraesCSU01G107100;TraesCS2A01G100100;TraesCS4B01G381900;TraesCS1D01G107600;TraesCS1A01G103600;TraesCS5B01G556700;TraesCS2D01G383300;TraesCS3B01G418300;TraesCS5A01G194200;TraesCS2A01G453000;TraesCS1D01G238300;TraesCS3B01G170900;TraesCS5D01G196600;TraesCS6B01G226700;TraesCS2B01G423300;TraesCS1A01G284300;TraesCS5D01G083200;TraesCS5D01G368100;TraesCS2B01G159300;TraesCS3A01G144600;TraesCS7A01G019400;TraesCS2A01G575900;TraesCS2B01G404000;TraesCS4D01G011500;TraesCS6B01G229400;TraesCS6B01G407700;TraesCS7B01G390200;TraesCS7D01G472500;TraesCS7A01G537400</t>
  </si>
  <si>
    <t>TraesCS4B01G013700;TraesCS7B01G409500;TraesCS3D01G369300;TraesCS6B01G410400;TraesCS7A01G502500;TraesCS2D01G099600;TraesCS6B01G055200;TraesCS7B01G046700;TraesCS2D01G099000;TraesCS1D01G442200;TraesCS4A01G387500;TraesCS2D01G099200;TraesCS1B01G249800;TraesCS5A01G244500;TraesCS4D01G082500;TraesCS2B01G135400;TraesCS7B01G420700;TraesCS5A01G246000;TraesCS2B01G116400;TraesCS2B01G116200;TraesCS5A01G255900;TraesCS4D01G264700;TraesCS6A01G048100;TraesCS2B01G116600;TraesCS2D01G098900;TraesCS2B01G127400;TraesCS1B01G453400;TraesCS6B01G064600;TraesCS7B01G384500;TraesCS2D01G119400;TraesCSU01G182400;TraesCS2A01G386700;TraesCS7A01G510200;TraesCS4B01G264700;TraesCS6B01G088600;TraesCS7A01G088300;TraesCS3D01G039200;TraesCSU01G079100;TraesCS3B01G139800;TraesCS4A01G043900;TraesCS7D01G499500;TraesCS2D01G109600;TraesCS4B01G084600;TraesCS2D01G112800;TraesCS2A01G099500;TraesCS6D01G356600;TraesCS2A01G412300;TraesCS4A01G387600;TraesCS6B01G231700;TraesCS7D01G489900;TraesCS1A01G192900;TraesCS6D01G039600;TraesCS3B01G323300;TraesCS2B01G131100;TraesCS7B01G420600;TraesCS3D01G122500;TraesCSU01G107100;TraesCS2B01G116300;TraesCS2A01G100100;TraesCS2A01G115800;TraesCS5D01G523200;TraesCS2D01G383300;TraesCS5A01G194200;TraesCS6B01G054200;TraesCS7D01G083600;TraesCS1D01G238300;TraesCS7D01G524000;TraesCS2B01G117100;TraesCS5D01G196600;TraesCS5D01G083200;TraesCS6B01G064500;TraesCS5B01G242300;TraesCS3B01G531000;TraesCS3D01G288300;TraesCS5D01G251100;TraesCS6B01G231000;TraesCS6B01G229200;TraesCS6D01G045100;TraesCS2A01G575900;TraesCS2B01G404000;TraesCS4D01G011500;TraesCS7B01G419900;TraesCS6B01G407700;TraesCSU01G119800;TraesCS7A01G537400</t>
  </si>
  <si>
    <t>TraesCS2A01G453000;TraesCS2B01G474400;TraesCS4A01G460600;TraesCS2D01G137900;TraesCS2B01G159300;TraesCS7D01G157800;TraesCS2D01G311600;TraesCS5D01G030100;TraesCS2B01G159400;TraesCS7D01G303400;TraesCS2A01G313100;TraesCS2B01G330200;TraesCS6B01G375900;TraesCS7D01G472500;TraesCS5A01G024200;TraesCS6D01G324600</t>
  </si>
  <si>
    <t>TraesCS4B01G249400;TraesCS7B01G072000;TraesCS3D01G025700;TraesCS3D01G095700;TraesCS4B01G328000;TraesCS5A01G281800;TraesCS4B01G328100;TraesCS7D01G083700;TraesCS4D01G250000;TraesCS5B01G003500;TraesCS3D01G096000;TraesCS4D01G325100;TraesCS3B01G037600;TraesCS7D01G168000;TraesCS5B01G281000;TraesCS4D01G325000;TraesCS5D01G004300;TraesCS6D01G000200;TraesCS5D01G004000;TraesCS4A01G248000;TraesCS3B01G009700;TraesCS3B01G111200;TraesCS2B01G392500</t>
  </si>
  <si>
    <t>TraesCS5A01G452800;TraesCS1A01G445100;TraesCS1A01G445300;TraesCS5B01G462400;TraesCS6B01G408900;TraesCS1D01G453400;TraesCS5A01G453600;TraesCS5D01G464100;TraesCS7A01G502300;TraesCS7D01G489600;TraesCS1D01G453200</t>
  </si>
  <si>
    <t>TraesCS3A01G451300;TraesCS1A01G398200;TraesCS1D01G304600;TraesCS5A01G281800;TraesCS3A01G451700;TraesCS4B01G315500;TraesCS2A01G139100;TraesCS3D01G434600;TraesCS7B01G466100;TraesCS7B01G275200;TraesCS1A01G237600;TraesCS1D01G405700;TraesCS4A01G119400;TraesCS1B01G039900;TraesCS1A01G032700;TraesCS2A01G094900;TraesCS3A01G454700;TraesCS3B01G493400;TraesCS3D01G435300;TraesCS3A01G045100;TraesCS5A01G344100;TraesCS5D01G056100;TraesCS3B01G475700;TraesCS6D01G303600;TraesCS1B01G315300;TraesCS2A01G145000;TraesCS2A01G013100;TraesCS5A01G046400;TraesCS5B01G050900;TraesCS6D01G314800;TraesCS3A01G451600;TraesCS2B01G034400;TraesCS7D01G185200;TraesCS5B01G281000;TraesCS7B01G466000;TraesCSU01G267500;TraesCS3A01G116500;TraesCS2D01G092900;TraesCS3A01G441800;TraesCS3D01G185000;TraesCS4A01G247900;TraesCS3B01G480100;TraesCS3D01G447500;TraesCS6A01G233200;TraesCS2B01G502800;TraesCS2D01G148800;TraesCS6B01G383800;TraesCS2D01G025200;TraesCS3B01G493300;TraesCS2D01G004400;TraesCS4B01G109700;TraesCS5D01G056600;TraesCS3A01G442500;TraesCS3B01G009700;TraesCS7A01G183600;TraesCS2B01G547900;TraesCS6D01G146400;TraesCS4A01G473700;TraesCS2A01G324100;TraesCS3A01G451500;TraesCS7B01G088300;TraesCS7D01G185100;TraesCS3D01G443800;TraesCS7B01G275000;TraesCS2B01G110100;TraesCS2D01G171400;TraesCS6A01G157100;TraesCS6D01G396800;TraesCS3B01G476300;TraesCS6B01G230200;TraesCS1D01G304000;TraesCS3A01G445500;TraesCS6B01G016000;TraesCS7A01G352900;TraesCS7D01G215400;TraesCS5A01G496600;TraesCS6A01G143500;TraesCS2A01G579000;TraesCS6B01G235900;TraesCS1A01G014000;TraesCS3D01G435100;TraesCS3A01G442400;TraesCS6B01G369500;TraesCS2A01G164500;TraesCS3A01G451900;TraesCSU01G094800;TraesCS3D01G444200;TraesCS7A01G183500;TraesCS3A01G451400;TraesCS1A01G304700;TraesCS3A01G371800;TraesCS3A01G451800;TraesCS7B01G465900;TraesCS2D01G003000;TraesCS3B01G488700;TraesCS7D01G185000;TraesCS7B01G088400;TraesCS1B01G049000;TraesCS3D01G438300;TraesCS6D01G373700;TraesCS7D01G370000;TraesCS3B01G476200;TraesCS7A01G543900;TraesCS2B01G047400;TraesCS6A01G126100;TraesCS2B01G190300;TraesCS4B01G324000;TraesCS1A01G237500;TraesCS1D01G011900;TraesCS6B01G184900;TraesCS3B01G493500;TraesCS6B01G354400;TraesCS3A01G454800;TraesCS1A01G284300;TraesCS2B01G169900;TraesCS6B01G230900;TraesCS5B01G246900;TraesCS3D01G137100;TraesCS3A01G123800;TraesCS3A01G442700;TraesCS2D01G082100;TraesCS6B01G229400;TraesCS4D01G107100;TraesCS3A01G136300;TraesCS3D01G444300;TraesCS7A01G183400;TraesCS7B01G390200;TraesCS1A01G238200;TraesCS2A01G164400;TraesCS3B01G154200;TraesCS1B01G426100;TraesCS2B01G130500</t>
  </si>
  <si>
    <t>TraesCS3B01G196600;TraesCS1B01G259800;TraesCS5B01G440200;TraesCS7D01G313500;TraesCS6D01G363400;TraesCS1A01G284300;TraesCS5D01G405400;TraesCS3D01G172000;TraesCS6D01G091600;TraesCS5B01G072900;TraesCS1A01G249100;TraesCS5A01G396100;TraesCS3A01G169800;TraesCS5B01G400900;TraesCS6A01G103200</t>
  </si>
  <si>
    <t>TraesCS4B01G084600;TraesCS7B01G409500;TraesCS2D01G112800;TraesCS6B01G410400;TraesCS7A01G502500;TraesCS6D01G356600;TraesCS4A01G387600;TraesCS7D01G489900;TraesCS4A01G387500;TraesCS4D01G082500;TraesCS2B01G131100;TraesCS2B01G135400;TraesCS3D01G122500;TraesCSU01G107100;TraesCS2A01G115800;TraesCS6A01G048100;TraesCS7D01G083600;TraesCS2B01G127400;TraesCS6B01G064600;TraesCS6B01G064500;TraesCS2D01G119400;TraesCS6B01G229200;TraesCS6B01G407700;TraesCS7A01G088300;TraesCS3B01G139800;TraesCS2D01G109600</t>
  </si>
  <si>
    <t>TraesCS5B01G459100;TraesCS1B01G248900;TraesCS4B01G282000;TraesCS5D01G460700;TraesCS1A01G234700;TraesCS3A01G480900;TraesCS1D01G237400;TraesCS4D01G280700;TraesCS4A01G021400;TraesCS3B01G525400</t>
  </si>
  <si>
    <t>TraesCS4B01G013700;TraesCS7B01G409500;TraesCS3D01G369300;TraesCS6B01G410400;TraesCS7A01G502500;TraesCS2D01G099600;TraesCS6B01G055200;TraesCS7B01G046700;TraesCS2D01G099000;TraesCS1D01G442200;TraesCS4A01G387500;TraesCS2D01G099200;TraesCS5A01G244500;TraesCS4D01G082500;TraesCS2B01G135400;TraesCS7B01G420700;TraesCS5A01G246000;TraesCS2B01G116400;TraesCS2B01G116200;TraesCS5A01G255900;TraesCS4D01G264700;TraesCS6A01G048100;TraesCS2B01G116600;TraesCS2D01G098900;TraesCS2B01G127400;TraesCS1B01G453400;TraesCS6B01G064600;TraesCS7B01G384500;TraesCS2D01G119400;TraesCSU01G182400;TraesCS7A01G510200;TraesCS4B01G264700;TraesCS6B01G088600;TraesCS7A01G088300;TraesCSU01G079100;TraesCS3B01G139800;TraesCS4A01G043900;TraesCS7D01G499500;TraesCS2D01G109600;TraesCS4B01G084600;TraesCS2D01G112800;TraesCS2A01G099500;TraesCS6D01G356600;TraesCS2A01G412300;TraesCS4A01G387600;TraesCS6B01G231700;TraesCS7D01G489900;TraesCS1A01G192900;TraesCS6D01G039600;TraesCS3B01G323300;TraesCS2B01G131100;TraesCS7B01G420600;TraesCS3D01G122500;TraesCSU01G107100;TraesCS2B01G116300;TraesCS2A01G100100;TraesCS2A01G115800;TraesCS5D01G523200;TraesCS5A01G194200;TraesCS6B01G054200;TraesCS7D01G083600;TraesCS7D01G524000;TraesCS2B01G117100;TraesCS5D01G196600;TraesCS5D01G083200;TraesCS6B01G064500;TraesCS5B01G242300;TraesCS3B01G531000;TraesCS3D01G288300;TraesCS5D01G251100;TraesCS6B01G229200;TraesCS6D01G045100;TraesCS2A01G575900;TraesCS2B01G404000;TraesCS4D01G011500;TraesCS7B01G419900;TraesCS6B01G407700;TraesCSU01G119800;TraesCS7A01G537400</t>
  </si>
  <si>
    <t>TraesCS4A01G205000;TraesCS3A01G325800;TraesCS3D01G319200;TraesCS5A01G155900;TraesCS6A01G020400;TraesCS6A01G097700;TraesCS3B01G404200;TraesCS4D01G008700;TraesCS1D01G337400;TraesCS6D01G000200;TraesCS6B01G230400;TraesCS2D01G100800;TraesCS4A01G304200;TraesCS3A01G372000;TraesCS4A01G302700;TraesCS3B01G176200;TraesCS6A01G011800;TraesCS7A01G511100;TraesCS5A01G452800;TraesCS6A01G013300;TraesCS3B01G517000;TraesCS3A01G473600;TraesCS4D01G009800;TraesCS7D01G216800;TraesCS1D01G389400;TraesCS5A01G344100;TraesCS5B01G461800;TraesCS6A01G364400;TraesCS4B01G328000;TraesCS2B01G118200;TraesCS6A01G012000;TraesCS4B01G011300;TraesCS3A01G305300;TraesCS3A01G116500;TraesCS1A01G445100;TraesCS2D01G100700;TraesCS4A01G247900;TraesCS6B01G427100;TraesCS7B01G258200;TraesCS1D01G453400;TraesCS4D01G182100;TraesCSU01G240700;TraesCS6B01G018400;TraesCS4D01G105800;TraesCS2A01G325900;TraesCSU01G226300;TraesCS2A01G101000;TraesCS1B01G061300;TraesCS6B01G027800;TraesCS5A01G395900;TraesCS2B01G530800;TraesCS4B01G109700;TraesCS6B01G233700;TraesCS5B01G154100;TraesCS1A01G381600;TraesCS6B01G240900;TraesCS3A01G149000;TraesCS4B01G011600;TraesCS4B01G328100;TraesCS3B01G404400;TraesCS7D01G525900;TraesCS3B01G354900;TraesCS7A01G511300;TraesCS5B01G091000;TraesCS6B01G228000;TraesCS3B01G138800;TraesCS2D01G100600;TraesCS7D01G536000;TraesCS6D01G021500;TraesCS2B01G355300;TraesCS5B01G462300;TraesCS2D01G071000;TraesCS3A01G473800;TraesCS5B01G265300;TraesCS3D01G364900;TraesCS2D01G336300;TraesCS4D01G325000;TraesCS6A01G026200;TraesCS4D01G009600;TraesCS5D01G178800;TraesCS7D01G216600;TraesCS4B01G011500;TraesCS2A01G072100;TraesCS4D01G066000;TraesCS7B01G094000;TraesCS1D01G268200;TraesCSU01G214800;TraesCS7B01G121900;TraesCS4D01G082600;TraesCS6B01G125900;TraesCS1B01G463900;TraesCS1A01G445300;TraesCS4D01G008600;TraesCS4D01G010000;TraesCS5D01G464100;TraesCS2D01G234000;TraesCS5D01G320800;TraesCS7A01G408500;TraesCS6B01G142000;TraesCS1A01G030800;TraesCS4A01G480800;TraesCS7B01G100300;TraesCS4D01G325100;TraesCS5D01G161000;TraesCS4D01G009700;TraesCS5A01G491600;TraesCS2A01G401200;TraesCS7D01G416300;TraesCS4D01G316900;TraesCS4B01G246800;TraesCS4B01G011000;TraesCS2A01G326600;TraesCS7B01G121800;TraesCS4A01G302300;TraesCS2A01G352100;TraesCS5A01G265600;TraesCS6B01G096500;TraesCS6D01G029700;TraesCS4B01G010700;TraesCS7D01G012700;TraesCS3D01G412800;TraesCS6D01G030000;TraesCS4D01G009400;TraesCS6B01G229700;TraesCS5A01G453500;TraesCS2D01G070900;TraesCS2B01G508900;TraesCS4B01G011700;TraesCS6D01G014900;TraesCS7A01G189200;TraesCS4A01G123800;TraesCS5B01G281000;TraesCS7D01G373700;TraesCS2B01G502800;TraesCS7A01G146600;TraesCS6A01G311700;TraesCS5B01G462400;TraesCS7B01G472800;TraesCS6B01G237900;TraesCS7A01G510300;TraesCS4D01G009500;TraesCS3A01G169800;TraesCS7A01G214500;TraesCS5A01G453600;TraesCS4D01G131500;TraesCS3A01G371900;TraesCS4B01G011200;TraesCS3D01G157100;TraesCS7A01G502300;TraesCS5D01G273500;TraesCS7D01G489600;TraesCS4D01G008900;TraesCS5A01G458200;TraesCS6B01G236700;TraesCS6D01G084900;TraesCS3A01G372200;TraesCS4A01G302500;TraesCS6B01G408800;TraesCS4B01G010900;TraesCS6D01G067900;TraesCS1A01G429100;TraesCS2A01G101100;TraesCS2D01G371800;TraesCS1B01G061400;TraesCS5D01G335900;TraesCS2B01G087000;TraesCS7A01G194700;TraesCS4D01G246100;TraesCS5D01G463200;TraesCS1B01G464000;TraesCS2B01G392500;TraesCS6D01G014700;TraesCS3A01G371800;TraesCS3D01G365000;TraesCS4B01G011100;TraesCS3D01G096000;TraesCS5A01G330200;TraesCS5D01G460700;TraesCS4B01G108700;TraesCS2A01G230400;TraesCS6B01G238900;TraesCS4B01G180600;TraesCS6B01G408900;TraesCS3A01G372100;TraesCS4B01G010800;TraesCS1D01G453200;TraesCS6A01G011900;TraesCS6D01G084200;TraesCS7A01G549500;TraesCSU01G060200;TraesCS2A01G101200;TraesCS7B01G408700;TraesCS1A01G284300;TraesCS6D01G355500;TraesCS5B01G003500;TraesCS4D01G009300;TraesCS2B01G087100;TraesCS3A01G123800;TraesCS6B01G126600;TraesCS1A01G058400;TraesCS4D01G107100;TraesCS7D01G401800;TraesCS1D01G309300;TraesCS1B01G076300;TraesCS2A01G554300;TraesCS5B01G108600</t>
  </si>
  <si>
    <t>TraesCS4A01G205000;TraesCS3A01G325800;TraesCS3D01G319200;TraesCS5A01G155900;TraesCS6A01G020400;TraesCS6A01G097700;TraesCS3B01G404200;TraesCS4D01G008700;TraesCS1D01G337400;TraesCS6D01G000200;TraesCS6B01G230400;TraesCS2D01G100800;TraesCS4A01G304200;TraesCS3A01G372000;TraesCS4A01G302700;TraesCS3B01G176200;TraesCS5D01G431400;TraesCS6A01G011800;TraesCS7A01G511100;TraesCS5A01G452800;TraesCS6A01G013300;TraesCS3B01G517000;TraesCS3A01G473600;TraesCS4D01G009800;TraesCS7D01G216800;TraesCS1D01G389400;TraesCS5A01G344100;TraesCS5B01G461800;TraesCS6A01G364400;TraesCS4B01G328000;TraesCS2B01G118200;TraesCS6A01G012000;TraesCS4B01G011300;TraesCS3A01G305300;TraesCS3A01G116500;TraesCS1A01G445100;TraesCS2D01G100700;TraesCS4A01G247900;TraesCS6B01G427100;TraesCS7B01G258200;TraesCS1D01G453400;TraesCS4D01G182100;TraesCSU01G240700;TraesCS6B01G018400;TraesCS4D01G105800;TraesCS2A01G325900;TraesCSU01G226300;TraesCS2A01G101000;TraesCS1B01G061300;TraesCS6B01G027800;TraesCS5A01G395900;TraesCS2B01G530800;TraesCS2D01G013500;TraesCS4B01G109700;TraesCS6B01G233700;TraesCS5B01G154100;TraesCS1A01G381600;TraesCS6B01G240900;TraesCS3A01G149000;TraesCS4B01G011600;TraesCS4B01G328100;TraesCS3B01G404400;TraesCS7D01G525900;TraesCS3B01G354900;TraesCS7A01G511300;TraesCS5B01G091000;TraesCS6B01G228000;TraesCS3B01G138800;TraesCS2D01G100600;TraesCS7D01G536000;TraesCS6D01G021500;TraesCS2B01G355300;TraesCS5B01G462300;TraesCS2D01G071000;TraesCS3A01G473800;TraesCS5B01G265300;TraesCS3D01G364900;TraesCS2D01G336300;TraesCS4D01G325000;TraesCS6A01G026200;TraesCS4D01G009600;TraesCS5D01G178800;TraesCS7D01G216600;TraesCS4B01G011500;TraesCS2A01G072100;TraesCS4D01G066000;TraesCS7B01G094000;TraesCS1D01G268200;TraesCSU01G214800;TraesCS7B01G121900;TraesCS7A01G002800;TraesCS4D01G082600;TraesCS6B01G125900;TraesCS1B01G463900;TraesCS1A01G445300;TraesCS4D01G008600;TraesCS4D01G010000;TraesCS5D01G464100;TraesCS2D01G234000;TraesCS5D01G320800;TraesCS7A01G408500;TraesCS6B01G142000;TraesCS1A01G030800;TraesCS5B01G246900;TraesCS4A01G480800;TraesCS7B01G100300;TraesCS4D01G325100;TraesCS5D01G161000;TraesCS4D01G009700;TraesCS5A01G491600;TraesCS2A01G401200;TraesCS7D01G416300;TraesCS4D01G316900;TraesCS4B01G246800;TraesCS7A01G229400;TraesCS4B01G011000;TraesCS2A01G326600;TraesCS7B01G121800;TraesCS4A01G302300;TraesCS2A01G352100;TraesCS5A01G265600;TraesCS4A01G495800;TraesCS6B01G096500;TraesCS6D01G029700;TraesCS4B01G010700;TraesCS7D01G012700;TraesCS3D01G412800;TraesCS6D01G030000;TraesCS4D01G009400;TraesCS6B01G229700;TraesCS5A01G453500;TraesCS2D01G070900;TraesCS2B01G508900;TraesCS4B01G011700;TraesCS6D01G014900;TraesCS7A01G189200;TraesCS4A01G123800;TraesCS5B01G281000;TraesCS7D01G373700;TraesCS2B01G005200;TraesCS2B01G502800;TraesCS7A01G146600;TraesCS6A01G311700;TraesCS5B01G462400;TraesCS7B01G472800;TraesCS6B01G237900;TraesCS7A01G510300;TraesCS4D01G009500;TraesCS3A01G169800;TraesCS7A01G214500;TraesCS5A01G453600;TraesCS4D01G131500;TraesCS6B01G149100;TraesCS3A01G371900;TraesCS4B01G011200;TraesCS3D01G157100;TraesCS7A01G502300;TraesCS5D01G273500;TraesCS7D01G489600;TraesCS4D01G008900;TraesCS5A01G458200;TraesCS6B01G236700;TraesCS6D01G084900;TraesCS3A01G372200;TraesCS4A01G302500;TraesCS6B01G408800;TraesCS4B01G010900;TraesCS6D01G067900;TraesCS1A01G429100;TraesCS2A01G101100;TraesCS2D01G371800;TraesCS1B01G061400;TraesCS5D01G335900;TraesCS2B01G087000;TraesCS7A01G194700;TraesCS4D01G246100;TraesCS5D01G463200;TraesCS1B01G464000;TraesCS2B01G392500;TraesCS6D01G014700;TraesCS3A01G371800;TraesCS3D01G365000;TraesCS4B01G011100;TraesCS3D01G096000;TraesCS5A01G330200;TraesCS5D01G460700;TraesCS4B01G108700;TraesCS2A01G230400;TraesCS6B01G238900;TraesCS4B01G180600;TraesCS6B01G408900;TraesCS5D01G431500;TraesCS3A01G372100;TraesCS4B01G010800;TraesCS6A01G120700;TraesCS1D01G453200;TraesCS6A01G011900;TraesCS6D01G084200;TraesCS7A01G549500;TraesCSU01G060200;TraesCS2A01G101200;TraesCS7B01G408700;TraesCS1A01G284300;TraesCS6D01G355500;TraesCS5B01G003500;TraesCS4D01G009300;TraesCS2B01G087100;TraesCS3A01G123800;TraesCS5A01G423100;TraesCS6B01G126600;TraesCS1A01G058400;TraesCS4D01G107100;TraesCS7D01G401800;TraesCS1D01G309300;TraesCS1B01G076300;TraesCS2A01G554300;TraesCS5B01G108600</t>
  </si>
  <si>
    <t>TraesCS5B01G072900;TraesCS1B01G259800;TraesCS1A01G249100;TraesCS5A01G396100;TraesCS7D01G313500;TraesCS6D01G363400;TraesCS3A01G169800;TraesCS1A01G284300;TraesCS5D01G405400;TraesCS5B01G400900;TraesCS6A01G103200;TraesCS6D01G091600</t>
  </si>
  <si>
    <t>TraesCS3D01G095700;TraesCS2D01G307100;TraesCS6D01G000200;TraesCS4A01G436000;TraesCS6B01G058100;TraesCS4B01G277000;TraesCS3D01G096000;TraesCS6A01G042100;TraesCS3B01G111200;TraesCS6D01G048700;TraesCS6D01G048800</t>
  </si>
  <si>
    <t>TraesCS3D01G095700;TraesCS2D01G307100;TraesCS6D01G000200;TraesCS4A01G436000;TraesCS6B01G058100;TraesCS3D01G096000;TraesCS6A01G042100;TraesCS3B01G111200;TraesCS6D01G048700;TraesCS6D01G048800</t>
  </si>
  <si>
    <t>TraesCS1A01G437600;TraesCS5B01G023100;TraesCS5A01G025300;TraesCS5D01G031600</t>
  </si>
  <si>
    <t>TraesCS4B01G328000;TraesCS4D01G066000;TraesCS4B01G328100;TraesCS2B01G474400;TraesCS3D01G096000;TraesCS4A01G460600;TraesCS5B01G281000;TraesCS6D01G000200;TraesCS7D01G536000;TraesCS4A01G247900;TraesCS5D01G030100;TraesCS7D01G303400;TraesCS2B01G330200;TraesCS2B01G502800;TraesCS5A01G024200;TraesCS7A01G549500;TraesCS2A01G453000;TraesCS2D01G371800;TraesCS5B01G003500;TraesCS4D01G325100;TraesCS7B01G472800;TraesCS2D01G311600;TraesCS4D01G325000;TraesCS2A01G313100;TraesCS7D01G472500;TraesCS1D01G309300;TraesCS2B01G392500</t>
  </si>
  <si>
    <t>TraesCS1A01G313900</t>
  </si>
  <si>
    <t>TraesCS4B01G084600;TraesCS7B01G409500;TraesCS2D01G112800;TraesCS6B01G410400;TraesCS7A01G502500;TraesCS2D01G099600;TraesCS2A01G099500;TraesCS6D01G356600;TraesCS7B01G046700;TraesCS2D01G099000;TraesCS4A01G387600;TraesCS7D01G489900;TraesCS4A01G387500;TraesCS2D01G099200;TraesCS4D01G082500;TraesCS2B01G131100;TraesCS2B01G135400;TraesCS3D01G122500;TraesCSU01G107100;TraesCS2B01G116300;TraesCS2A01G100100;TraesCS2A01G115800;TraesCS2B01G116400;TraesCS5D01G523200;TraesCS2B01G116200;TraesCS5A01G255900;TraesCS6A01G048100;TraesCS2B01G116600;TraesCS7D01G083600;TraesCS2D01G098900;TraesCS2B01G117100;TraesCS2B01G127400;TraesCS1B01G453400;TraesCS6B01G064600;TraesCS6B01G064500;TraesCS2D01G119400;TraesCS6B01G229200;TraesCS2B01G404000;TraesCS6B01G407700;TraesCS7A01G088300;TraesCSU01G079100;TraesCS3B01G139800;TraesCS2D01G109600</t>
  </si>
  <si>
    <t>TraesCS1B01G248900;TraesCS1A01G234700;TraesCS3A01G480900;TraesCS1D01G237400;TraesCS3B01G525400</t>
  </si>
  <si>
    <t>TraesCS7D01G223100;TraesCS3A01G153700;TraesCS7A01G336500;TraesCS3A01G325800;TraesCS3D01G319200;TraesCS5A01G155900;TraesCS7D01G135600;TraesCS6A01G097700;TraesCS3B01G404200;TraesCS4B01G206500;TraesCS1B01G362700;TraesCS7A01G135400;TraesCS1D01G337400;TraesCS4D01G297900;TraesCS7B01G036500;TraesCS2D01G100800;TraesCS5A01G274700;TraesCS6B01G392600;TraesCS7D01G108100;TraesCS3A01G372000;TraesCS5B01G185600;TraesCS3B01G176200;TraesCS3D01G351500;TraesCS1A01G032700;TraesCS2A01G073800;TraesCS5D01G282300;TraesCS6A01G011800;TraesCS7A01G511100;TraesCS1A01G348100;TraesCS3B01G517000;TraesCS3A01G473600;TraesCS1B01G283000;TraesCS2B01G622300;TraesCS1B01G254900;TraesCS6B01G066700;TraesCS7D01G216800;TraesCS3A01G006200;TraesCS6D01G405000;TraesCS5A01G344100;TraesCS2A01G428800;TraesCS3D01G352600;TraesCS4B01G388900;TraesCS7D01G118600;TraesCS2B01G118200;TraesCS6A01G012000;TraesCS6A01G119000;TraesCS7A01G168100;TraesCS7D01G135700;TraesCS5B01G266800;TraesCS1B01G362800;TraesCS4B01G227900;TraesCS3A01G305300;TraesCS6B01G228100;TraesCS2D01G100700;TraesCS6B01G427100;TraesCS6B01G467600;TraesCS4D01G182100;TraesCS2A01G052300;TraesCS6B01G018400;TraesCS2D01G402700;TraesCS7A01G121100;TraesCS2A01G325900;TraesCS2A01G101000;TraesCS3D01G314100;TraesCS5A01G356100;TraesCS1D01G351000;TraesCS2B01G530800;TraesCS1B01G265000;TraesCS7B01G299400;TraesCS1A01G064200;TraesCS5B01G154100;TraesCS1A01G096800;TraesCS3D01G352700;TraesCS3A01G149000;TraesCS4A01G175300;TraesCS7D01G135000;TraesCS6D01G404900;TraesCS7A01G168000;TraesCS3B01G404400;TraesCS7D01G525900;TraesCS3B01G354900;TraesCS7A01G135600;TraesCS7A01G511300;TraesCS1B01G435000;TraesCS5B01G091000;TraesCS3B01G138800;TraesCS2D01G100600;TraesCS5D01G047200;TraesCS7A01G130700;TraesCS6B01G238600;TraesCS7B01G036700;TraesCS7D01G408600;TraesCS7B01G019400;TraesCS2B01G449300;TraesCS6A01G420900;TraesCS2B01G355300;TraesCS3A01G357600;TraesCS6B01G241100;TraesCS3A01G473800;TraesCS7D01G169000;TraesCS1B01G434700;TraesCS5B01G265300;TraesCS7B01G364000;TraesCS3D01G364900;TraesCS7B01G250500;TraesCS1D01G204500;TraesCS2D01G336300;TraesCS6B01G235900;TraesCS6B01G206600;TraesCS3B01G349300;TraesCS6B01G231300;TraesCS7D01G069700;TraesCS5D01G178800;TraesCS1A01G404900;TraesCS7D01G216600;TraesCS7D01G227600;TraesCS7B01G094000;TraesCS1D01G268200;TraesCS3B01G400500;TraesCS1B01G236900;TraesCS7A01G399500;TraesCS7B01G121900;TraesCS3D01G036700;TraesCS3D01G361600;TraesCS4D01G082600;TraesCS4A01G006100;TraesCS6B01G125900;TraesCS7D01G408700;TraesCS7B01G072800;TraesCS3B01G390300;TraesCS2D01G234000;TraesCS5D01G320800;TraesCS6A01G420800;TraesCS7B01G315400;TraesCS6B01G142000;TraesCS1A01G030800;TraesCS2D01G560000;TraesCS6A01G420700;TraesCS1B01G434800;TraesCS2D01G317100;TraesCS7B01G100300;TraesCS1D01G351200;TraesCS3B01G180300;TraesCS3A01G368700;TraesCS3B01G090800;TraesCS3D01G117500;TraesCS5D01G411500;TraesCS2B01G411600;TraesCS6B01G229000;TraesCS6B01G147000;TraesCS7A01G074600;TraesCS2D01G526000;TraesCS5D01G161000;TraesCS7D01G130100;TraesCS5A01G491600;TraesCS2D01G426700;TraesCS2A01G401200;TraesCS2D01G601800;TraesCS3A01G317100;TraesCS7D01G416300;TraesCS4A01G039400;TraesCS4D01G316900;TraesCS7D01G135200;TraesCS7A01G135000;TraesCS2A01G326600;TraesCS1A01G004500;TraesCS1B01G435200;TraesCS7B01G121800;TraesCS7D01G408800;TraesCS3B01G134400;TraesCS3D01G361700;TraesCS2A01G352100;TraesCS5A01G265600;TraesCS4A01G495800;TraesCS5A01G198000;TraesCS6B01G096500;TraesCS7B01G019200;TraesCS3A01G116800;TraesCS6A01G420600;TraesCS2A01G319400;TraesCS1B01G434900;TraesCS3D01G412800;TraesCS7D01G312100;TraesCS6B01G231100;TraesCS1B01G374300;TraesCS2B01G589800;TraesCS6B01G229700;TraesCS3B01G515900;TraesCS2D01G571500;TraesCS3A01G358200;TraesCS3B01G391200;TraesCS5A01G040300;TraesCS2B01G617700;TraesCSU01G124200;TraesCS7A01G189200;TraesCS4A01G123800;TraesCS7A01G135100;TraesCS1A01G004400;TraesCS7D01G373700;TraesCS1B01G293300;TraesCS6B01G228500;TraesCS2A01G092500;TraesCS4D01G167100;TraesCS6D01G377300;TraesCS6B01G096600;TraesCS5D01G364900;TraesCS6A01G311700;TraesCS1B01G122500;TraesCS6B01G230700;TraesCS1B01G082500;TraesCS4B01G299000;TraesCS1A01G253100;TraesCS6B01G237900;TraesCS7A01G510300;TraesCS1D01G362000;TraesCS4A01G139000;TraesCS1A01G087700;TraesCS7A01G214500;TraesCS7B01G031000;TraesCS4D01G131500;TraesCS3D01G161100;TraesCS3B01G177900;TraesCS3A01G371900;TraesCS5B01G358600;TraesCS3B01G400200;TraesCS3D01G157100;TraesCS3D01G241200;TraesCS7A01G135200;TraesCS7A01G502300;TraesCS5D01G273500;TraesCS7D01G489600;TraesCS4D01G266000;TraesCS3D01G114500;TraesCS1D01G283100;TraesCS6D01G084900;TraesCS1D01G413000;TraesCS7A01G188800;TraesCS3A01G372200;TraesCS6B01G408800;TraesCS6B01G467500;TraesCS3B01G138400;TraesCS7A01G219000;TraesCS2A01G101100;TraesCS5D01G335900;TraesCS7A01G205100;TraesCS7A01G194700;TraesCS1A01G064500;TraesCS3A01G417300;TraesCS3B01G452200;TraesCS6B01G239300;TraesCS2A01G428600;TraesCS3A01G358400;TraesCS5B01G274400;TraesCS1A01G216200;TraesCS1A01G348200;TraesCS6D01G014700;TraesCS1B01G106800;TraesCS2D01G567700;TraesCS3A01G371800;TraesCS3D01G365000;TraesCS5A01G330200;TraesCS6D01G222500;TraesCS5D01G460700;TraesCS3B01G134500;TraesCS2A01G230400;TraesCS4B01G180600;TraesCS6B01G408900;TraesCS1D01G252700;TraesCS3A01G372100;TraesCS1B01G071300;TraesCS6A01G011900;TraesCS6D01G084200;TraesCS2A01G558100;TraesCS2B01G337600;TraesCS2A01G101200;TraesCS7A01G226800;TraesCS7B01G408700;TraesCS3A01G454800;TraesCS1A01G284300;TraesCS1A01G357600;TraesCS6D01G355500;TraesCS6A01G072000;TraesCS6B01G126600;TraesCS6B01G227100;TraesCS6B01G231600;TraesCS6B01G229400;TraesCS1A01G058400;TraesCS3B01G269100;TraesCS1B01G076300;TraesCS2A01G554300;TraesCS5B01G108600</t>
  </si>
  <si>
    <t>TraesCS4B01G013700;TraesCS2D01G099600;TraesCS2A01G099500;TraesCS7B01G046700;TraesCS2A01G412300;TraesCS2D01G099000;TraesCS2D01G099200;TraesCS5A01G244500;TraesCS7B01G420700;TraesCS7B01G420600;TraesCS2B01G116300;TraesCS2A01G100100;TraesCS2B01G116400;TraesCS2B01G116200;TraesCS5A01G255900;TraesCS4D01G264700;TraesCS2B01G116600;TraesCS2D01G098900;TraesCS2B01G117100;TraesCS1B01G453400;TraesCS7B01G384500;TraesCS5B01G242300;TraesCS5D01G251100;TraesCS7A01G510200;TraesCS4B01G264700;TraesCS4D01G011500;TraesCS7B01G419900;TraesCSU01G079100;TraesCS4A01G043900;TraesCS7D01G499500</t>
  </si>
  <si>
    <t>TraesCS3B01G196600;TraesCS1B01G259800;TraesCS7D01G313500;TraesCS6D01G363400;TraesCS1A01G284300;TraesCS5D01G405400;TraesCS3D01G172000;TraesCS6D01G091600;TraesCS5B01G072900;TraesCS1A01G249100;TraesCS5A01G396100;TraesCS3A01G169800;TraesCS5B01G400900;TraesCS6A01G103200</t>
  </si>
  <si>
    <t>TraesCS4B01G277000;TraesCS1D01G350900;TraesCS5A01G462200;TraesCS5B01G473800;TraesCS2B01G052800;TraesCS5B01G473900;TraesCS5A01G462400;TraesCS5A01G462300;TraesCS5A01G462600;TraesCS6B01G322900;TraesCS5A01G462500;TraesCS2A01G039900;TraesCS7A01G104200;TraesCS6A01G292500;TraesCS5D01G405100;TraesCS2D01G190100;TraesCS1A01G348000;TraesCS2A01G300500;TraesCS5D01G475500;TraesCS2B01G316700;TraesCS7D01G098000;TraesCS5D01G475000;TraesCS5A01G395800;TraesCS5D01G475300;TraesCS5D01G475200;TraesCS5A01G427600;TraesCS5B01G473300;TraesCS6B01G229200;TraesCS5B01G473400;TraesCS2D01G038500;TraesCS6B01G227900;TraesCS5B01G400600</t>
  </si>
  <si>
    <t>TraesCS1A01G014000;TraesCS4B01G324000;TraesCS1D01G011900;TraesCS7A01G183600;TraesCS7A01G183500</t>
  </si>
  <si>
    <t>TraesCS3B01G196600;TraesCS1B01G259800;TraesCS5B01G440200;TraesCS7D01G313500;TraesCS6D01G363400;TraesCS1A01G284300;TraesCS5D01G405400;TraesCS3D01G172000;TraesCS6D01G091600;TraesCS4D01G069200;TraesCS3A01G123800;TraesCS5B01G072900;TraesCS4B01G070400;TraesCS1A01G249100;TraesCS5A01G396100;TraesCS4A01G244600;TraesCS3A01G169800;TraesCS7B01G258200;TraesCS5B01G400900;TraesCS6A01G103200</t>
  </si>
  <si>
    <t>sepal morphogenesis</t>
  </si>
  <si>
    <t>TraesCS4B01G109700;TraesCS4A01G237600;TraesCS4D01G107100;TraesCS7B01G258200;TraesCS3A01G123800</t>
  </si>
  <si>
    <t>sepal formation</t>
  </si>
  <si>
    <t>petal formation</t>
  </si>
  <si>
    <t>TraesCS5D01G105800;TraesCS3B01G018100;TraesCS3B01G018200;TraesCS3B01G031000;TraesCS6B01G024700;TraesCS6B01G231700;TraesCS1A01G094100;TraesCS3A01G048300;TraesCS7B01G492500;TraesCS7D01G544900;TraesCS1A01G192900;TraesCS7A01G565800;TraesCS7A01G565700;TraesCS7B01G492300;TraesCS3B01G030900;TraesCS5A01G246000;TraesCS3A01G374400;TraesCS3D01G018000;TraesCS1B01G122200;TraesCS3D01G028300;TraesCS5B01G099600;TraesCS5A01G093500;TraesCS3A01G028000;TraesCS7B01G492200;TraesCS6D01G020500</t>
  </si>
  <si>
    <t>TraesCSU01G026800;TraesCS6B01G103200;TraesCS6B01G238000</t>
  </si>
  <si>
    <t>petal morphogenesis</t>
  </si>
  <si>
    <t>flower calyx development</t>
  </si>
  <si>
    <t>sepal development</t>
  </si>
  <si>
    <t>TraesCS1B01G472200;TraesCS5B01G459100;TraesCS6A01G148800;TraesCS1A01G437600;TraesCS5B01G023100;TraesCS5D01G290600;TraesCS5D01G031600;TraesCS5D01G031700;TraesCS2B01G570800;TraesCS5B01G282100;TraesCS5D01G460700;TraesCS5B01G153100;TraesCS4A01G021400;TraesCS5D01G159800;TraesCS5A01G025300;TraesCS5D01G289800;TraesCS6D01G138200</t>
  </si>
  <si>
    <t>TraesCS1B01G010500</t>
  </si>
  <si>
    <t>TraesCS4B01G109700;TraesCS1A01G014000;TraesCS4D01G107100;TraesCS4B01G324000;TraesCS1D01G011900;TraesCS7A01G183600;TraesCS7A01G183500</t>
  </si>
  <si>
    <t>TraesCS1B01G011700</t>
  </si>
  <si>
    <t>TraesCS4D01G007200;TraesCS7D01G232300</t>
  </si>
  <si>
    <t>TraesCS5D01G105800;TraesCS3B01G018100;TraesCS3B01G018200;TraesCS3B01G031000;TraesCS6B01G024700;TraesCS6B01G231700;TraesCS1A01G094100;TraesCS3A01G048300;TraesCS7B01G492500;TraesCS7D01G544900;TraesCS1A01G192900;TraesCS7A01G565800;TraesCS7A01G565700;TraesCS7B01G492300;TraesCS3B01G030900;TraesCS3D01G036700;TraesCS2B01G005200;TraesCS5A01G246000;TraesCS3A01G374400;TraesCS5D01G431500;TraesCS5D01G431400;TraesCS3D01G018000;TraesCS1B01G122200;TraesCS3D01G028300;TraesCS5B01G099600;TraesCS5A01G093500;TraesCS3A01G028000;TraesCS5A01G423100;TraesCS2D01G013500;TraesCS7B01G492200;TraesCS6D01G020500</t>
  </si>
  <si>
    <t>TraesCS2D01G182500;TraesCS2A01G388600;TraesCS2A01G175100;TraesCS2D01G386400</t>
  </si>
  <si>
    <t>corolla development</t>
  </si>
  <si>
    <t>petal development</t>
  </si>
  <si>
    <t>TraesCS7D01G182600;TraesCS7B01G085800;TraesCS5B01G202200</t>
  </si>
  <si>
    <t>TraesCS4B01G328000;TraesCS4D01G066000;TraesCS4B01G328100;TraesCS2D01G371800;TraesCS5B01G003500;TraesCS3D01G096000;TraesCS4D01G325100;TraesCS3A01G123800;TraesCS5B01G281000;TraesCS4B01G109700;TraesCS4D01G325000;TraesCS6D01G000200;TraesCS4A01G247900;TraesCS3A01G169800;TraesCS4D01G107100;TraesCS7B01G258200;TraesCS2B01G502800;TraesCS2B01G392500</t>
  </si>
  <si>
    <t>TraesCS5B01G475700;TraesCS5D01G477100;TraesCS5A01G464500;TraesCS5A01G554200;TraesCS5B01G476000</t>
  </si>
  <si>
    <t>TraesCS3A01G149000;TraesCS7D01G416300;TraesCS3A01G371900;TraesCS3A01G325800;TraesCS4D01G316900;TraesCS3D01G319200;TraesCS3D01G157100;TraesCS3B01G404400;TraesCS6A01G097700;TraesCS3B01G404200;TraesCS5D01G273500;TraesCS7A01G511300;TraesCS5B01G091000;TraesCS2A01G352100;TraesCS5A01G265600;TraesCS3A01G372000;TraesCS6D01G084900;TraesCS6B01G096500;TraesCS3A01G372200;TraesCS3B01G176200;TraesCS7A01G511100;TraesCS3A01G473800;TraesCS3B01G517000;TraesCS3D01G412800;TraesCS5B01G265300;TraesCS3A01G473600;TraesCS3D01G364900;TraesCS5A01G344100;TraesCS6B01G229700;TraesCS5D01G178800;TraesCS3A01G371800;TraesCS3D01G365000;TraesCS1D01G268200;TraesCS4A01G123800;TraesCS5A01G330200;TraesCS7D01G373700;TraesCS3A01G305300;TraesCS5D01G460700;TraesCS3A01G116500;TraesCS2A01G230400;TraesCS6B01G125900;TraesCS4B01G180600;TraesCS6B01G427100;TraesCS3A01G372100;TraesCS4D01G182100;TraesCS2D01G234000;TraesCS5D01G320800;TraesCS6B01G142000;TraesCS6D01G084200;TraesCS6A01G311700;TraesCS2B01G530800;TraesCS6B01G126600;TraesCS6B01G233700;TraesCS1A01G058400;TraesCS5A01G491600;TraesCS1B01G076300;TraesCS2A01G401200</t>
  </si>
  <si>
    <t>TraesCS4B01G013700;TraesCS5A01G244500;TraesCS4B01G264700;TraesCS4D01G011500;TraesCS2A01G412300;TraesCS4A01G043900;TraesCS4D01G264700;TraesCS7B01G384500;TraesCS5B01G242300;TraesCS5D01G251100</t>
  </si>
  <si>
    <t>TraesCS2B01G570800;TraesCS5B01G282100;TraesCS5B01G459100;TraesCS5D01G460700;TraesCS6A01G148800;TraesCS5B01G153100;TraesCS4A01G021400;TraesCS5D01G159800;TraesCS5D01G290600;TraesCS5D01G289800;TraesCS6D01G138200</t>
  </si>
  <si>
    <t>TraesCS3A01G371900;TraesCS3A01G371800;TraesCS3D01G365000;TraesCS3A01G325800;TraesCS4D01G316900;TraesCS3D01G319200;TraesCS5A01G330200;TraesCS3B01G404400;TraesCS3B01G354900;TraesCS3B01G404200;TraesCS5D01G273500;TraesCS7B01G121900;TraesCS7B01G121800;TraesCS5B01G091000;TraesCS3A01G305300;TraesCS3B01G138800;TraesCS4D01G082600;TraesCS2A01G352100;TraesCS5A01G265600;TraesCS3A01G372000;TraesCS6B01G096500;TraesCS3A01G372200;TraesCS3A01G372100;TraesCS5B01G265300;TraesCS5D01G335900;TraesCS3D01G364900;TraesCS7D01G216800;TraesCS5A01G344100;TraesCS7A01G214500;TraesCS5A01G491600;TraesCS5D01G178800;TraesCS2A01G401200;TraesCS7D01G216600</t>
  </si>
  <si>
    <t>TraesCS4B01G328000;TraesCS4D01G066000;TraesCS4B01G328100;TraesCS3D01G096000;TraesCS5B01G281000;TraesCS7A01G002800;TraesCS6D01G000200;TraesCS2B01G005200;TraesCS4A01G247900;TraesCS4A01G495800;TraesCS7B01G258200;TraesCS5D01G431500;TraesCS2B01G502800;TraesCS5D01G431400;TraesCS2D01G371800;TraesCS5B01G003500;TraesCS4D01G325100;TraesCS3A01G123800;TraesCS5A01G423100;TraesCS2D01G013500;TraesCS4B01G109700;TraesCS4D01G325000;TraesCS3A01G169800;TraesCS4D01G107100;TraesCS2B01G392500</t>
  </si>
  <si>
    <t>TraesCS2A01G052900;TraesCS2B01G066900;TraesCS2B01G066800;TraesCS3B01G161000</t>
  </si>
  <si>
    <t>TraesCS7A01G549500;TraesCS4B01G328000;TraesCS4D01G066000;TraesCS4B01G328100;TraesCS2D01G371800;TraesCS5B01G003500;TraesCS3D01G096000;TraesCS4D01G325100;TraesCS5B01G281000;TraesCS7B01G472800;TraesCS4D01G325000;TraesCS6D01G000200;TraesCS7D01G536000;TraesCS4A01G247900;TraesCS6B01G238900;TraesCS2B01G502800;TraesCS1D01G309300;TraesCS2B01G392500;TraesCS5B01G108600</t>
  </si>
  <si>
    <t>endo-1,4-beta-xylanase activity</t>
  </si>
  <si>
    <t>TraesCS5D01G448800</t>
  </si>
  <si>
    <t>TraesCS5D01G105800;TraesCS3B01G018100;TraesCS3B01G018200;TraesCS3B01G031000;TraesCS6B01G024700;TraesCS6B01G231700;TraesCS1A01G094100;TraesCS3A01G048300;TraesCS7B01G492500;TraesCS7D01G544900;TraesCS1A01G192900;TraesCS5A01G554200;TraesCS7A01G565800;TraesCS7A01G565700;TraesCS7B01G492300;TraesCS3B01G030900;TraesCS3D01G036700;TraesCS2B01G005200;TraesCS5A01G246000;TraesCS7B01G370700;TraesCS3A01G374400;TraesCS1B01G090700;TraesCS5D01G431500;TraesCS5D01G431400;TraesCS5B01G403700;TraesCS3D01G018000;TraesCS1B01G122200;TraesCS3D01G028300;TraesCS5B01G099600;TraesCS5A01G093500;TraesCS3A01G028000;TraesCS5A01G423100;TraesCS2D01G013500;TraesCS7B01G492200;TraesCS6D01G020500</t>
  </si>
  <si>
    <t>TraesCS3A01G083900;TraesCS3B01G151700;TraesCS4B01G229500;TraesCS3A01G308800;TraesCS3D01G133800;TraesCS4A01G073300;TraesCS3B01G099000</t>
  </si>
  <si>
    <t>cytokinesis by cell plate formation</t>
  </si>
  <si>
    <t>TraesCS4B01G070400;TraesCS4A01G244600;TraesCS3A01G169800;TraesCS7B01G258200;TraesCS4D01G069200;TraesCS3A01G123800</t>
  </si>
  <si>
    <t>floral organ formation</t>
  </si>
  <si>
    <t>TraesCS4B01G109700;TraesCS4A01G237600;TraesCS4D01G107100;TraesCS1A01G284300;TraesCS7B01G258200;TraesCS3A01G123800</t>
  </si>
  <si>
    <t>TraesCS1B01G249800;TraesCS1D01G238300;TraesCS3D01G039200</t>
  </si>
  <si>
    <t>TraesCS4D01G357800;TraesCS6B01G224900;TraesCS3A01G144400;TraesCS3B01G170900;TraesCS6B01G229600;TraesCS7A01G048200;TraesCS7D01G042600;TraesCS4B01G381900;TraesCS3B01G171000</t>
  </si>
  <si>
    <t>cytokinetic process</t>
  </si>
  <si>
    <t>mitotic cytokinetic process</t>
  </si>
  <si>
    <t>TraesCS2D01G099600;TraesCS2D01G098900;TraesCS2B01G117100;TraesCS2A01G099500;TraesCS7B01G046700;TraesCS2D01G099000;TraesCS1B01G453400;TraesCS2D01G099200;TraesCS2B01G116300;TraesCS2A01G100100;TraesCS2B01G116400;TraesCSU01G079100;TraesCS2B01G116200;TraesCS5A01G255900;TraesCS2B01G116600</t>
  </si>
  <si>
    <t>TraesCS2B01G580100;TraesCS3B01G151700;TraesCS4B01G229500;TraesCS3D01G133800;TraesCS2D01G137900;TraesCS2B01G159300;TraesCS7D01G157800;TraesCS3A01G083900;TraesCS3A01G308800;TraesCS4A01G247900;TraesCS2B01G159400;TraesCS4A01G073300;TraesCS2B01G502800;TraesCS6B01G375900;TraesCS6D01G324600</t>
  </si>
  <si>
    <t>mitotic cytokinesis</t>
  </si>
  <si>
    <t>cytoskeleton-dependent cytokinesis</t>
  </si>
  <si>
    <t>axis specification</t>
  </si>
  <si>
    <t>TraesCS3A01G116500;TraesCS6B01G231600;TraesCS5B01G246900</t>
  </si>
  <si>
    <t>TraesCS7B01G265300;TraesCS7D01G297700;TraesCS4B01G277000;TraesCS5B01G473800;TraesCS2B01G052800;TraesCS5A01G462400;TraesCS5A01G462300;TraesCS5A01G462600;TraesCS6B01G322900;TraesCS5A01G462500;TraesCS2A01G039900;TraesCS5B01G473300;TraesCS6A01G292500;TraesCS2D01G038500;TraesCS5B01G400600</t>
  </si>
  <si>
    <t>TraesCS1B01G270100;TraesCS2D01G201900</t>
  </si>
  <si>
    <t>floral organ morphogenesis</t>
  </si>
  <si>
    <t>catalytic activity, acting on a glycoprotein</t>
  </si>
  <si>
    <t>TraesCS2A01G405300;TraesCS2D01G182500;TraesCS3B01G151700;TraesCS2D01G402100;TraesCS2B01G423300;TraesCS2B01G423200;TraesCS2A01G175100;TraesCS2D01G137900;TraesCS7D01G314100;TraesCS2B01G159300;TraesCS7D01G157800;TraesCS2A01G388600;TraesCS2B01G159400;TraesCS4A01G073300;TraesCS6B01G375900;TraesCS2A01G405100;TraesCS6D01G324600;TraesCS2D01G386400</t>
  </si>
  <si>
    <t>TraesCS4A01G205000;TraesCS7D01G416300;TraesCS3A01G325800;TraesCS4D01G316900;TraesCS3D01G319200;TraesCS5A01G155900;TraesCS6A01G097700;TraesCS2A01G326600;TraesCS3B01G404200;TraesCS7B01G121800;TraesCS1D01G337400;TraesCS6D01G000200;TraesCS2D01G100800;TraesCS2A01G352100;TraesCS5A01G265600;TraesCS3A01G372000;TraesCS4A01G495800;TraesCS6B01G096500;TraesCS3B01G176200;TraesCS5D01G431400;TraesCS3D01G412800;TraesCS7D01G216800;TraesCS5A01G344100;TraesCS6B01G229700;TraesCS2B01G508900;TraesCS4B01G328000;TraesCS2B01G118200;TraesCS7A01G189200;TraesCS4A01G123800;TraesCS5B01G281000;TraesCS7D01G373700;TraesCS3A01G305300;TraesCS3A01G116500;TraesCS2B01G005200;TraesCS2D01G100700;TraesCS4A01G247900;TraesCS6B01G427100;TraesCS7B01G258200;TraesCS2B01G502800;TraesCS4D01G182100;TraesCS4D01G105800;TraesCS2A01G325900;TraesCS2A01G101000;TraesCS6A01G311700;TraesCS2B01G530800;TraesCS2D01G013500;TraesCS7B01G472800;TraesCS4B01G109700;TraesCS6B01G233700;TraesCS6B01G237900;TraesCS3A01G169800;TraesCS5B01G154100;TraesCS7A01G214500;TraesCS4D01G131500;TraesCS6B01G240900;TraesCS3A01G149000;TraesCS3A01G371900;TraesCS4B01G328100;TraesCS3D01G157100;TraesCS3B01G404400;TraesCS7A01G502300;TraesCS3B01G354900;TraesCS5D01G273500;TraesCS7D01G489600;TraesCS5B01G091000;TraesCS6B01G228000;TraesCS3B01G138800;TraesCS2D01G100600;TraesCS7D01G536000;TraesCS6D01G084900;TraesCS3A01G372200;TraesCS2B01G355300;TraesCS1A01G429100;TraesCS2A01G101100;TraesCS2D01G371800;TraesCS5B01G265300;TraesCS5D01G335900;TraesCS3D01G364900;TraesCS7A01G194700;TraesCS2D01G336300;TraesCS4D01G325000;TraesCS1B01G464000;TraesCS2B01G392500;TraesCS5D01G178800;TraesCS7D01G216600;TraesCS4D01G066000;TraesCS3A01G371800;TraesCS3D01G365000;TraesCS7B01G094000;TraesCS1D01G268200;TraesCS3D01G096000;TraesCS5A01G330200;TraesCS7B01G121900;TraesCS5D01G460700;TraesCS7A01G002800;TraesCS4B01G108700;TraesCS4D01G082600;TraesCS2A01G230400;TraesCS6B01G125900;TraesCS1B01G463900;TraesCS6B01G238900;TraesCS4B01G180600;TraesCS5D01G431500;TraesCS3A01G372100;TraesCS2D01G234000;TraesCS5D01G320800;TraesCS7A01G408500;TraesCS6B01G142000;TraesCS1A01G030800;TraesCS6D01G084200;TraesCS7A01G549500;TraesCS2A01G101200;TraesCS1A01G284300;TraesCS5B01G003500;TraesCS7B01G100300;TraesCS4D01G325100;TraesCS3A01G123800;TraesCS5A01G423100;TraesCS6B01G126600;TraesCS5D01G161000;TraesCS1A01G058400;TraesCS4D01G107100;TraesCS5A01G491600;TraesCS7D01G401800;TraesCS1D01G309300;TraesCS1B01G076300;TraesCS2A01G401200;TraesCS2A01G554300;TraesCS5B01G108600</t>
  </si>
  <si>
    <t>TraesCS1D01G001100</t>
  </si>
  <si>
    <t>TraesCS1D01G015100</t>
  </si>
  <si>
    <t>TraesCS1D01G067100</t>
  </si>
  <si>
    <t>TraesCS1D01G240500</t>
  </si>
  <si>
    <t>TraesCS1D01G283100</t>
  </si>
  <si>
    <t>TraesCS1D01G355000</t>
  </si>
  <si>
    <t>TraesCS1D01G444200</t>
  </si>
  <si>
    <t>TraesCS2A01G117500</t>
  </si>
  <si>
    <t>TraesCS2A01G363000</t>
  </si>
  <si>
    <t>TraesCS2A01G394600</t>
  </si>
  <si>
    <t>TraesCS2B01G047400</t>
  </si>
  <si>
    <t>TraesCS2B01G241600</t>
  </si>
  <si>
    <t>TraesCS2B01G422300</t>
  </si>
  <si>
    <t>TraesCS2D01G392300</t>
  </si>
  <si>
    <t>TraesCS3A01G006200</t>
  </si>
  <si>
    <t>TraesCS3A01G009500</t>
  </si>
  <si>
    <t>TraesCS3A01G078600</t>
  </si>
  <si>
    <t>TraesCS3A01G116400</t>
  </si>
  <si>
    <t>TraesCS3B01G012300</t>
  </si>
  <si>
    <t>TraesCS3B01G095100</t>
  </si>
  <si>
    <t>TraesCS3B01G181200</t>
  </si>
  <si>
    <t>TraesCS3B01G210900</t>
  </si>
  <si>
    <t>TraesCS3B01G418300</t>
  </si>
  <si>
    <t>TraesCS3B01G556700</t>
  </si>
  <si>
    <t>TraesCS3D01G179400</t>
  </si>
  <si>
    <t>TraesCS3D01G408700</t>
  </si>
  <si>
    <t>TraesCS4A01G011200</t>
  </si>
  <si>
    <t>TraesCS4A01G015500</t>
  </si>
  <si>
    <t>TraesCS4A01G202200</t>
  </si>
  <si>
    <t>TraesCS4A01G237600</t>
  </si>
  <si>
    <t>TraesCS4A01G314000</t>
  </si>
  <si>
    <t>TraesCS4A01G387600</t>
  </si>
  <si>
    <t>TraesCS4A01G495300</t>
  </si>
  <si>
    <t>TraesCS4B01G089300</t>
  </si>
  <si>
    <t>TraesCS4B01G109700</t>
  </si>
  <si>
    <t>TraesCS4B01G206500</t>
  </si>
  <si>
    <t>TraesCS4B01G231000</t>
  </si>
  <si>
    <t>TraesCS4B01G249400</t>
  </si>
  <si>
    <t>TraesCS4B01G276100</t>
  </si>
  <si>
    <t>TraesCS4B01G277000</t>
  </si>
  <si>
    <t>TraesCS4B01G288300</t>
  </si>
  <si>
    <t>TraesCS4D01G232500</t>
  </si>
  <si>
    <t>TraesCS4D01G250000</t>
  </si>
  <si>
    <t>TraesCS4D01G284200</t>
  </si>
  <si>
    <t>TraesCS5A01G277300</t>
  </si>
  <si>
    <t>TraesCS5A01G342700</t>
  </si>
  <si>
    <t>TraesCS5A01G344100</t>
  </si>
  <si>
    <t>TraesCS5A01G489600</t>
  </si>
  <si>
    <t>TraesCS5A01G554200</t>
  </si>
  <si>
    <t>TraesCS5B01G003500</t>
  </si>
  <si>
    <t>TraesCS5B01G108600</t>
  </si>
  <si>
    <t>TraesCS5B01G202200</t>
  </si>
  <si>
    <t>TraesCS5B01G246900</t>
  </si>
  <si>
    <t>TraesCS5B01G403700</t>
  </si>
  <si>
    <t>TraesCS5B01G437700</t>
  </si>
  <si>
    <t>TraesCS5B01G440200</t>
  </si>
  <si>
    <t>TraesCS5B01G547300</t>
  </si>
  <si>
    <t>TraesCS5D01G031600</t>
  </si>
  <si>
    <t>TraesCS5D01G083200</t>
  </si>
  <si>
    <t>TraesCS5D01G105900</t>
  </si>
  <si>
    <t>TraesCS5D01G163200</t>
  </si>
  <si>
    <t>TraesCS5D01G320800</t>
  </si>
  <si>
    <t>TraesCS5D01G523200</t>
  </si>
  <si>
    <t>TraesCS6A01G374400</t>
  </si>
  <si>
    <t>TraesCS6A01G416900</t>
  </si>
  <si>
    <t>TraesCS6B01G012100</t>
  </si>
  <si>
    <t>TraesCS6B01G100400</t>
  </si>
  <si>
    <t>TraesCS6B01G147000</t>
  </si>
  <si>
    <t>TraesCS6B01G169900</t>
  </si>
  <si>
    <t>TraesCS6B01G206600</t>
  </si>
  <si>
    <t>TraesCS6B01G240600</t>
  </si>
  <si>
    <t>TraesCS6D01G056900</t>
  </si>
  <si>
    <t>TraesCS6D01G314800</t>
  </si>
  <si>
    <t>TraesCS6D01G314900</t>
  </si>
  <si>
    <t>TraesCS7A01G025400</t>
  </si>
  <si>
    <t>TraesCS7A01G092000</t>
  </si>
  <si>
    <t>TraesCS7A01G370300</t>
  </si>
  <si>
    <t>TraesCS7B01G375300</t>
  </si>
  <si>
    <t>TraesCS7D01G083700</t>
  </si>
  <si>
    <t>TraesCS7D01G156000</t>
  </si>
  <si>
    <t>TraesCS7D01G186400</t>
  </si>
  <si>
    <t>TraesCS7D01G215000</t>
  </si>
  <si>
    <t>TraesCS7D01G312100</t>
  </si>
  <si>
    <t>TraesCS7D01G365500</t>
  </si>
  <si>
    <t>TraesCS7D01G392200</t>
  </si>
  <si>
    <t>TraesCS7D01G487100</t>
  </si>
  <si>
    <t>TraesCSU01G054300</t>
  </si>
  <si>
    <t>TraesCSU01G108100</t>
  </si>
  <si>
    <t>Fg_up &amp; F001</t>
  </si>
  <si>
    <r>
      <t>Gene list (</t>
    </r>
    <r>
      <rPr>
        <sz val="11"/>
        <color rgb="FFFF0000"/>
        <rFont val="Calibri"/>
        <family val="2"/>
        <scheme val="minor"/>
      </rPr>
      <t>45</t>
    </r>
    <r>
      <rPr>
        <sz val="11"/>
        <color theme="1"/>
        <rFont val="Calibri"/>
        <family val="2"/>
        <scheme val="minor"/>
      </rPr>
      <t xml:space="preserve"> genes)</t>
    </r>
  </si>
  <si>
    <t>biological_process</t>
  </si>
  <si>
    <t>TraesCS5D01G176800;TraesCS6A01G028800;TraesCS6D01G033000;TraesCS1D01G207000;TraesCS3A01G121200;TraesCS4B01G098100;TraesCS3D01G123300;TraesCS7B01G156900;TraesCS4A01G450900;TraesCS5A01G542000;TraesCS3B01G529400</t>
  </si>
  <si>
    <t>TraesCS6A01G028800;TraesCS6D01G033000;TraesCS3A01G121200;TraesCS4B01G098100;TraesCS3B01G128700;TraesCS3D01G123300;TraesCS4A01G450900;TraesCS5A01G542000</t>
  </si>
  <si>
    <t>TraesCS6A01G028800;TraesCS6D01G033000;TraesCS3A01G121200;TraesCS4B01G098100;TraesCS3D01G123300;TraesCS4A01G450900;TraesCS5A01G542000</t>
  </si>
  <si>
    <t>TraesCS1D01G207000;TraesCSU01G020500</t>
  </si>
  <si>
    <t>TraesCS6A01G403200;TraesCS7B01G156900</t>
  </si>
  <si>
    <t>TraesCS5D01G519600;TraesCS7D01G124900</t>
  </si>
  <si>
    <t>reproduction</t>
  </si>
  <si>
    <t>Fg_up &amp; F002</t>
  </si>
  <si>
    <r>
      <t>Gene list (</t>
    </r>
    <r>
      <rPr>
        <sz val="11"/>
        <color rgb="FFFF0000"/>
        <rFont val="Calibri"/>
        <family val="2"/>
        <scheme val="minor"/>
      </rPr>
      <t>217 genes</t>
    </r>
    <r>
      <rPr>
        <sz val="11"/>
        <color theme="1"/>
        <rFont val="Calibri"/>
        <family val="2"/>
        <scheme val="minor"/>
      </rPr>
      <t>)</t>
    </r>
  </si>
  <si>
    <t>cuticle development</t>
  </si>
  <si>
    <t>TraesCS6B01G238900;TraesCS5B01G108600</t>
  </si>
  <si>
    <t>positive regulation of cellular amide metabolic process</t>
  </si>
  <si>
    <t>positive regulation of translation</t>
  </si>
  <si>
    <t>positive regulation of cellular protein metabolic process</t>
  </si>
  <si>
    <t>TraesCS6B01G231600;TraesCS5B01G246900</t>
  </si>
  <si>
    <t>TraesCS4B01G109700;TraesCS4A01G237600</t>
  </si>
  <si>
    <t>purine-containing compound transmembrane transport</t>
  </si>
  <si>
    <t>response to steroid hormone</t>
  </si>
  <si>
    <t>longitudinal axis specification</t>
  </si>
  <si>
    <t>embryonic axis specification</t>
  </si>
  <si>
    <t>TraesCS7B01G370700;TraesCS5B01G403700</t>
  </si>
  <si>
    <t>translational elongation</t>
  </si>
  <si>
    <t>TraesCS6B01G238600;TraesCS5B01G108600</t>
  </si>
  <si>
    <t>coenzyme transport</t>
  </si>
  <si>
    <t>translational frameshifting</t>
  </si>
  <si>
    <t>positive regulation of translational elongation</t>
  </si>
  <si>
    <t>regulation of protein complex disassembly</t>
  </si>
  <si>
    <t>regulation of translational termination</t>
  </si>
  <si>
    <t>positive regulation of protein complex disassembly</t>
  </si>
  <si>
    <t>positive regulation of translational termination</t>
  </si>
  <si>
    <t>nucleotide transmembrane transport</t>
  </si>
  <si>
    <t>TraesCS7B01G370700;TraesCS5A01G554200;TraesCS5B01G403700</t>
  </si>
  <si>
    <t>multicellular organismal process</t>
  </si>
  <si>
    <t>TraesCS7D01G313500;TraesCS6B01G229700;TraesCS6B01G238600;TraesCS6B01G230200;TraesCS4B01G277000;TraesCS5B01G246900</t>
  </si>
  <si>
    <t>poly(A)+ mRNA export from nucleus</t>
  </si>
  <si>
    <t>regulation of mitotic metaphase/anaphase transition</t>
  </si>
  <si>
    <t>spliceosomal snRNP assembly</t>
  </si>
  <si>
    <t>chromosome organization</t>
  </si>
  <si>
    <t>TraesCS6B01G235800;TraesCS4B01G109700;TraesCS7D01G313500</t>
  </si>
  <si>
    <t>plant organ formation</t>
  </si>
  <si>
    <t>regulation of translational elongation</t>
  </si>
  <si>
    <t>embryonic pattern specification</t>
  </si>
  <si>
    <t>TraesCS5B01G440200;TraesCS7D01G313500</t>
  </si>
  <si>
    <t>peptidyl-lysine modification to peptidyl-hypusine</t>
  </si>
  <si>
    <t>positive regulation of protein metabolic process</t>
  </si>
  <si>
    <t>Fg_up &amp; F010</t>
  </si>
  <si>
    <r>
      <t>Gene list (</t>
    </r>
    <r>
      <rPr>
        <sz val="11"/>
        <color rgb="FFFF0000"/>
        <rFont val="Calibri"/>
        <family val="2"/>
        <scheme val="minor"/>
      </rPr>
      <t>445 genes</t>
    </r>
    <r>
      <rPr>
        <sz val="11"/>
        <color theme="1"/>
        <rFont val="Calibri"/>
        <family val="2"/>
        <scheme val="minor"/>
      </rPr>
      <t>)</t>
    </r>
  </si>
  <si>
    <t>metabolic process</t>
  </si>
  <si>
    <t>TraesCS1D01G098100;TraesCS2B01G040500;TraesCSU01G009100;TraesCS5B01G436500;TraesCS2B01G208900;TraesCS2A01G380800;TraesCS1A01G413400;TraesCS6A01G018200;TraesCS6B01G416100;TraesCS2A01G152200;TraesCS2B01G414800;TraesCS7D01G393100;TraesCS6A01G181000;TraesCS1A01G070400;TraesCS2B01G200100;TraesCS1D01G103500;TraesCS2D01G349400;TraesCS2D01G270400;TraesCS3B01G547500;TraesCS7D01G337900;TraesCS6D01G166100;TraesCS7A01G467800;TraesCS5A01G261400;TraesCS4D01G195700;TraesCS3B01G510100;TraesCS7D01G350500;TraesCS4A01G109200;TraesCS2A01G438200;TraesCS2D01G055000;TraesCS3D01G461200;TraesCS2A01G145800;TraesCS7A01G330800;TraesCS2D01G436200;TraesCS4B01G195000;TraesCS4B01G302200;TraesCS5B01G100700;TraesCS2D01G491000;TraesCS2A01G026600;TraesCSU01G009000;TraesCS2B01G040000;TraesCS2D01G047500;TraesCS1D01G090000;TraesCS5D01G441500;TraesCS5A01G447200;TraesCS2A01G196400;TraesCS1B01G158000;TraesCS7A01G195800;TraesCS3B01G406000;TraesCS5B01G321500;TraesCS5B01G405300;TraesCS7B01G072600;TraesCS4A01G130300;TraesCS5A01G433200;TraesCS2D01G000200;TraesCS2A01G027800;TraesCS2D01G218700;TraesCS4D01G103100;TraesCS4D01G285300;TraesCS2B01G459100;TraesCS2A01G048600;TraesCS2A01G490700;TraesCS2D01G377400;TraesCS2D01G491100;TraesCS4D01G309900;TraesCS2B01G398300;TraesCS3A01G297100;TraesCS2A01G384100;TraesCS4D01G003400;TraesCS2B01G182500;TraesCS7D01G046900;TraesCS3D01G257900;TraesCS3D01G326200;TraesCS5A01G004700;TraesCS7A01G216000;TraesCS7D01G386600;TraesCS3A01G258000;TraesCS3B01G362800;TraesCS3D01G537800;TraesCS2D01G028600;TraesCS2D01G072600;TraesCS5A01G132700;TraesCS5A01G403200;TraesCS7D01G315000;TraesCS5A01G433300;TraesCS4A01G331100;TraesCS5D01G462500;TraesCS5B01G449500;TraesCS1A01G141500;TraesCS3A01G183200;TraesCS3B01G547300;TraesCS3D01G518200;TraesCS6D01G021100;TraesCS2B01G171200;TraesCS7D01G115100;TraesCS5B01G059800;TraesCS5B01G468400;TraesCS2D01G377500;TraesCS3B01G145200;TraesCS3D01G475800;TraesCS4B01G226700;TraesCS2B01G459000;TraesCS5A01G427400;TraesCS1D01G039500;TraesCS7B01G299500;TraesCS5A01G004800;TraesCS7D01G455200;TraesCS2B01G445200;TraesCS1B01G041400;TraesCS5A01G149600;TraesCS7B01G241200;TraesCS2B01G445600;TraesCS4A01G230500;TraesCS1A01G424000;TraesCS2D01G150400;TraesCS6A01G222700;TraesCS2A01G028700;TraesCS5D01G143300;TraesCS7D01G217800;TraesCS7B01G441100;TraesCS5B01G072300;TraesCS7A01G215500;TraesCS1B01G117500;TraesCS2D01G031000;TraesCS4D01G270000;TraesCS4B01G270800;TraesCS1A01G239400;TraesCS2D01G348900;TraesCS1B01G107600;TraesCS2D01G029600;TraesCS2D01G157300;TraesCS2D01G377200;TraesCS2A01G438300;TraesCS4A01G034500;TraesCS4A01G401300;TraesCS5A01G016200;TraesCS2A01G577800;TraesCS5B01G148300;TraesCS4D01G227300;TraesCS2A01G053300;TraesCS2D01G436100;TraesCS2B01G614100;TraesCS2D01G367400;TraesCS2D01G550600</t>
  </si>
  <si>
    <t>TraesCS2D01G218700;TraesCS2D01G348900;TraesCS5B01G468400;TraesCS2A01G380800;TraesCS2D01G377200;TraesCS1B01G122800;TraesCS6A01G222700;TraesCS2A01G196400;TraesCS2A01G196700;TraesCS2D01G377500;TraesCS4A01G401300;TraesCS2D01G377400;TraesCS1D01G039500;TraesCS2B01G398300;TraesCS2D01G204400;TraesCS2B01G398000;TraesCS2D01G204700;TraesCS1D01G103500;TraesCS2B01G614100;TraesCS2D01G349400</t>
  </si>
  <si>
    <t>TraesCS3B01G310000;TraesCS7B01G325900;TraesCS2A01G217200;TraesCS2B01G208900;TraesCS2D01G223000;TraesCS2A01G012500;TraesCS7A01G215800;TraesCS3D01G500800;TraesCS5D01G187700;TraesCS1A01G342600;TraesCS4A01G491600;TraesCS6D01G157900;TraesCS2B01G053300;TraesCS2D01G190200;TraesCS1A01G070400;TraesCS3D01G518600;TraesCS6A01G168900;TraesCS5B01G239600;TraesCS7D01G217500;TraesCS1D01G344700;TraesCS2B01G242500;TraesCS1A01G422800;TraesCS2D01G025500;TraesCS3D01G452300;TraesCS2A01G216400;TraesCS7D01G463700;TraesCS6D01G396900;TraesCS2D01G222100;TraesCS7B01G122800;TraesCS6B01G152800;TraesCS6B01G197000;TraesCS3A01G276200;TraesCS3D01G049000;TraesCS6D01G242000;TraesCS1D01G381800;TraesCS6D01G158400;TraesCS2A01G563900;TraesCS4A01G207800;TraesCS3A01G122300;TraesCS3B01G053800;TraesCS7B01G273000;TraesCS7D01G125100;TraesCS1D01G048900;TraesCS7B01G378300;TraesCS4D01G312400;TraesCS3D01G124200;TraesCS2A01G216300;TraesCS4B01G111300;TraesCS2B01G536500;TraesCS3B01G141500;TraesCS7A01G455800;TraesCS2D01G013300;TraesCS4D01G109000;TraesCS2A01G384100;TraesCS5A01G222300;TraesCS7B01G333700;TraesCS2A01G485600;TraesCS5A01G237700;TraesCS5D01G063800;TraesCS3D01G104000;TraesCS3D01G276200;TraesCS7B01G071100;TraesCS1B01G355700</t>
  </si>
  <si>
    <t>TraesCS5A01G092800;TraesCS1D01G098100;TraesCS2B01G040500;TraesCSU01G009100;TraesCS5B01G436500;TraesCS2A01G380800;TraesCS1A01G413400;TraesCS6A01G018200;TraesCS6B01G416100;TraesCS2A01G152200;TraesCS2B01G414800;TraesCS7D01G393100;TraesCS6A01G181000;TraesCS2B01G097800;TraesCS2B01G200100;TraesCS1D01G103500;TraesCS2D01G270400;TraesCS3B01G547500;TraesCS7D01G337900;TraesCS6D01G166100;TraesCS7A01G467800;TraesCS5A01G261400;TraesCS4D01G195700;TraesCS3B01G510100;TraesCS7D01G350500;TraesCS4A01G109200;TraesCS2A01G438200;TraesCS2D01G055000;TraesCS3D01G461200;TraesCS2A01G145800;TraesCS7A01G330800;TraesCS2D01G436200;TraesCS4B01G195000;TraesCS4B01G302200;TraesCS5B01G100700;TraesCS2D01G491000;TraesCS2A01G026600;TraesCSU01G009000;TraesCS2B01G040000;TraesCS2D01G047500;TraesCS1D01G090000;TraesCS5D01G441500;TraesCS5A01G447200;TraesCS2A01G196400;TraesCS1B01G158000;TraesCS7A01G195800;TraesCS5A01G090600;TraesCS5B01G321500;TraesCS7D01G125100;TraesCS5B01G405300;TraesCS7B01G072600;TraesCS4A01G130300;TraesCS5A01G433200;TraesCS2D01G000200;TraesCS2A01G027800;TraesCS2D01G218700;TraesCS4D01G103100;TraesCS4D01G285300;TraesCS2B01G459100;TraesCS2A01G048600;TraesCS2A01G490700;TraesCS2D01G377400;TraesCS2D01G491100;TraesCS4D01G309900;TraesCS2B01G398300;TraesCS3A01G297100;TraesCS2A01G384100;TraesCS4D01G003400;TraesCS2B01G182500;TraesCS7D01G046900;TraesCS3D01G257900;TraesCS3D01G326200;TraesCS5A01G004700;TraesCS7A01G216000;TraesCS7D01G386600;TraesCS3A01G258000;TraesCS3B01G362800;TraesCS3D01G537800;TraesCS2D01G028600;TraesCS2D01G072600;TraesCS5A01G132700;TraesCS5A01G403200;TraesCS7D01G315000;TraesCS5A01G433300;TraesCS4A01G331100;TraesCS5D01G462500;TraesCS5B01G449500;TraesCS3A01G183200;TraesCS3B01G547300;TraesCS3D01G518200;TraesCS6D01G021100;TraesCS2B01G171200;TraesCS7D01G115100;TraesCS5B01G059800;TraesCS5B01G468400;TraesCS2D01G377500;TraesCS3B01G145200;TraesCS3D01G475800;TraesCS4B01G226700;TraesCS2B01G459000;TraesCS5A01G427400;TraesCS1D01G039500;TraesCS7B01G299500;TraesCS5A01G004800;TraesCS7D01G455200;TraesCS2B01G445200;TraesCS1B01G041400;TraesCS5A01G149600;TraesCS7B01G241200;TraesCS2B01G445600;TraesCS4A01G230500;TraesCS1A01G424000;TraesCS2D01G150400;TraesCS6A01G222700;TraesCS2A01G028700;TraesCS5D01G105100;TraesCS5D01G143300;TraesCS7D01G217800;TraesCS7B01G441100;TraesCS5B01G072300;TraesCS7A01G215500;TraesCS1B01G117500;TraesCS2D01G031000;TraesCS4D01G270000;TraesCS4B01G270800;TraesCS1A01G239400;TraesCS1B01G107600;TraesCS2D01G029600;TraesCS2D01G157300;TraesCS2D01G377200;TraesCS2A01G438300;TraesCS4A01G034500;TraesCS4A01G401300;TraesCS5A01G016200;TraesCS2A01G577800;TraesCS7A01G455800;TraesCS5B01G148300;TraesCS4D01G227300;TraesCS2A01G053300;TraesCS2A01G485600;TraesCS2D01G436100;TraesCS2B01G614100;TraesCS2D01G367400</t>
  </si>
  <si>
    <t>TraesCS3B01G310000;TraesCS7B01G325900;TraesCS2A01G217200;TraesCS2B01G208900;TraesCS2D01G223000;TraesCS2A01G012500;TraesCS7A01G215800;TraesCS3D01G500800;TraesCS5D01G187700;TraesCS1A01G342600;TraesCS4A01G491600;TraesCS6D01G157900;TraesCS2B01G053300;TraesCS2D01G190200;TraesCS3D01G518600;TraesCS6A01G168900;TraesCS5B01G239600;TraesCS7D01G217500;TraesCS1D01G344700;TraesCS2B01G242500;TraesCS1A01G422800;TraesCS2D01G025500;TraesCS3D01G452300;TraesCS2A01G216400;TraesCS7D01G463700;TraesCS6D01G396900;TraesCS2D01G222100;TraesCS7B01G122800;TraesCS6B01G152800;TraesCS6B01G197000;TraesCS3A01G276200;TraesCS3D01G049000;TraesCS6D01G242000;TraesCS1D01G381800;TraesCS6D01G158400;TraesCS2A01G563900;TraesCS4A01G207800;TraesCS3A01G122300;TraesCS3B01G053800;TraesCS7B01G273000;TraesCS7D01G125100;TraesCS1D01G048900;TraesCS7B01G378300;TraesCS4D01G312400;TraesCS3D01G124200;TraesCS2A01G216300;TraesCS4B01G111300;TraesCS2B01G536500;TraesCS3B01G141500;TraesCS7A01G455800;TraesCS2D01G013300;TraesCS4D01G109000;TraesCS5A01G222300;TraesCS7B01G333700;TraesCS2A01G485600;TraesCS5A01G237700;TraesCS5D01G063800;TraesCS3D01G104000;TraesCS3D01G276200;TraesCS7B01G071100;TraesCS1B01G355700</t>
  </si>
  <si>
    <t>TraesCS3B01G310000;TraesCS7B01G325900;TraesCS2A01G217200;TraesCS2B01G208900;TraesCS2D01G223000;TraesCS2A01G012500;TraesCS7A01G215800;TraesCS3D01G500800;TraesCS5D01G187700;TraesCS1A01G342600;TraesCS4A01G491600;TraesCS6D01G157900;TraesCS2B01G053300;TraesCS2D01G190200;TraesCS3D01G518600;TraesCS6A01G168900;TraesCS5B01G239600;TraesCS7D01G217500;TraesCS1D01G344700;TraesCS2B01G242500;TraesCS1A01G422800;TraesCS2D01G025500;TraesCS3D01G452300;TraesCS2A01G216400;TraesCS7D01G463700;TraesCS6D01G396900;TraesCS2D01G222100;TraesCS7B01G122800;TraesCS6B01G152800;TraesCS6B01G197000;TraesCS3A01G276200;TraesCS3D01G049000;TraesCS6D01G242000;TraesCS1D01G381800;TraesCS6D01G158400;TraesCS2A01G563900;TraesCS4A01G207800;TraesCS3A01G122300;TraesCS1D01G090000;TraesCS3B01G053800;TraesCS7B01G273000;TraesCS7D01G125100;TraesCS1D01G048900;TraesCS7B01G378300;TraesCS4D01G312400;TraesCS3D01G124200;TraesCS1B01G107600;TraesCS2A01G216300;TraesCS4B01G111300;TraesCS2B01G536500;TraesCS3B01G141500;TraesCS7A01G455800;TraesCS2D01G013300;TraesCS4D01G109000;TraesCS5A01G222300;TraesCS7B01G333700;TraesCS2A01G485600;TraesCS5A01G237700;TraesCS5D01G063800;TraesCS3D01G104000;TraesCS3D01G276200;TraesCS7B01G071100;TraesCS1B01G355700</t>
  </si>
  <si>
    <t>TraesCS6D01G232400;TraesCS6B01G274800;TraesCS5B01G468400;TraesCS2A01G380800;TraesCS1B01G122800;TraesCS2A01G196400;TraesCS4A01G401300;TraesCS2D01G377400;TraesCS1D01G039500;TraesCS2B01G398300;TraesCS2A01G384100;TraesCS5A01G004800;TraesCS1A01G070400;TraesCS1D01G103500;TraesCS3B01G547300;TraesCS6A01G250600;TraesCS3B01G547500</t>
  </si>
  <si>
    <t>TraesCS1D01G039500;TraesCS2B01G398300;TraesCS5B01G468400;TraesCS2A01G380800;TraesCS1D01G103500;TraesCS2A01G196400;TraesCS4A01G401300;TraesCS2D01G377400</t>
  </si>
  <si>
    <t>TraesCS3B01G310000;TraesCS7B01G325900;TraesCS2A01G217200;TraesCS2B01G208900;TraesCS2D01G223000;TraesCS2A01G012500;TraesCS7A01G215800;TraesCS3D01G500800;TraesCS5D01G187700;TraesCS1A01G342600;TraesCS4A01G491600;TraesCS6D01G157900;TraesCS2B01G053300;TraesCS2D01G190200;TraesCS3D01G518600;TraesCS6A01G168900;TraesCS5B01G239600;TraesCS7D01G217500;TraesCS1D01G344700;TraesCS2B01G242500;TraesCS7D01G028100;TraesCS1A01G422800;TraesCS2D01G025500;TraesCS3D01G452300;TraesCS7B01G301400;TraesCS2A01G216400;TraesCS7D01G463700;TraesCS6D01G396900;TraesCS2D01G222100;TraesCS7B01G122800;TraesCS6B01G152800;TraesCS1D01G144100;TraesCS5D01G333800;TraesCS6B01G197000;TraesCS3A01G276200;TraesCS3D01G049000;TraesCS6D01G242000;TraesCS1D01G381800;TraesCS5A01G327900;TraesCS6D01G158400;TraesCS2A01G563900;TraesCS4A01G207800;TraesCS3A01G122300;TraesCS3B01G053800;TraesCS7B01G273000;TraesCS7D01G125100;TraesCS1D01G048900;TraesCS7B01G378300;TraesCS4D01G312400;TraesCS3D01G124200;TraesCS1A01G235200;TraesCS2A01G216300;TraesCS4B01G111300;TraesCS2B01G536500;TraesCS3B01G141500;TraesCS7A01G455800;TraesCS2D01G013300;TraesCS4D01G109000;TraesCS5A01G222300;TraesCS7B01G333700;TraesCS2A01G485600;TraesCS5A01G237700;TraesCS5D01G063800;TraesCS3D01G104000;TraesCS3D01G276200;TraesCS7B01G071100;TraesCS1B01G355700</t>
  </si>
  <si>
    <t>TraesCS7D01G337900;TraesCS7B01G241200;TraesCS6D01G232400;TraesCS6B01G274800;TraesCS5B01G468400;TraesCS2A01G380800;TraesCS2A01G196400;TraesCS4A01G401300;TraesCS2D01G377400;TraesCS1D01G039500;TraesCS2B01G398300;TraesCS5A01G004800;TraesCS1D01G103500;TraesCS6A01G250600</t>
  </si>
  <si>
    <t>TraesCS2D01G218700;TraesCS5B01G468400;TraesCS2A01G380800;TraesCS2D01G377200;TraesCS6A01G222700;TraesCS7D01G350500;TraesCS2A01G196400;TraesCS2D01G377500;TraesCS4A01G401300;TraesCS2D01G377400;TraesCS1D01G039500;TraesCS2B01G414800;TraesCS2B01G398300;TraesCS2A01G384100;TraesCS1A01G070400;TraesCS1D01G103500;TraesCS3A01G183200</t>
  </si>
  <si>
    <t>obsolete ATP catabolic process</t>
  </si>
  <si>
    <t>TraesCS7D01G115100;TraesCS3A01G258000;TraesCS6D01G166100;TraesCS4A01G331100;TraesCS3D01G257900;TraesCS5B01G449500;TraesCS5A01G447200;TraesCS7D01G386600;TraesCS5A01G016200</t>
  </si>
  <si>
    <t>TraesCS7D01G337900;TraesCS5A01G337400;TraesCS7B01G241200;TraesCS5D01G342000;TraesCS5B01G336200</t>
  </si>
  <si>
    <t>TraesCS1D01G039500;TraesCS7D01G337900;TraesCS2B01G398300;TraesCS7B01G241200;TraesCS5B01G468400;TraesCS2A01G380800;TraesCS1D01G103500;TraesCS2A01G196400;TraesCS3D01G475800;TraesCS4A01G401300;TraesCS2D01G377400</t>
  </si>
  <si>
    <t>TraesCS1D01G098100;TraesCS3D01G537800;TraesCSU01G009100;TraesCS2D01G028600;TraesCS5A01G403200;TraesCS6B01G416100;TraesCS2A01G152200;TraesCS7D01G393100;TraesCS6A01G181000;TraesCS5D01G462500;TraesCS3D01G518200;TraesCS5A01G261400;TraesCS4D01G195700;TraesCS4A01G109200;TraesCS3D01G475800;TraesCS2B01G459000;TraesCS2A01G438200;TraesCS7B01G299500;TraesCS5A01G004800;TraesCS2D01G436200;TraesCS4B01G195000;TraesCS5B01G100700;TraesCS2D01G491000;TraesCS2A01G026600;TraesCS2B01G445600;TraesCS2B01G040000;TraesCS7B01G441100;TraesCS7A01G215500;TraesCS1B01G117500;TraesCS4D01G270000;TraesCS5B01G405300;TraesCS4B01G270800;TraesCS1A01G239400;TraesCS2D01G000200;TraesCS4D01G103100;TraesCS2D01G157300;TraesCS2A01G438300;TraesCS2B01G459100;TraesCS4A01G034500;TraesCS2A01G577800;TraesCS4D01G309900;TraesCS3A01G297100;TraesCS4D01G003400;TraesCS2B01G182500;TraesCS5A01G004700;TraesCS2A01G053300;TraesCS2D01G436100;TraesCS2B01G614100;TraesCS2D01G367400</t>
  </si>
  <si>
    <t>TraesCS5A01G337400;TraesCS5D01G342000;TraesCS5B01G336200</t>
  </si>
  <si>
    <t>TraesCS2B01G208900;TraesCS1A01G070400;TraesCS2B01G097800;TraesCS5A01G090600</t>
  </si>
  <si>
    <t>TraesCS3B01G547300;TraesCS3B01G547500</t>
  </si>
  <si>
    <t>cellular response to oxygen-containing compound</t>
  </si>
  <si>
    <t>TraesCS7D01G337900;TraesCS7B01G241200;TraesCS4A01G075600;TraesCS4B01G231400;TraesCS4D01G232700</t>
  </si>
  <si>
    <t>regulation of immune response</t>
  </si>
  <si>
    <t>protein localization to membrane</t>
  </si>
  <si>
    <t>regulation of innate immune response</t>
  </si>
  <si>
    <t>tRNA metabolic process</t>
  </si>
  <si>
    <t>establishment of protein localization to membrane</t>
  </si>
  <si>
    <t>TraesCS1A01G350400;TraesCS1B01G308200;TraesCS6B01G175100;TraesCS1A01G358400;TraesCS1A01G358100;TraesCS1D01G363300;TraesCS1D01G072900;TraesCS3B01G105700;TraesCS1A01G070400;TraesCS1A01G298600;TraesCS2A01G427700;TraesCS3B01G379200;TraesCS6D01G136200;TraesCS1B01G392000;TraesCS6D01G225500;TraesCS3D01G341100;TraesCS1B01G088900;TraesCS6B01G281000;TraesCS3A01G347500;TraesCS5A01G185600;TraesCS3D01G113200;TraesCS2B01G436300;TraesCS3A01G209800;TraesCS1D01G362900;TraesCS1D01G418400;TraesCS1A01G121500;TraesCS6A01G146900;TraesCS1B01G374900;TraesCS2A01G011000</t>
  </si>
  <si>
    <t>dicarboxylic acid metabolic process</t>
  </si>
  <si>
    <t>TraesCS2A01G384100;TraesCS2B01G208900;TraesCS1A01G070400;TraesCS7D01G217500;TraesCS7B01G071100</t>
  </si>
  <si>
    <t>response to chitin</t>
  </si>
  <si>
    <t>TraesCS2A01G384100;TraesCS2B01G208900</t>
  </si>
  <si>
    <t>pyrimidine-containing compound metabolic process</t>
  </si>
  <si>
    <t>protein targeting to membrane</t>
  </si>
  <si>
    <t>defense response to bacterium</t>
  </si>
  <si>
    <t>regulation of autophagy</t>
  </si>
  <si>
    <t>positive regulation of autophagy</t>
  </si>
  <si>
    <t>threonyl-tRNA aminoacylation</t>
  </si>
  <si>
    <t>Content of the worksheets</t>
  </si>
  <si>
    <t>FD series</t>
  </si>
  <si>
    <t>Fg down-regulated wheat genes</t>
  </si>
  <si>
    <t>FD1</t>
  </si>
  <si>
    <t>FD2</t>
  </si>
  <si>
    <t>FD3</t>
  </si>
  <si>
    <t>FD4</t>
  </si>
  <si>
    <t>FD5</t>
  </si>
  <si>
    <t>FD6</t>
  </si>
  <si>
    <t>FD7</t>
  </si>
  <si>
    <t>FD8</t>
  </si>
  <si>
    <t>FD9</t>
  </si>
  <si>
    <t>FD10</t>
  </si>
  <si>
    <t>FU series</t>
  </si>
  <si>
    <t>Fg up-regulated wheat genes</t>
  </si>
  <si>
    <t>FU1</t>
  </si>
  <si>
    <t>FU2</t>
  </si>
  <si>
    <t>FU3</t>
  </si>
  <si>
    <t>FU4</t>
  </si>
  <si>
    <t>FU5</t>
  </si>
  <si>
    <t>FU6</t>
  </si>
  <si>
    <t>FU7</t>
  </si>
  <si>
    <t>FU8</t>
  </si>
  <si>
    <t>FU9</t>
  </si>
  <si>
    <t>FU10</t>
  </si>
  <si>
    <t>FU11</t>
  </si>
  <si>
    <t>FU12</t>
  </si>
  <si>
    <t>FU13</t>
  </si>
  <si>
    <t>FU14</t>
  </si>
  <si>
    <t>Fg_up &amp; F020</t>
  </si>
  <si>
    <t>FU15</t>
  </si>
  <si>
    <t>Fg_up &amp; F100</t>
  </si>
  <si>
    <t>FU16</t>
  </si>
  <si>
    <t>Fg_up &amp; F200</t>
  </si>
  <si>
    <t>FU17</t>
  </si>
  <si>
    <t>Fg_up &amp; F022</t>
  </si>
  <si>
    <t>FU18</t>
  </si>
  <si>
    <t>Fg_up &amp; F110</t>
  </si>
  <si>
    <t>FU19</t>
  </si>
  <si>
    <t>Fg_up &amp; F222</t>
  </si>
  <si>
    <t>F series</t>
  </si>
  <si>
    <t>Fg genes</t>
  </si>
  <si>
    <t>F1</t>
  </si>
  <si>
    <t>Fg genes: Fg+AS6/Fg down &amp; Fg/MT up</t>
  </si>
  <si>
    <t>F2</t>
  </si>
  <si>
    <t>Fg genes: Fg+AS6/Fg up</t>
  </si>
  <si>
    <t>F3</t>
  </si>
  <si>
    <t>Fg genes: Fg+AS6_vs_Fg+ABA_down</t>
  </si>
  <si>
    <r>
      <t>Gene list (</t>
    </r>
    <r>
      <rPr>
        <sz val="11"/>
        <color rgb="FFFF0000"/>
        <rFont val="Calibri"/>
        <family val="2"/>
        <scheme val="minor"/>
      </rPr>
      <t>642 genes</t>
    </r>
    <r>
      <rPr>
        <sz val="11"/>
        <color theme="1"/>
        <rFont val="Calibri"/>
        <family val="2"/>
        <scheme val="minor"/>
      </rPr>
      <t>)</t>
    </r>
  </si>
  <si>
    <t>TraesCS7A01G204900;TraesCS6A01G333500;TraesCS2D01G074700;TraesCS7D01G460300;TraesCS4A01G402300;TraesCS3B01G400000;TraesCS3D01G285100;TraesCS4D01G102600;TraesCS5A01G407200;TraesCS4D01G191900;TraesCS6A01G266700;TraesCS3D01G361300;TraesCS4B01G305700;TraesCS1A01G069300;TraesCS2B01G508400;TraesCS3A01G242700;TraesCS7B01G202500;TraesCS3D01G443600;TraesCS6A01G279600;TraesCS6B01G354500;TraesCS7D01G163100;TraesCS5D01G417100;TraesCS2A01G027100;TraesCS2A01G589000;TraesCS6B01G132300;TraesCS3D01G475600;TraesCS5B01G565900;TraesCS5B01G209000;TraesCS4B01G358800;TraesCS5B01G265500;TraesCS1A01G278200;TraesCS4B01G371200;TraesCS6A01G180600;TraesCS1D01G071800;TraesCS7A01G070100;TraesCS7A01G055800;TraesCS1B01G097400;TraesCS6B01G294100;TraesCS6D01G064300;TraesCS3D01G480500;TraesCS4D01G265800;TraesCS7A01G537500;TraesCS5B01G415100;TraesCS2B01G143600;TraesCS4A01G442300;TraesCS2B01G474200;TraesCS4B01G094600;TraesCS6D01G127100;TraesCS2B01G491100;TraesCS4B01G189500;TraesCS2A01G041400;TraesCS6D01G072700;TraesCS5A01G352700;TraesCS2B01G594700;TraesCS5B01G476900;TraesCS5B01G149300;TraesCS5D01G045200;TraesCS1D01G103200;TraesCS4A01G394100;TraesCS3D01G160300;TraesCS4D01G098400;TraesCS6D01G193600;TraesCS7D01G368800;TraesCS5D01G110100;TraesCS7D01G328300;TraesCS2D01G220900;TraesCS3B01G277600;TraesCS1D01G395300;TraesCS2B01G425400;TraesCS1A01G076700;TraesCS7A01G207700;TraesCS5B01G028300;TraesCS3A01G417200;TraesCS2A01G134300;TraesCS3A01G141800;TraesCS1D01G374900;TraesCS7D01G354400;TraesCS5A01G029700;TraesCS5A01G002400;TraesCS1A01G281900;TraesCS2A01G013400;TraesCS4D01G190900;TraesCS1B01G334900;TraesCS1B01G319000;TraesCS1D01G243600;TraesCS4A01G339100;TraesCS6B01G080800;TraesCS5D01G420300;TraesCS4A01G127900;TraesCS6D01G230500;TraesCSU01G141200;TraesCS4B01G227000;TraesCS4B01G298600;TraesCS2A01G399100;TraesCS4D01G230600;TraesCS4B01G074100;TraesCS4D01G117100;TraesCS2B01G491400;TraesCS4A01G010500;TraesCS3B01G440500;TraesCS6B01G068800;TraesCS5D01G399100;TraesCS1A01G145300;TraesCS6B01G068000;TraesCS2B01G284300;TraesCS2B01G095800;TraesCS2B01G578600;TraesCS6B01G417400;TraesCS7A01G008900;TraesCS4A01G214200;TraesCS2D01G396600;TraesCS2D01G564900;TraesCS4D01G298900;TraesCS5A01G411500;TraesCS2A01G468500;TraesCS7D01G369300;TraesCS1B01G162500;TraesCS5B01G169600;TraesCS2B01G098400;TraesCS4B01G101800;TraesCS5A01G172200;TraesCS4B01G139000;TraesCS2B01G311100;TraesCS4A01G240900;TraesCS3A01G285200;TraesCS4D01G072800;TraesCS6B01G074100;TraesCS4B01G176900;TraesCS2D01G183000;TraesCS2B01G120200;TraesCS3D01G143600;TraesCS2D01G335300;TraesCS1A01G214700;TraesCS7A01G276300;TraesCS1B01G352400;TraesCS7A01G125100;TraesCS4B01G081200;TraesCS5A01G282700;TraesCS6D01G088800;TraesCS2B01G341300;TraesCS7B01G374300;TraesCS5A01G465100;TraesCS7A01G232900;TraesCS5B01G548400;TraesCS7B01G349800;TraesCS2A01G060500;TraesCS1D01G144200;TraesCS2A01G468200;TraesCS2D01G034500;TraesCS3D01G381600;TraesCS7A01G074200;TraesCS4B01G329800;TraesCS7B01G130600;TraesCS6D01G064200;TraesCS2A01G579700;TraesCS7D01G199400;TraesCS2B01G075000;TraesCS3A01G226600</t>
  </si>
  <si>
    <t>TraesCS4D01G082700;TraesCS4A01G231200;TraesCS2B01G201500;TraesCS2D01G092100;TraesCS6A01G379800</t>
  </si>
  <si>
    <t>TraesCS7A01G204900;TraesCS4B01G139000;TraesCS6B01G080800;TraesCS5D01G420300;TraesCS6A01G333500;TraesCS4A01G240900;TraesCS4B01G227000;TraesCS4D01G072800;TraesCS5B01G415100;TraesCS4D01G230600;TraesCS4B01G074100;TraesCS4A01G402300;TraesCS5A01G352700;TraesCS6B01G068800;TraesCS2B01G594700;TraesCS4D01G191900;TraesCS5D01G399100;TraesCS1A01G145300;TraesCS2D01G335300;TraesCS1A01G214700;TraesCS1D01G103200;TraesCS1A01G069300;TraesCS7A01G276300;TraesCS1B01G352400;TraesCS5D01G041700;TraesCS2D01G220900;TraesCS3B01G277600;TraesCS7D01G163100;TraesCS2B01G341300;TraesCS7A01G207700;TraesCS2A01G589000;TraesCS2A01G134300;TraesCS3D01G475600;TraesCS5B01G209000;TraesCS2D01G564900;TraesCS5B01G265500;TraesCS4A01G007600;TraesCS5A01G411500;TraesCS7D01G369300;TraesCS1D01G071800;TraesCS5B01G169600;TraesCS6D01G064200;TraesCS6B01G294100;TraesCS6D01G064300;TraesCS3D01G480500;TraesCS2B01G075000;TraesCS5A01G172200;TraesCS3A01G226600</t>
  </si>
  <si>
    <t>TraesCS6B01G080800;TraesCS6A01G333500;TraesCS4A01G240900;TraesCS4B01G227000;TraesCS4D01G072800;TraesCS4D01G230600;TraesCS4B01G074100;TraesCS4A01G402300;TraesCS6B01G068800;TraesCS2B01G594700;TraesCS4D01G191900;TraesCS5D01G399100;TraesCS1A01G214700;TraesCS7A01G276300;TraesCS2D01G220900;TraesCS3B01G277600;TraesCS7D01G163100;TraesCS2B01G341300;TraesCS7A01G207700;TraesCS2A01G589000;TraesCS2A01G134300;TraesCS3D01G475600;TraesCS2D01G564900;TraesCS5B01G265500;TraesCS2B01G050300;TraesCS5B01G169600;TraesCS6D01G064200;TraesCS6D01G064300;TraesCS3D01G480500;TraesCS2B01G075000;TraesCS5A01G172200</t>
  </si>
  <si>
    <t>TraesCS4D01G082700;TraesCS4A01G231200;TraesCS2B01G201500;TraesCS3A01G251200;TraesCS2D01G092100;TraesCS6A01G379800</t>
  </si>
  <si>
    <t>TraesCS5B01G033600;TraesCS4A01G245400;TraesCS4D01G068800;TraesCS5A01G353300;TraesCS5B01G355700;TraesCS5D01G360400;TraesCS5A01G033400;TraesCS5D01G041700</t>
  </si>
  <si>
    <t>growth</t>
  </si>
  <si>
    <t>TraesCS4D01G082700;TraesCS4A01G231200;TraesCS7D01G148700;TraesCS2B01G201500;TraesCS7D01G148100;TraesCS2D01G092100;TraesCS6A01G379800</t>
  </si>
  <si>
    <t>TraesCS4A01G066100;TraesCS2D01G074700;TraesCS7D01G460300;TraesCS4A01G402300;TraesCS3B01G400000;TraesCS3D01G285100;TraesCS4D01G102600;TraesCS5A01G407200;TraesCS4D01G191900;TraesCS6A01G266700;TraesCS3D01G361300;TraesCS4D01G113100;TraesCS4B01G305700;TraesCS7B01G422000;TraesCS1A01G069300;TraesCS3B01G524500;TraesCS2B01G508400;TraesCS3A01G242700;TraesCS7B01G202500;TraesCS3D01G443600;TraesCS6A01G279600;TraesCS6B01G354500;TraesCS5D01G360400;TraesCS5D01G417100;TraesCS1D01G261400;TraesCS2A01G027100;TraesCS2A01G589000;TraesCS4D01G321000;TraesCS6B01G132300;TraesCS5B01G565900;TraesCS4B01G358800;TraesCS1A01G278200;TraesCS4B01G371200;TraesCS6A01G180600;TraesCS1D01G071800;TraesCS7A01G070100;TraesCS7A01G055800;TraesCS1B01G097400;TraesCS1A01G295600;TraesCS6B01G294100;TraesCS4D01G265800;TraesCS1D01G102700;TraesCS5B01G278800;TraesCS5B01G415100;TraesCS2B01G143600;TraesCS3D01G195200;TraesCS4A01G442300;TraesCS2B01G474200;TraesCS4B01G094600;TraesCS6D01G127100;TraesCS2B01G491100;TraesCS4B01G189500;TraesCS2A01G041400;TraesCS6A01G379800;TraesCS6D01G072700;TraesCS5B01G476900;TraesCS5B01G149300;TraesCS5D01G045200;TraesCS4A01G394100;TraesCS2D01G328200;TraesCS3D01G160300;TraesCS4D01G098400;TraesCS5D01G097400;TraesCS7B01G422100;TraesCS6D01G193600;TraesCS7D01G368800;TraesCS5D01G110100;TraesCS7D01G328300;TraesCS2D01G220900;TraesCS7D01G192400;TraesCS1D01G395300;TraesCS2B01G425400;TraesCS1A01G076700;TraesCS5B01G028300;TraesCS3A01G417200;TraesCS7D01G148100;TraesCS2D01G092100;TraesCS3A01G141800;TraesCSU01G083100;TraesCS2B01G347200;TraesCS7D01G354400;TraesCS5A01G029700;TraesCS5A01G002400;TraesCS1A01G281900;TraesCS2A01G013400;TraesCS4D01G190900;TraesCS1B01G334900;TraesCS1B01G319000;TraesCS1D01G243600;TraesCS4A01G339100;TraesCS6B01G080800;TraesCS5D01G420300;TraesCS4A01G127900;TraesCS6D01G230500;TraesCSU01G141200;TraesCS4B01G227000;TraesCS4B01G298600;TraesCS2A01G399100;TraesCS4D01G230600;TraesCS4D01G117100;TraesCS2B01G491400;TraesCS4A01G010500;TraesCS7D01G500600;TraesCS3B01G440500;TraesCS4D01G082700;TraesCS7D01G433800;TraesCS6B01G068000;TraesCS2B01G284300;TraesCS4A01G231200;TraesCS3A01G479900;TraesCS2B01G095800;TraesCS4B01G115400;TraesCS2B01G578600;TraesCS6B01G417400;TraesCS7A01G008900;TraesCS4A01G214200;TraesCS2D01G396600;TraesCS4D01G298900;TraesCS5A01G411500;TraesCS2A01G468500;TraesCS7D01G369300;TraesCS1B01G162500;TraesCS2B01G098400;TraesCS4B01G101800;TraesCS4A01G240900;TraesCS6A01G249300;TraesCS3A01G285200;TraesCS6B01G074100;TraesCS4B01G176900;TraesCS2D01G183000;TraesCS2B01G120200;TraesCS3D01G143600;TraesCS2D01G335300;TraesCS7A01G125100;TraesCS4B01G081200;TraesCS1A01G181100;TraesCS5A01G282700;TraesCS7B01G374300;TraesCS5A01G465100;TraesCS7A01G232900;TraesCS5B01G355700;TraesCS5B01G548400;TraesCS7D01G148700;TraesCS7B01G349800;TraesCS2A01G060500;TraesCS1D01G144200;TraesCS2A01G468200;TraesCS2D01G034500;TraesCS3D01G381600;TraesCS2A01G334000;TraesCS2B01G201500;TraesCS4B01G329800;TraesCS7B01G130600;TraesCS2A01G579700;TraesCS7A01G445600;TraesCS2B01G075000;TraesCS3A01G226600;TraesCS3D01G031300</t>
  </si>
  <si>
    <t>TraesCS7D01G192400;TraesCS7D01G148700;TraesCS7D01G148100;TraesCS7D01G500600;TraesCS7D01G433800;TraesCS1D01G071800;TraesCS4D01G113100;TraesCSU01G059800;TraesCS7B01G422000;TraesCS1A01G069300;TraesCS7B01G422100;TraesCS7A01G445600;TraesCS7D01G499600</t>
  </si>
  <si>
    <t>TraesCS7A01G204900;TraesCS6B01G080800;TraesCS5D01G420300;TraesCS6A01G333500;TraesCS4B01G227000;TraesCS3B01G597800;TraesCS4D01G230600;TraesCS4B01G074100;TraesCS6A01G370800;TraesCS4A01G402300;TraesCS6B01G068800;TraesCS4D01G191900;TraesCS5D01G399100;TraesCS7B01G420100;TraesCS1A01G145300;TraesCS1A01G069300;TraesCS1A01G233200;TraesCS7D01G163100;TraesCS2A01G589000;TraesCS3D01G475600;TraesCS5B01G209000;TraesCS2D01G564900;TraesCS5B01G265500;TraesCS5A01G411500;TraesCS7D01G499300;TraesCS3A01G528800;TraesCS7D01G369300;TraesCS1D01G071800;TraesCS5B01G169600;TraesCS6D01G064300;TraesCS3D01G480500;TraesCS5A01G172200;TraesCS4B01G139000;TraesCS4A01G240900;TraesCS4D01G072800;TraesCS5B01G415100;TraesCS4D01G301300;TraesCS3B01G597900;TraesCS5A01G352700;TraesCS2B01G594700;TraesCS7A01G482300;TraesCS7B01G420400;TraesCS1A01G214700;TraesCS1D01G103200;TraesCS7A01G276300;TraesCS1B01G352400;TraesCS3D01G534200;TraesCS2D01G220900;TraesCS3B01G277600;TraesCS2B01G341300;TraesCS2D01G409700;TraesCS7A01G207700;TraesCS2A01G134300;TraesCS6D01G064200;TraesCS5B01G255200;TraesCS2B01G075000</t>
  </si>
  <si>
    <t>TraesCS5B01G475500;TraesCS5B01G531200;TraesCS5B01G475800;TraesCS6B01G287900;TraesCS4A01G194300;TraesCS1A01G175100;TraesCS4D01G119000</t>
  </si>
  <si>
    <t>TraesCS1D01G243600;TraesCS4A01G339100;TraesCS4A01G127900;TraesCSU01G141200;TraesCS4B01G298600;TraesCS2A01G399100;TraesCS4D01G117100;TraesCS2B01G491400;TraesCS4D01G102600;TraesCS3B01G440500;TraesCS4B01G305700;TraesCS2B01G284300;TraesCS7B01G202500;TraesCS6A01G279600;TraesCS6B01G354500;TraesCS7A01G008900;TraesCS5B01G565900;TraesCS2D01G396600;TraesCS4B01G358800;TraesCS2A01G468500;TraesCS6A01G180600;TraesCS2B01G098400;TraesCS4D01G265800;TraesCS2B01G311100;TraesCS6B01G074100;TraesCS2B01G143600;TraesCS4B01G176900;TraesCS2D01G183000;TraesCS6D01G127100;TraesCS2B01G491100;TraesCS4B01G189500;TraesCS3D01G143600;TraesCS2D01G335300;TraesCS5B01G476900;TraesCS5D01G045200;TraesCS3D01G160300;TraesCS6D01G193600;TraesCS7D01G368800;TraesCS4B01G081200;TraesCS5D01G110100;TraesCS7D01G328300;TraesCS5A01G282700;TraesCS2B01G425400;TraesCS5B01G548400;TraesCS1A01G076700;TraesCS5B01G028300;TraesCS3A01G417200;TraesCS3A01G141800;TraesCS7B01G349800;TraesCS2A01G060500;TraesCS5A01G029700;TraesCS5A01G002400;TraesCS1A01G281900;TraesCS2A01G013400;TraesCS4D01G190900;TraesCS2A01G468200;TraesCS3D01G381600;TraesCS7B01G130600;TraesCS2A01G579700;TraesCS3A01G226600</t>
  </si>
  <si>
    <t>TraesCS7D01G192400;TraesCS1B01G315000;TraesCS4B01G115400;TraesCS7D01G148700;TraesCS7D01G148100;TraesCS7D01G500600;TraesCS2D01G142000;TraesCS7D01G433800;TraesCS1D01G071800;TraesCS2B01G163200;TraesCS4D01G113100;TraesCS7B01G422000;TraesCS1A01G069300;TraesCS7B01G422100;TraesCS7A01G445600</t>
  </si>
  <si>
    <t>TraesCS4D01G082700;TraesCS4A01G231200;TraesCS1B01G273300;TraesCS2B01G201500;TraesCS2D01G092100;TraesCS6A01G379800</t>
  </si>
  <si>
    <t>lateral root development</t>
  </si>
  <si>
    <t>oligosaccharide transport</t>
  </si>
  <si>
    <t>TraesCS2D01G505700;TraesCS2B01G533300</t>
  </si>
  <si>
    <t>TraesCS4D01G298900;TraesCS4D01G190900;TraesCS6B01G294100;TraesCS4B01G189500;TraesCS5D01G041700</t>
  </si>
  <si>
    <t>TraesCS6D01G088800;TraesCS6A01G094400;TraesCS7D01G199400;TraesCS1D01G374900</t>
  </si>
  <si>
    <t>signaling</t>
  </si>
  <si>
    <t>TraesCS7D01G192400;TraesCS7D01G433800;TraesCS1D01G071800;TraesCS4B01G115400;TraesCS7D01G148700;TraesCS4D01G113100;TraesCS7B01G422000;TraesCS1A01G069300;TraesCS7B01G422100;TraesCS7D01G148100;TraesCS7A01G445600;TraesCS7D01G500600</t>
  </si>
  <si>
    <t>TraesCS7D01G192400;TraesCS4B01G115400;TraesCS7D01G148700;TraesCS3D01G195200;TraesCS3B01G162100;TraesCS4A01G214200;TraesCS7D01G148100;TraesCS7D01G500600;TraesCS7D01G433800;TraesCS3D01G144600;TraesCS1B01G273300;TraesCS1D01G071800;TraesCS4D01G113100;TraesCS3A01G143000;TraesCS4D01G098400;TraesCS7B01G422000;TraesCS1A01G069300;TraesCS7B01G422100;TraesCS7A01G445600;TraesCS4B01G101800</t>
  </si>
  <si>
    <t>flavonoid biosynthetic process</t>
  </si>
  <si>
    <t>TraesCS6B01G294100;TraesCS5D01G041700;TraesCS3A01G226600</t>
  </si>
  <si>
    <t>TraesCS4D01G298900;TraesCS4B01G300000;TraesCS4D01G027900</t>
  </si>
  <si>
    <t>positive regulation of posttranscriptional gene silencing</t>
  </si>
  <si>
    <t>disaccharide transport</t>
  </si>
  <si>
    <t>sucrose transport</t>
  </si>
  <si>
    <t>flavonoid metabolic process</t>
  </si>
  <si>
    <t>TraesCS7D01G148700;TraesCSU01G059800;TraesCS7B01G422000;TraesCS7B01G422100;TraesCS7D01G148100;TraesCS7D01G500600;TraesCS7D01G499600</t>
  </si>
  <si>
    <t>anthocyanin-containing compound biosynthetic process</t>
  </si>
  <si>
    <t>TraesCS6B01G294100;TraesCS3A01G226600</t>
  </si>
  <si>
    <t>cellular response to cytokinin stimulus</t>
  </si>
  <si>
    <t>TraesCS4D01G191900;TraesCS7D01G148100</t>
  </si>
  <si>
    <t>cytokinin-activated signaling pathway</t>
  </si>
  <si>
    <t>purine nucleoside monophosphate biosynthetic process</t>
  </si>
  <si>
    <t>TraesCS5A01G411500;TraesCS5D01G420300;TraesCS2B01G050300;TraesCS5B01G415100;TraesCS4D01G321000</t>
  </si>
  <si>
    <t>TraesCS7D01G192400;TraesCS4B01G115400;TraesCS7D01G148700;TraesCS3D01G195200;TraesCS3B01G162100;TraesCS4A01G214200;TraesCS7D01G148100;TraesCS7D01G500600;TraesCS7D01G433800;TraesCS3D01G144600;TraesCS1D01G071800;TraesCS4D01G113100;TraesCS3A01G143000;TraesCS4D01G098400;TraesCS7B01G422000;TraesCS1A01G069300;TraesCS5D01G097400;TraesCS7B01G422100;TraesCS7A01G445600;TraesCS4B01G101800</t>
  </si>
  <si>
    <t>pigment biosynthetic process</t>
  </si>
  <si>
    <t>TraesCS2A01G468500;TraesCS2A01G468200;TraesCS2B01G050300;TraesCS2B01G491400;TraesCS6B01G294100;TraesCS3A01G226600</t>
  </si>
  <si>
    <t>regulation of gene silencing by miRNA</t>
  </si>
  <si>
    <t>anthocyanin-containing compound metabolic process</t>
  </si>
  <si>
    <t>ribonucleoside monophosphate biosynthetic process</t>
  </si>
  <si>
    <t>TraesCS1D01G149700;TraesCS1B01G170100;TraesCS1A01G152600</t>
  </si>
  <si>
    <t>TraesCS2A01G334000;TraesCS1D01G261400;TraesCS2D01G328200;TraesCS2B01G347200</t>
  </si>
  <si>
    <t>seed development</t>
  </si>
  <si>
    <t>TraesCS4D01G298900;TraesCS1B01G273300;TraesCS5D01G162100;TraesCS5A01G156700;TraesCS5D01G097400;TraesCS4B01G101800;TraesCS5B01G154900</t>
  </si>
  <si>
    <t>TraesCS4D01G298900;TraesCS1A01G278200;TraesCS4A01G127900;TraesCS4B01G300000;TraesCS4D01G027900;TraesCS4D01G117100;TraesCS7B01G130600;TraesCS2A01G095700;TraesCS2B01G120200;TraesCS2D01G094200;TraesCS4D01G102600;TraesCS5D01G041700</t>
  </si>
  <si>
    <t>maintenance of chromatin silencing</t>
  </si>
  <si>
    <t>transposition, RNA-mediated</t>
  </si>
  <si>
    <t>regulation of histone H4 acetylation</t>
  </si>
  <si>
    <t>negative regulation of histone H4 acetylation</t>
  </si>
  <si>
    <t>pH reduction</t>
  </si>
  <si>
    <t>intracellular pH reduction</t>
  </si>
  <si>
    <t>vacuolar acidification</t>
  </si>
  <si>
    <t>terpene catabolic process</t>
  </si>
  <si>
    <t>carotene catabolic process</t>
  </si>
  <si>
    <t>regulation of production of small RNA involved in gene silencing by RNA</t>
  </si>
  <si>
    <t>TraesCSU01G049700;TraesCS4A01G083100;TraesCS4D01G221500</t>
  </si>
  <si>
    <t>TraesCS6D01G088800;TraesCS7D01G199400;TraesCS1D01G374900</t>
  </si>
  <si>
    <t>TraesCS2A01G095700;TraesCS2D01G094200</t>
  </si>
  <si>
    <t>cellular process</t>
  </si>
  <si>
    <t>TraesCS4A01G066100;TraesCS3D01G195200;TraesCS4D01G230600;TraesCS2B01G120200;TraesCS4A01G402300;TraesCS5B01G150700;TraesCS5B01G154900;TraesCS6A01G379800;TraesCS7D01G500600;TraesCS4D01G082700;TraesCS4D01G191900;TraesCS7D01G433800;TraesCS5D01G162100;TraesCS4D01G113100;TraesCS3A01G143000;TraesCS4D01G098400;TraesCS5A01G156700;TraesCS7B01G422000;TraesCS1A01G069300;TraesCS7B01G422100;TraesCS2B01G508400;TraesCS6D01G088800;TraesCS7D01G192400;TraesCS4A01G231200;TraesCS4B01G115400;TraesCS7D01G148700;TraesCS6B01G417400;TraesCS3B01G162100;TraesCS4A01G214200;TraesCS6B01G132300;TraesCS7D01G148100;TraesCS2D01G092100;TraesCS1D01G374900;TraesCS3D01G144600;TraesCS5B01G402000;TraesCS1D01G071800;TraesCS3D01G381600;TraesCS7A01G074200;TraesCS2B01G201500;TraesCS4A01G372200;TraesCS1A01G295600;TraesCS7A01G445600;TraesCS7D01G199400;TraesCS4B01G101800;TraesCS3A01G226600;TraesCS5B01G278800;TraesCS7A01G537500</t>
  </si>
  <si>
    <t>positive regulation of histone modification</t>
  </si>
  <si>
    <t>terpenoid catabolic process</t>
  </si>
  <si>
    <t>isoprenoid catabolic process</t>
  </si>
  <si>
    <t>regulation of posttranscriptional gene silencing</t>
  </si>
  <si>
    <t>regulation of gene silencing by RNA</t>
  </si>
  <si>
    <t>TraesCS7D01G192400;TraesCS4B01G115400;TraesCS7D01G148700;TraesCS7D01G148100;TraesCS7D01G500600;TraesCS4D01G191900;TraesCS7D01G433800;TraesCS1D01G071800;TraesCS5B01G476900;TraesCS4D01G113100;TraesCSU01G059800;TraesCS7B01G422000;TraesCS1A01G069300;TraesCS7B01G422100;TraesCS7A01G445600;TraesCS7D01G499600</t>
  </si>
  <si>
    <t>TraesCS5B01G308800;TraesCS7D01G248500;TraesCS1A01G304400;TraesCS3B01G331200;TraesCS5D01G315400;TraesCS6D01G085000;TraesCS1B01G347900;TraesCS4A01G404700;TraesCS5B01G154900;TraesCS6A01G097500;TraesCS4B01G320400;TraesCS5D01G162100;TraesCSU01G183700;TraesCS3A01G527300;TraesCS7A01G475400;TraesCS1B01G314900;TraesCS5A01G156700;TraesCS2B01G284300;TraesCS5D01G097400;TraesCS3D01G296500;TraesCS1D01G197300;TraesCS3D01G515900;TraesCS5B01G330300;TraesCS1D01G303900;TraesCSU01G117200;TraesCS1B01G178000;TraesCS7B01G129700;TraesCS3A01G292400;TraesCS7A01G377400;TraesCS3A01G251200;TraesCS7B01G277800;TraesCS7D01G148100;TraesCS6B01G341900;TraesCS2A01G415300;TraesCS2B01G434300;TraesCS2B01G589200;TraesCS7A01G214700;TraesCS7D01G372700;TraesCS1B01G273300;TraesCS3D01G532800;TraesCS5A01G308400;TraesCS4A01G372200</t>
  </si>
  <si>
    <t>pigment metabolic process</t>
  </si>
  <si>
    <t>positive regulation of histone methylation</t>
  </si>
  <si>
    <t>positive regulation of histone H3-K9 methylation</t>
  </si>
  <si>
    <t>regulation of intracellular pH</t>
  </si>
  <si>
    <t>fruit development</t>
  </si>
  <si>
    <t>TraesCS4D01G298900;TraesCS1B01G273300;TraesCS5D01G162100;TraesCS5A01G156700;TraesCS4B01G101800;TraesCS5B01G154900</t>
  </si>
  <si>
    <t>response to stimulus</t>
  </si>
  <si>
    <t>TraesCS4A01G066100;TraesCS4A01G127900;TraesCS4B01G176900;TraesCS4D01G117100;TraesCS6D01G127100;TraesCS1B01G347900;TraesCS4D01G102600;TraesCS7D01G500600;TraesCS4D01G191900;TraesCS7D01G433800;TraesCS5B01G476900;TraesCS4D01G113100;TraesCS2D01G328200;TraesCS7B01G422000;TraesCS1A01G069300;TraesCS7B01G422100;TraesCS5D01G110100;TraesCS7D01G192400;TraesCS4B01G115400;TraesCS7D01G148700;TraesCS1D01G261400;TraesCS4D01G321000;TraesCS3A01G292400;TraesCS7D01G148100;TraesCS3A01G141800;TraesCS2B01G347200;TraesCS1D01G071800;TraesCS5B01G471200;TraesCS2A01G334000;TraesCS2B01G050300;TraesCS2B01G098400;TraesCS7A01G445600</t>
  </si>
  <si>
    <t>purine ribonucleoside monophosphate metabolic process</t>
  </si>
  <si>
    <t>regulation of fertilization</t>
  </si>
  <si>
    <t>regulation of double fertilization forming a zygote and endosperm</t>
  </si>
  <si>
    <t>cyanate metabolic process</t>
  </si>
  <si>
    <t>response to UV-B</t>
  </si>
  <si>
    <t>cellular homeostasis</t>
  </si>
  <si>
    <t>TraesCS3D01G144600;TraesCS3A01G143000;TraesCS3B01G162100;TraesCS4D01G098400;TraesCS4A01G214200;TraesCS3D01G475600;TraesCS4B01G101800</t>
  </si>
  <si>
    <t>TraesCS5B01G308800;TraesCS7D01G248500;TraesCS1A01G304400;TraesCS3B01G331200;TraesCS5D01G315400;TraesCS6D01G085000;TraesCS1B01G347900;TraesCS4A01G404700;TraesCS5B01G154900;TraesCS6A01G097500;TraesCS4B01G320400;TraesCS5D01G162100;TraesCSU01G183700;TraesCS3A01G527300;TraesCS7A01G475400;TraesCS1B01G314900;TraesCS5A01G156700;TraesCS2B01G284300;TraesCS5D01G097400;TraesCS3D01G296500;TraesCS1D01G197300;TraesCS3D01G515900;TraesCS5B01G330300;TraesCS1D01G303900;TraesCS1B01G178000;TraesCS7B01G129700;TraesCS3A01G292400;TraesCS7A01G377400;TraesCS3A01G251200;TraesCS7B01G277800;TraesCS7D01G148100;TraesCS6B01G341900;TraesCS2A01G415300;TraesCS2B01G434300;TraesCS2B01G589200;TraesCS7A01G214700;TraesCS7D01G372700;TraesCS1B01G273300;TraesCS7A01G074200;TraesCS3D01G532800;TraesCS5A01G308400</t>
  </si>
  <si>
    <t>TraesCS5B01G308800;TraesCS7D01G248500;TraesCS1A01G304400;TraesCS3B01G331200;TraesCS5D01G315400;TraesCS6D01G085000;TraesCS1B01G347900;TraesCS4A01G404700;TraesCS5B01G154900;TraesCS6A01G097500;TraesCS4B01G320400;TraesCS5D01G162100;TraesCSU01G183700;TraesCS3A01G527300;TraesCS7A01G475400;TraesCS1B01G314900;TraesCS5A01G156700;TraesCS5D01G097400;TraesCS3D01G296500;TraesCS1D01G197300;TraesCS5B01G330300;TraesCS1D01G303900;TraesCS1B01G178000;TraesCS3A01G292400;TraesCS7A01G377400;TraesCS3A01G251200;TraesCS7B01G277800;TraesCS7D01G148100;TraesCS6B01G341900;TraesCS2A01G415300;TraesCS2B01G434300;TraesCS2B01G589200;TraesCS7A01G214700;TraesCS7D01G372700;TraesCS1B01G273300;TraesCS3D01G532800;TraesCS5A01G308400</t>
  </si>
  <si>
    <t>anatomical structure formation involved in morphogenesis</t>
  </si>
  <si>
    <t>TraesCS5B01G308800;TraesCS7D01G248500;TraesCS1A01G304400;TraesCS3B01G331200;TraesCS5D01G315400;TraesCS6D01G085000;TraesCS1B01G347900;TraesCS4A01G404700;TraesCS5B01G154900;TraesCS6A01G097500;TraesCS4B01G320400;TraesCS5D01G162100;TraesCSU01G183700;TraesCS3A01G527300;TraesCS7A01G475400;TraesCS1B01G314900;TraesCS5A01G156700;TraesCS2B01G284300;TraesCS5D01G097400;TraesCS3D01G296500;TraesCS1D01G197300;TraesCS5B01G330300;TraesCS1D01G303900;TraesCS1B01G178000;TraesCS7B01G129700;TraesCS3A01G292400;TraesCS7A01G377400;TraesCS3A01G251200;TraesCS7B01G277800;TraesCS7D01G148100;TraesCS6B01G341900;TraesCS2A01G415300;TraesCS2B01G434300;TraesCS2B01G589200;TraesCS7A01G214700;TraesCS7D01G372700;TraesCS1B01G273300;TraesCS3D01G532800;TraesCS5A01G308400</t>
  </si>
  <si>
    <t>TraesCS5B01G308800;TraesCS7D01G248500;TraesCS1A01G304400;TraesCS3B01G331200;TraesCS5D01G315400;TraesCS6D01G085000;TraesCS1B01G347900;TraesCS4A01G404700;TraesCS5B01G154900;TraesCS6A01G097500;TraesCS4B01G320400;TraesCS5B01G476900;TraesCS5D01G162100;TraesCSU01G183700;TraesCS3A01G527300;TraesCS7A01G475400;TraesCS1B01G314900;TraesCS5A01G156700;TraesCS5D01G097400;TraesCS3D01G296500;TraesCS1D01G197300;TraesCS5B01G330300;TraesCS1D01G303900;TraesCS1B01G178000;TraesCS3A01G292400;TraesCS7A01G377400;TraesCS3A01G251200;TraesCS7B01G277800;TraesCS7D01G148100;TraesCS6B01G341900;TraesCS2A01G415300;TraesCS2B01G434300;TraesCS2B01G589200;TraesCS7A01G214700;TraesCS7D01G372700;TraesCS1B01G273300;TraesCS3D01G532800;TraesCS5A01G308400</t>
  </si>
  <si>
    <t>regulation of histone H3-K9 methylation</t>
  </si>
  <si>
    <t>negative regulation of histone modification</t>
  </si>
  <si>
    <t>negative regulation of peptidyl-lysine acetylation</t>
  </si>
  <si>
    <t>negative regulation of histone acetylation</t>
  </si>
  <si>
    <t>TraesCS3A01G479900;TraesCS6A01G249300;TraesCS3B01G524500</t>
  </si>
  <si>
    <t>TraesCS5B01G308800;TraesCS7D01G248500;TraesCS1A01G304400;TraesCS3B01G331200;TraesCS5D01G315400;TraesCS6D01G085000;TraesCS1B01G347900;TraesCS4A01G404700;TraesCS5B01G154900;TraesCS6A01G097500;TraesCS4B01G320400;TraesCS5D01G162100;TraesCSU01G183700;TraesCS3A01G527300;TraesCS7A01G475400;TraesCS1B01G314900;TraesCS5A01G156700;TraesCS5D01G097400;TraesCS3D01G296500;TraesCS1D01G197300;TraesCS5B01G330300;TraesCS1D01G303900;TraesCS1B01G178000;TraesCS3A01G292400;TraesCS7A01G377400;TraesCS3A01G251200;TraesCS7B01G277800;TraesCS7D01G148100;TraesCS6B01G341900;TraesCS2A01G415300;TraesCS2B01G434300;TraesCS2B01G589200;TraesCS7A01G214700;TraesCS7D01G372700;TraesCS1B01G273300;TraesCS3D01G532800;TraesCS5A01G308400;TraesCS4A01G372200</t>
  </si>
  <si>
    <r>
      <t>Gene list (</t>
    </r>
    <r>
      <rPr>
        <sz val="11"/>
        <color rgb="FFFF0000"/>
        <rFont val="Calibri"/>
        <family val="2"/>
        <scheme val="minor"/>
      </rPr>
      <t>162</t>
    </r>
    <r>
      <rPr>
        <sz val="11"/>
        <color theme="1"/>
        <rFont val="Calibri"/>
        <family val="2"/>
        <scheme val="minor"/>
      </rPr>
      <t xml:space="preserve"> genes)</t>
    </r>
  </si>
  <si>
    <t>TraesCS5B01G097600;TraesCS2A01G477000;TraesCS2A01G476800;TraesCS2A01G476700;TraesCS2A01G476500;TraesCS2B01G500100;TraesCS2B01G500200;TraesCS2B01G500300</t>
  </si>
  <si>
    <t>TraesCS7A01G187000;TraesCS2A01G477000;TraesCS5A01G502200;TraesCS7D01G199900;TraesCS1D01G004500;TraesCS7B01G253600;TraesCS5D01G293700;TraesCS2B01G554900;TraesCS7A01G114100;TraesCS3D01G084600;TraesCS5A01G213600;TraesCS2B01G500200;TraesCS5A01G303400;TraesCS5D01G150500;TraesCS1A01G395100;TraesCS5A01G393900;TraesCS4A01G017400;TraesCS2A01G476800;TraesCS5B01G303800;TraesCS1D01G162000;TraesCS7B01G273600;TraesCS7A01G115400;TraesCS5D01G218400;TraesCS3D01G061900;TraesCSU01G048500;TraesCS5A01G318000;TraesCS1D01G007100;TraesCS1B01G091900;TraesCS3A01G180000;TraesCS5B01G475000;TraesCS4A01G485000;TraesCS1B01G423200;TraesCS2B01G418500;TraesCS3A01G401900;TraesCS1D01G403300;TraesCS3A01G237800;TraesCS3D01G061500;TraesCS1B01G080400;TraesCS5B01G097600;TraesCS6A01G178500;TraesCS7D01G173300;TraesCS6B01G383200;TraesCS2B01G500100;TraesCS1B01G182000;TraesCS2B01G500300;TraesCS3A01G402000;TraesCS7D01G224000;TraesCS4A01G311000;TraesCS1B01G107400;TraesCS3A01G062200;TraesCS2A01G476700;TraesCS2A01G476500;TraesCS2D01G021600;TraesCS4B01G356800;TraesCSU01G048600;TraesCS1A01G362900;TraesCS4D01G311500;TraesCS7A01G277500;TraesCS1A01G364000</t>
  </si>
  <si>
    <t>TraesCS7A01G187000;TraesCS5A01G502200;TraesCS7D01G199900;TraesCS1D01G004500;TraesCS7B01G253600;TraesCS5D01G293700;TraesCS2B01G554900;TraesCS7A01G114100;TraesCS1D01G283900;TraesCS3D01G084600;TraesCS3D01G015900;TraesCS5A01G213600;TraesCS5A01G303400;TraesCS1A01G395100;TraesCS5A01G393900;TraesCS4A01G017400;TraesCS2B01G318600;TraesCS5B01G303800;TraesCS1D01G162000;TraesCS7B01G273600;TraesCS7B01G493700;TraesCS5D01G408200;TraesCS5D01G218400;TraesCS3D01G061900;TraesCSU01G048500;TraesCS5A01G318000;TraesCS1D01G007100;TraesCS1B01G091900;TraesCS3A01G180000;TraesCS5B01G475000;TraesCS4A01G485000;TraesCS1B01G423200;TraesCS2B01G418500;TraesCS3A01G401900;TraesCS1D01G403300;TraesCS3A01G237800;TraesCS3D01G061500;TraesCS1B01G080400;TraesCS2B01G369000;TraesCS6A01G178500;TraesCS7D01G173300;TraesCS1B01G182000;TraesCS3A01G402000;TraesCS7B01G286100;TraesCS7D01G224000;TraesCS4A01G311000;TraesCS1B01G107400;TraesCS3A01G062200;TraesCS2D01G021600;TraesCS4B01G356800;TraesCSU01G048600;TraesCS4D01G311500;TraesCS7A01G277500</t>
  </si>
  <si>
    <t>TraesCS7A01G187000;TraesCS1B01G423200;TraesCS2B01G418500;TraesCS7D01G199900;TraesCS1D01G004500;TraesCS3A01G401900;TraesCS1D01G403300;TraesCS3D01G061500;TraesCS7A01G114100;TraesCS3D01G084600;TraesCS5A01G213600;TraesCS5A01G303400;TraesCS1A01G395100;TraesCS3A01G402000;TraesCS4A01G311000;TraesCS3A01G062200;TraesCS5B01G303800;TraesCS7B01G273600;TraesCS2D01G021600;TraesCS5D01G218400;TraesCS3D01G061900;TraesCSU01G048500;TraesCSU01G048600;TraesCS5A01G318000;TraesCS1D01G007100;TraesCS3A01G180000;TraesCS7A01G277500</t>
  </si>
  <si>
    <t>TraesCS2B01G451700;TraesCS2A01G477000;TraesCS3D01G094200;TraesCS2A01G476800;TraesCS2A01G476700;TraesCS2A01G476500;TraesCS5D01G218400;TraesCS5B01G097600;TraesCS7A01G209800;TraesCS5A01G213600;TraesCS6B01G383200;TraesCS7D01G211700;TraesCS3A01G180000;TraesCS2B01G500100;TraesCS2B01G500200;TraesCS1A01G364000;TraesCS2B01G500300</t>
  </si>
  <si>
    <t>TraesCS7A01G187000;TraesCS7B01G286100;TraesCS4A01G017400;TraesCS2B01G318600;TraesCS1D01G162000;TraesCS7B01G493700;TraesCS4B01G356800;TraesCS1D01G283900;TraesCS5D01G408200;TraesCS5D01G218400;TraesCS2B01G369000;TraesCS3D01G015900;TraesCS1D01G007100;TraesCS5A01G213600;TraesCS4A01G485000;TraesCS1B01G182000</t>
  </si>
  <si>
    <t>TraesCS1D01G283900;TraesCS5D01G408200;TraesCS7B01G286100;TraesCS2B01G369000;TraesCS3D01G015900;TraesCS1D01G162000;TraesCS7B01G493700;TraesCS4A01G485000;TraesCS4B01G356800;TraesCS1B01G182000</t>
  </si>
  <si>
    <t>TraesCS2A01G477000;TraesCS3D01G094200;TraesCS2A01G476800;TraesCS2A01G476700;TraesCS2A01G476500;TraesCS5D01G218400;TraesCS5B01G097600;TraesCS5A01G213600;TraesCS6B01G383200;TraesCS3A01G180000;TraesCS2B01G500100;TraesCS2B01G500200;TraesCS1A01G364000;TraesCS2B01G500300</t>
  </si>
  <si>
    <t>nucleobase-containing compound transport</t>
  </si>
  <si>
    <t>TraesCS5D01G408200;TraesCS4A01G017400;TraesCS2B01G369000;TraesCS7B01G493700</t>
  </si>
  <si>
    <t>TraesCS2A01G477000;TraesCS2A01G476800;TraesCS2A01G476700;TraesCS2A01G476500;TraesCS2B01G500100;TraesCS2B01G500200;TraesCS2B01G500300</t>
  </si>
  <si>
    <t>TraesCS7A01G187000;TraesCS7B01G286100;TraesCS4A01G017400;TraesCS2B01G318600;TraesCS6B01G370100;TraesCS1D01G162000;TraesCS7B01G493700;TraesCS4B01G356800;TraesCS6B01G041200;TraesCS1D01G283900;TraesCS5D01G408200;TraesCS2B01G369000;TraesCS3D01G015900;TraesCS1D01G007100;TraesCS3A01G040800;TraesCS3D01G039300;TraesCS4A01G485000;TraesCS1B01G182000</t>
  </si>
  <si>
    <t>response to reactive oxygen species</t>
  </si>
  <si>
    <t>TraesCS5D01G218400;TraesCS5B01G097600;TraesCS5A01G213600;TraesCS6B01G383200</t>
  </si>
  <si>
    <t>TraesCS5D01G218400;TraesCS5A01G213600;TraesCS6B01G383200</t>
  </si>
  <si>
    <t>acetyl-CoA biosynthetic process</t>
  </si>
  <si>
    <t>acyl-CoA biosynthetic process</t>
  </si>
  <si>
    <t>TraesCS7A01G187000;TraesCS5D01G565300;TraesCS1D01G007100</t>
  </si>
  <si>
    <r>
      <t>Gene list (</t>
    </r>
    <r>
      <rPr>
        <sz val="11"/>
        <color rgb="FFFF0000"/>
        <rFont val="Calibri"/>
        <family val="2"/>
        <scheme val="minor"/>
      </rPr>
      <t>87 genes</t>
    </r>
    <r>
      <rPr>
        <sz val="11"/>
        <color theme="1"/>
        <rFont val="Calibri"/>
        <family val="2"/>
        <scheme val="minor"/>
      </rPr>
      <t>)</t>
    </r>
  </si>
  <si>
    <t>TraesCS3B01G555800;TraesCS4A01G474800;TraesCS2A01G510200;TraesCS5A01G254600;TraesCS3A01G016800;TraesCS5B01G059300;TraesCS2B01G084100;TraesCS6B01G303800;TraesCS2B01G084000;TraesCS2B01G519500;TraesCS1A01G016300;TraesCS4D01G003300;TraesCS5D01G191400;TraesCS7A01G425900;TraesCS7D01G418200;TraesCSU01G050000;TraesCS2A01G466900;TraesCS5D01G268600</t>
  </si>
  <si>
    <t>TraesCS3A01G044400;TraesCS3D01G476500;TraesCS6D01G297000;TraesCS3D01G392500;TraesCS2D01G483100;TraesCS1A01G079400;TraesCS2B01G126200;TraesCS7A01G500100;TraesCS2B01G491000;TraesCS2A01G295400;TraesCS1B01G014300;TraesCS7A01G201800;TraesCS6B01G201600;TraesCS7B01G038100;TraesCS7B01G359700;TraesCS1D01G080900;TraesCS1D01G410500;TraesCS7A01G085700;TraesCS4D01G103300;TraesCS2B01G125300;TraesCS2B01G125200;TraesCS4A01G321500;TraesCS2A01G510200;TraesCS2B01G572400;TraesCS5A01G265800;TraesCS5D01G276800;TraesCS1B01G067500;TraesCS5B01G557300;TraesCS3B01G407200;TraesCS2D01G340600;TraesCS4D01G357100;TraesCS5D01G004700</t>
  </si>
  <si>
    <t>TraesCS1D01G080900;TraesCS7A01G085700;TraesCS4D01G103300;TraesCS2B01G125300;TraesCS2B01G125200;TraesCS2B01G572400;TraesCS2D01G483100;TraesCS1A01G079400;TraesCS2B01G126200;TraesCS2B01G491000;TraesCS1B01G067500;TraesCS3B01G407200;TraesCS2D01G340600;TraesCS7A01G201800;TraesCS6B01G201600;TraesCS7B01G038100;TraesCS7B01G359700</t>
  </si>
  <si>
    <t>TraesCS1D01G080900;TraesCS2B01G125300;TraesCS2B01G125200;TraesCS1A01G079400</t>
  </si>
  <si>
    <t>TraesCS3A01G044400;TraesCS6D01G297000;TraesCS3D01G392500;TraesCS2D01G483100;TraesCS1A01G079400;TraesCS2B01G126200;TraesCS7A01G500100;TraesCS2B01G491000;TraesCS1B01G014300;TraesCS7A01G201800;TraesCS6B01G201600;TraesCS7B01G038100;TraesCS7B01G359700;TraesCS1D01G080900;TraesCS7A01G085700;TraesCS4D01G103300;TraesCS2B01G125300;TraesCS2B01G125200;TraesCS4A01G321500;TraesCS2A01G510200;TraesCS2B01G572400;TraesCS5D01G276800;TraesCS5B01G059300;TraesCS1B01G067500;TraesCS3B01G407200;TraesCS6B01G197200;TraesCS2D01G340600;TraesCS4D01G357100;TraesCS5D01G004700</t>
  </si>
  <si>
    <t>TraesCS1D01G080900;TraesCS2B01G125300;TraesCS2B01G125200;TraesCS1A01G079400;TraesCS2B01G126200</t>
  </si>
  <si>
    <t>cofactor metabolic process</t>
  </si>
  <si>
    <t>nucleobase-containing small molecule metabolic process</t>
  </si>
  <si>
    <t>TraesCS1D01G410500;TraesCS3B01G181300;TraesCS5B01G557300;TraesCS3D01G476500;TraesCS4A01G321500;TraesCS2A01G295400;TraesCS5A01G265800;TraesCS3A01G155000;TraesCS7B01G038200</t>
  </si>
  <si>
    <t>TraesCS4B01G361900;TraesCS1D01G387000;TraesCS2B01G624600;TraesCS1A01G239300;TraesCS2B01G280500</t>
  </si>
  <si>
    <t>TraesCS5B01G557300;TraesCS3D01G476500;TraesCS4A01G321500;TraesCS2A01G295400;TraesCS5A01G265800</t>
  </si>
  <si>
    <r>
      <t>Gene list (</t>
    </r>
    <r>
      <rPr>
        <sz val="11"/>
        <color rgb="FFFF0000"/>
        <rFont val="Calibri"/>
        <family val="2"/>
        <scheme val="minor"/>
      </rPr>
      <t>1990</t>
    </r>
    <r>
      <rPr>
        <sz val="11"/>
        <color theme="1"/>
        <rFont val="Calibri"/>
        <family val="2"/>
        <scheme val="minor"/>
      </rPr>
      <t xml:space="preserve"> genes)</t>
    </r>
  </si>
  <si>
    <t>TraesCS3A01G451300;TraesCS1A01G398200;TraesCS6D01G146400;TraesCS3A01G451700;TraesCS4A01G473700;TraesCS3A01G451500;TraesCS4B01G315500;TraesCS7B01G088300;TraesCS7D01G185100;TraesCS3D01G434600;TraesCS3D01G443800;TraesCS2B01G110100;TraesCS7B01G466100;TraesCS2D01G171400;TraesCS6A01G157100;TraesCS6D01G396800;TraesCS3B01G476300;TraesCS1A01G237600;TraesCS1D01G405700;TraesCS1B01G039900;TraesCS3A01G445500;TraesCS6B01G016000;TraesCS7D01G215400;TraesCS2A01G094900;TraesCS3A01G454700;TraesCS3B01G493400;TraesCS5A01G496600;TraesCS6A01G143500;TraesCS2A01G579000;TraesCS3D01G435300;TraesCS3A01G045100;TraesCS1A01G014000;TraesCS3D01G435100;TraesCS3A01G442400;TraesCS6B01G369500;TraesCS5D01G056100;TraesCS2A01G164500;TraesCS3A01G451900;TraesCS3B01G475700;TraesCS3D01G444200;TraesCS7A01G183500;TraesCS2A01G013100;TraesCS5A01G046400;TraesCS5B01G050900;TraesCS3A01G451400;TraesCS3A01G451800;TraesCS7B01G465900;TraesCS3A01G451600;TraesCS2B01G034400;TraesCS2D01G003000;TraesCS3B01G488700;TraesCS7D01G185200;TraesCS7D01G185000;TraesCS7B01G088400;TraesCS7B01G466000;TraesCSU01G267500;TraesCS1B01G049000;TraesCS3D01G438300;TraesCS6D01G373700;TraesCS2D01G092900;TraesCS3B01G476200;TraesCS7A01G543900;TraesCS3A01G441800;TraesCS4A01G247900;TraesCS3B01G480100;TraesCS6A01G126100;TraesCS2B01G190300;TraesCS4B01G324000;TraesCS1A01G237500;TraesCS3D01G447500;TraesCS6A01G233200;TraesCS1D01G011900;TraesCS2B01G502800;TraesCS6B01G184900;TraesCS3B01G493500;TraesCS2D01G025200;TraesCS3A01G454800;TraesCS3B01G493300;TraesCS2D01G004400;TraesCS3A01G442700;TraesCS5D01G056600;TraesCS3A01G442500;TraesCS4D01G107100;TraesCS3D01G444300;TraesCS7A01G183400;TraesCS7A01G183600;TraesCS1A01G238200;TraesCS2A01G164400;TraesCS2B01G547900;TraesCS1B01G426100</t>
  </si>
  <si>
    <t>TraesCS4A01G205000;TraesCS4B01G011600;TraesCS4B01G011200;TraesCS4B01G246800;TraesCS6A01G020400;TraesCS4B01G011000;TraesCS7A01G502300;TraesCS7D01G525900;TraesCS7D01G489600;TraesCS4D01G008700;TraesCS7A01G511300;TraesCS1D01G337400;TraesCS4D01G008900;TraesCS5A01G458200;TraesCS4A01G302300;TraesCS4A01G304200;TraesCS4A01G302700;TraesCS4A01G302500;TraesCS6B01G408800;TraesCS6D01G021500;TraesCS4B01G010900;TraesCS6D01G029700;TraesCS6A01G011800;TraesCS6D01G067900;TraesCS7A01G511100;TraesCS5B01G462300;TraesCS2D01G071000;TraesCS4B01G010700;TraesCS5A01G452800;TraesCS7D01G012700;TraesCS6A01G013300;TraesCS3A01G473800;TraesCS1B01G061400;TraesCS3B01G517000;TraesCS3D01G412800;TraesCS3A01G473600;TraesCS2B01G087000;TraesCS6D01G030000;TraesCS4D01G009800;TraesCS4D01G009400;TraesCS6A01G026200;TraesCS4D01G009600;TraesCS4D01G246100;TraesCS5A01G453500;TraesCS2D01G070900;TraesCS5D01G463200;TraesCS5B01G461800;TraesCS6A01G364400;TraesCS4B01G011500;TraesCS6D01G014700;TraesCS2A01G072100;TraesCS4B01G011700;TraesCS4B01G011100;TraesCS6A01G012000;TraesCS4B01G011300;TraesCS6D01G014900;TraesCSU01G214800;TraesCS3A01G116500;TraesCS4B01G108700;TraesCS1A01G445100;TraesCS1A01G445300;TraesCS4D01G008600;TraesCS4D01G010000;TraesCS6B01G408900;TraesCS1D01G453400;TraesCS5D01G464100;TraesCS4B01G010800;TraesCS7A01G146600;TraesCSU01G240700;TraesCS6B01G018400;TraesCS1D01G453200;TraesCS6A01G011900;TraesCS4D01G105800;TraesCSU01G226300;TraesCSU01G060200;TraesCS7B01G408700;TraesCS5B01G462400;TraesCS1B01G061300;TraesCS6D01G355500;TraesCS6B01G027800;TraesCS4D01G009300;TraesCS5A01G395900;TraesCS4A01G480800;TraesCS2B01G087100;TraesCS7A01G510300;TraesCS4D01G009500;TraesCS4D01G009700;TraesCS5A01G453600</t>
  </si>
  <si>
    <t>TraesCS7A01G009500;TraesCS1D01G075100;TraesCS3B01G530500;TraesCS3D01G130300;TraesCS7D01G009100;TraesCS4B01G229500;TraesCS2D01G402000;TraesCS6D01G089200;TraesCS3A01G480900;TraesCS7B01G174100;TraesCS7B01G067000;TraesCS2A01G548600;TraesCS5B01G394300;TraesCS7B01G472300;TraesCS2A01G588900;TraesCS3D01G478900;TraesCS2A01G588700;TraesCS3A01G083900;TraesCS6B01G058000;TraesCS4B01G026100;TraesCS5D01G449000;TraesCS1D01G237400;TraesCS1B01G090700;TraesCS3A01G483700;TraesCS6D01G048900;TraesCS5B01G011700;TraesCS5B01G476000;TraesCS2A01G405300;TraesCS2B01G423400;TraesCS5B01G011800;TraesCS3B01G151700;TraesCS7A01G549200;TraesCS5B01G309700;TraesCS2B01G423200;TraesCS3D01G133800;TraesCS4D01G023500;TraesCS7D01G016300;TraesCSU01G066000;TraesCS1D01G074800;TraesCS2A01G549500;TraesCS1B01G248900;TraesCS2B01G327300;TraesCS1A01G234700;TraesCS2D01G172300;TraesCS7D01G535500;TraesCS4A01G485600;TraesCS3B01G099000;TraesCS2A01G405100;TraesCS2D01G550500;TraesCS3B01G530600;TraesCS3D01G478800;TraesCS7D01G009200;TraesCS2D01G402100;TraesCS5A01G309000;TraesCS5A01G441700;TraesCS6A01G060800;TraesCS3B01G148500;TraesCS5A01G464500;TraesCS7A01G009600;TraesCS2A01G061600;TraesCS1B01G270100;TraesCS7D01G054800;TraesCS4A01G073300;TraesCS5A01G513600;TraesCS5D01G019100;TraesCS1A01G103600;TraesCS2D01G402300;TraesCS1A01G365300;TraesCS5B01G556700;TraesCS1A01G072100;TraesCS7A01G549300;TraesCS1A01G072300;TraesCS2B01G580100;TraesCS7D01G276200;TraesCS3A01G483800;TraesCS2B01G423300;TraesCS5D01G553000;TraesCS6A01G042400;TraesCS5D01G551900;TraesCS1D01G074700;TraesCS5D01G477100;TraesCS2D01G550400;TraesCS3A01G144600;TraesCS7A01G019400;TraesCS4A01G485700;TraesCS3A01G308800;TraesCS1A01G312400;TraesCS5B01G475700;TraesCS3B01G525400;TraesCS4B01G344700;TraesCS4A01G288700</t>
  </si>
  <si>
    <t>TraesCS2A01G453000;TraesCS4B01G328000;TraesCS4D01G066000;TraesCS4B01G328100;TraesCS2B01G474400;TraesCS3D01G096000;TraesCS4A01G460600;TraesCS2D01G311600;TraesCS6D01G000200;TraesCS4A01G247900;TraesCS5D01G030100;TraesCS7D01G303400;TraesCS2A01G313100;TraesCS2B01G330200;TraesCS2B01G502800;TraesCS7D01G472500;TraesCS2B01G392500;TraesCS5A01G024200</t>
  </si>
  <si>
    <t>TraesCS4B01G013700;TraesCS7A01G009500;TraesCS7B01G407400;TraesCS1D01G075100;TraesCS3B01G530500;TraesCS3D01G369300;TraesCS6B01G410400;TraesCS7A01G500200;TraesCS7A01G502500;TraesCS2D01G099600;TraesCS4B01G229500;TraesCS6D01G089200;TraesCS7B01G046700;TraesCS7B01G174100;TraesCS7B01G067000;TraesCS4A01G387500;TraesCS2A01G588700;TraesCS2D01G099200;TraesCS5A01G244500;TraesCS4D01G082500;TraesCS3A01G083900;TraesCS6B01G058000;TraesCS4B01G026100;TraesCS1D01G237400;TraesCS2B01G116400;TraesCS1B01G090700;TraesCS3A01G483700;TraesCS6D01G048900;TraesCS5A01G255900;TraesCS4D01G264700;TraesCS2A01G073800;TraesCS5B01G011700;TraesCS5B01G476000;TraesCS2B01G423400;TraesCS5B01G011800;TraesCS2D01G098900;TraesCS3B01G151700;TraesCS7A01G549200;TraesCS3B01G380200;TraesCSU01G066000;TraesCS1D01G074800;TraesCS2B01G127400;TraesCS2A01G549500;TraesCS2D01G119400;TraesCSU01G182400;TraesCS1B01G248900;TraesCS2B01G327300;TraesCS6B01G088600;TraesCS2D01G172300;TraesCS7D01G535500;TraesCS4A01G485600;TraesCS3D01G039200;TraesCSU01G079100;TraesCS3B01G139800;TraesCS4A01G043900;TraesCS7D01G499500;TraesCS2A01G405100;TraesCS2D01G109600;TraesCS3A01G235100;TraesCS3B01G530600;TraesCS2D01G112800;TraesCS2A01G412300;TraesCS5A01G464500;TraesCS7D01G487400;TraesCS3B01G323300;TraesCS2B01G131100;TraesCS7B01G420600;TraesCS3D01G122500;TraesCS7D01G054800;TraesCS4A01G073300;TraesCS2B01G116300;TraesCS5A01G513600;TraesCS5D01G019100;TraesCS2A01G115800;TraesCS2D01G402300;TraesCS1A01G365300;TraesCS1A01G072100;TraesCS6B01G054200;TraesCS7A01G549300;TraesCS7D01G083600;TraesCS7D01G276200;TraesCS2B01G117100;TraesCS3A01G483800;TraesCS5D01G553000;TraesCS6A01G042400;TraesCS5D01G551900;TraesCS5D01G477100;TraesCS6B01G064500;TraesCS3B01G531000;TraesCS5D01G251100;TraesCS2D01G550400;TraesCS6D01G045100;TraesCS3A01G308800;TraesCS1A01G312400;TraesCS7B01G419900;TraesCS5B01G475700;TraesCSU01G119800;TraesCS3B01G525400;TraesCS4B01G344700;TraesCS4A01G288700;TraesCS7B01G409500;TraesCS3D01G130300;TraesCS7D01G009100;TraesCS6B01G055200;TraesCS2D01G402000;TraesCS3A01G480900;TraesCS2D01G099000;TraesCS2A01G548600;TraesCS5B01G394300;TraesCS7B01G472300;TraesCS2A01G588900;TraesCS3D01G478900;TraesCS1B01G249800;TraesCS2B01G135400;TraesCS7B01G420700;TraesCS5D01G449000;TraesCS2B01G116200;TraesCS6A01G048100;TraesCS2B01G116600;TraesCS2A01G405300;TraesCS5B01G309700;TraesCS2B01G423200;TraesCS3D01G133800;TraesCS4D01G023500;TraesCS7D01G016300;TraesCS1B01G453400;TraesCS6B01G064600;TraesCS7B01G384500;TraesCS2A01G386700;TraesCS7A01G510200;TraesCS4B01G264700;TraesCS1A01G234700;TraesCS7A01G088300;TraesCS3B01G099000;TraesCS6B01G166000;TraesCS2D01G550500;TraesCS4B01G084600;TraesCS3D01G478800;TraesCS7D01G009200;TraesCS2B01G579900;TraesCS2D01G402100;TraesCS2A01G099500;TraesCS5A01G309000;TraesCS6D01G356600;TraesCS5A01G441700;TraesCS6A01G060800;TraesCS7D01G489900;TraesCS3B01G148500;TraesCS7A01G009600;TraesCS6D01G039600;TraesCS2A01G061600;TraesCS1B01G270100;TraesCS2A01G100100;TraesCS1A01G103600;TraesCS5B01G556700;TraesCS2D01G383300;TraesCS5A01G194200;TraesCS1A01G072300;TraesCS1D01G238300;TraesCS2B01G580100;TraesCS5D01G196600;TraesCS2B01G423300;TraesCS1D01G074700;TraesCS5B01G242300;TraesCS3D01G288300;TraesCS3A01G144600;TraesCS2D01G550200;TraesCS7A01G019400;TraesCS2B01G404000;TraesCS4A01G485700;TraesCS4D01G011500;TraesCS6B01G407700</t>
  </si>
  <si>
    <t>TraesCS3A01G451300;TraesCS1A01G398200;TraesCS5A01G281800;TraesCS3A01G451700;TraesCS4B01G246800;TraesCS4B01G315500;TraesCS3D01G434600;TraesCS1D01G337400;TraesCS7B01G466100;TraesCS7B01G275200;TraesCS1A01G237600;TraesCS1D01G405700;TraesCS4A01G119400;TraesCS1B01G039900;TraesCS7A01G511100;TraesCS2A01G094900;TraesCS3A01G454700;TraesCS3B01G493400;TraesCS3B01G517000;TraesCS3A01G473600;TraesCS3D01G435300;TraesCS3A01G045100;TraesCS5D01G056100;TraesCS3B01G475700;TraesCS6D01G303600;TraesCS2A01G145000;TraesCS2A01G013100;TraesCS5A01G046400;TraesCS5B01G050900;TraesCS3A01G451600;TraesCS2B01G034400;TraesCS7D01G185200;TraesCS5B01G281000;TraesCS7B01G466000;TraesCSU01G267500;TraesCS3A01G116500;TraesCS2D01G092900;TraesCS3A01G441800;TraesCS3D01G185000;TraesCS4A01G247900;TraesCS3B01G480100;TraesCS3D01G447500;TraesCS6A01G233200;TraesCS2B01G502800;TraesCS7A01G146600;TraesCS2D01G148800;TraesCS2D01G025200;TraesCS3B01G493300;TraesCS2D01G004400;TraesCS5D01G056600;TraesCS3A01G442500;TraesCS3B01G009700;TraesCS7A01G183600;TraesCS2B01G547900;TraesCS6D01G146400;TraesCS4A01G473700;TraesCS3A01G451500;TraesCS7B01G088300;TraesCS7D01G185100;TraesCS3D01G443800;TraesCS7A01G511300;TraesCS7B01G275000;TraesCS2B01G110100;TraesCS2D01G171400;TraesCS6A01G157100;TraesCS6D01G396800;TraesCS3B01G476300;TraesCS3A01G445500;TraesCS6B01G016000;TraesCS7A01G352900;TraesCS7D01G215400;TraesCS5A01G496600;TraesCS6A01G143500;TraesCS2A01G579000;TraesCS3A01G473800;TraesCS1A01G014000;TraesCS3D01G435100;TraesCS3A01G442400;TraesCS6B01G369500;TraesCS4D01G246100;TraesCS2A01G164500;TraesCS3A01G451900;TraesCS3D01G444200;TraesCS7A01G183500;TraesCS3A01G451400;TraesCS3A01G371800;TraesCS3A01G451800;TraesCS7B01G465900;TraesCS2D01G003000;TraesCS3B01G488700;TraesCS7D01G185000;TraesCS7B01G088400;TraesCS3D01G438300;TraesCS6D01G373700;TraesCS7D01G370000;TraesCS3B01G476200;TraesCS7A01G543900;TraesCS6A01G126100;TraesCS2B01G190300;TraesCS4B01G324000;TraesCS1A01G237500;TraesCS1D01G011900;TraesCS6B01G184900;TraesCS3B01G493500;TraesCS6B01G354400;TraesCS3A01G454800;TraesCS2B01G169900;TraesCS3D01G137100;TraesCS3A01G442700;TraesCS2D01G082100;TraesCS3A01G136300;TraesCS3D01G444300;TraesCS7A01G183400;TraesCS1A01G238200;TraesCS2A01G164400;TraesCS3B01G154200;TraesCS1B01G426100;TraesCS2B01G130500</t>
  </si>
  <si>
    <t>TraesCS3A01G451300;TraesCS1A01G398200;TraesCS1D01G304600;TraesCS5A01G281800;TraesCS3A01G451700;TraesCS4B01G315500;TraesCS2A01G139100;TraesCS3D01G434600;TraesCS7B01G466100;TraesCS7B01G275200;TraesCS1A01G237600;TraesCS1D01G405700;TraesCS4A01G119400;TraesCS1B01G039900;TraesCS2A01G094900;TraesCS3A01G454700;TraesCS3B01G493400;TraesCS3D01G435300;TraesCS3A01G045100;TraesCS5D01G056100;TraesCS3B01G475700;TraesCS6D01G303600;TraesCS1B01G315300;TraesCS2A01G145000;TraesCS2A01G013100;TraesCS5A01G046400;TraesCS5B01G050900;TraesCS3A01G451600;TraesCS2B01G034400;TraesCS7D01G185200;TraesCS5B01G281000;TraesCS7B01G466000;TraesCSU01G267500;TraesCS3A01G116500;TraesCS2D01G092900;TraesCS3A01G441800;TraesCS3D01G185000;TraesCS4A01G247900;TraesCS3B01G480100;TraesCS3D01G447500;TraesCS6A01G233200;TraesCS2B01G502800;TraesCS2D01G148800;TraesCS2D01G025200;TraesCS3B01G493300;TraesCS2D01G004400;TraesCS5D01G056600;TraesCS3A01G442500;TraesCS3B01G009700;TraesCS7A01G183600;TraesCS2B01G547900;TraesCS6D01G146400;TraesCS4A01G473700;TraesCS3A01G451500;TraesCS7B01G088300;TraesCS7D01G185100;TraesCS3D01G443800;TraesCS7B01G275000;TraesCS2B01G110100;TraesCS2D01G171400;TraesCS6A01G157100;TraesCS6D01G396800;TraesCS3B01G476300;TraesCS1D01G304000;TraesCS3A01G445500;TraesCS6B01G016000;TraesCS7A01G352900;TraesCS7D01G215400;TraesCS5A01G496600;TraesCS6A01G143500;TraesCS2A01G579000;TraesCS1A01G014000;TraesCS3D01G435100;TraesCS3A01G442400;TraesCS6B01G369500;TraesCS2A01G164500;TraesCS3A01G451900;TraesCS3D01G444200;TraesCS7A01G183500;TraesCS3A01G451400;TraesCS1A01G304700;TraesCS3A01G371800;TraesCS3A01G451800;TraesCS7B01G465900;TraesCS2D01G003000;TraesCS3B01G488700;TraesCS7D01G185000;TraesCS7B01G088400;TraesCS3D01G438300;TraesCS6D01G373700;TraesCS7D01G370000;TraesCS3B01G476200;TraesCS7A01G543900;TraesCS6A01G126100;TraesCS2B01G190300;TraesCS4B01G324000;TraesCS1A01G237500;TraesCS1D01G011900;TraesCS6B01G184900;TraesCS3B01G493500;TraesCS6B01G354400;TraesCS3A01G454800;TraesCS2B01G169900;TraesCS3D01G137100;TraesCS3A01G442700;TraesCS2D01G082100;TraesCS3A01G136300;TraesCS3D01G444300;TraesCS7A01G183400;TraesCS1A01G238200;TraesCS2A01G164400;TraesCS3B01G154200;TraesCS1B01G426100;TraesCS2B01G130500</t>
  </si>
  <si>
    <t>TraesCS2A01G453000;TraesCS2D01G311600;TraesCS6D01G000200;TraesCS2B01G474400;TraesCS5D01G030100;TraesCS7D01G303400;TraesCS2A01G313100;TraesCS2B01G330200;TraesCS3D01G096000;TraesCS7D01G472500;TraesCS4A01G460600;TraesCS5A01G024200</t>
  </si>
  <si>
    <t>TraesCS4B01G013700;TraesCS7B01G409500;TraesCS3D01G369300;TraesCS6B01G410400;TraesCS7A01G502500;TraesCS2D01G099600;TraesCS6B01G055200;TraesCS7B01G046700;TraesCS2D01G099000;TraesCS4A01G387500;TraesCS2D01G099200;TraesCS1B01G249800;TraesCS5A01G244500;TraesCS4D01G082500;TraesCS2B01G135400;TraesCS7B01G420700;TraesCS5A01G246000;TraesCS2B01G116400;TraesCS2B01G116200;TraesCS5A01G255900;TraesCS4D01G264700;TraesCS6A01G048100;TraesCS2B01G116600;TraesCS2D01G098900;TraesCS2B01G127400;TraesCS1B01G453400;TraesCS6B01G064600;TraesCS7B01G384500;TraesCS2D01G119400;TraesCSU01G182400;TraesCS2A01G386700;TraesCS7A01G510200;TraesCS4B01G264700;TraesCS6B01G088600;TraesCS7A01G088300;TraesCS3D01G039200;TraesCSU01G079100;TraesCS3B01G139800;TraesCS4A01G043900;TraesCS7D01G499500;TraesCS2D01G109600;TraesCS4B01G084600;TraesCS2D01G112800;TraesCS2A01G099500;TraesCS6D01G356600;TraesCS2A01G412300;TraesCS7D01G489900;TraesCS1A01G192900;TraesCS6D01G039600;TraesCS3B01G323300;TraesCS2B01G131100;TraesCS7B01G420600;TraesCS3D01G122500;TraesCS2B01G116300;TraesCS2A01G100100;TraesCS2A01G115800;TraesCS2D01G383300;TraesCS5A01G194200;TraesCS6B01G054200;TraesCS7D01G083600;TraesCS1D01G238300;TraesCS2B01G117100;TraesCS5D01G196600;TraesCS6B01G064500;TraesCS5B01G242300;TraesCS3B01G531000;TraesCS3D01G288300;TraesCS5D01G251100;TraesCS6D01G045100;TraesCS2B01G404000;TraesCS4D01G011500;TraesCS7B01G419900;TraesCS6B01G407700;TraesCSU01G119800</t>
  </si>
  <si>
    <t>TraesCS4B01G328000;TraesCS4D01G066000;TraesCS4B01G328100;TraesCS4A01G247900;TraesCS2B01G502800;TraesCS2B01G392500</t>
  </si>
  <si>
    <t>TraesCS3B01G196600;TraesCS1B01G259800;TraesCS6D01G363400;TraesCS1A01G284300;TraesCS5D01G405400;TraesCS3D01G172000;TraesCS6D01G091600;TraesCS5B01G072900;TraesCS1A01G249100;TraesCS5A01G396100;TraesCS3A01G169800;TraesCS5B01G400900;TraesCS6A01G103200</t>
  </si>
  <si>
    <t>TraesCS7A01G009500;TraesCS7B01G407400;TraesCS1D01G075100;TraesCS3B01G530500;TraesCS6B01G410400;TraesCS7A01G500200;TraesCS4B01G229500;TraesCS6D01G089200;TraesCS7B01G174100;TraesCS7B01G067000;TraesCS2A01G588700;TraesCS3A01G083900;TraesCS6B01G058000;TraesCS4B01G026100;TraesCS1D01G237400;TraesCS1B01G090700;TraesCS3A01G483700;TraesCS6D01G048900;TraesCS2A01G073800;TraesCS5B01G011700;TraesCS5B01G476000;TraesCS2B01G423400;TraesCS5B01G011800;TraesCS3B01G151700;TraesCS7A01G549200;TraesCS3B01G380200;TraesCSU01G066000;TraesCS1D01G074800;TraesCS2A01G549500;TraesCS1B01G248900;TraesCS2B01G327300;TraesCS2D01G172300;TraesCS7D01G535500;TraesCS4A01G485600;TraesCS2A01G405100;TraesCS3A01G235100;TraesCS3B01G530600;TraesCS5A01G464500;TraesCS7D01G487400;TraesCS7D01G054800;TraesCS4A01G073300;TraesCS5A01G513600;TraesCS5D01G019100;TraesCS2D01G402300;TraesCS1A01G365300;TraesCS1A01G072100;TraesCS7A01G549300;TraesCS7D01G276200;TraesCS3A01G483800;TraesCS5D01G553000;TraesCS6A01G042400;TraesCS5D01G551900;TraesCS5D01G477100;TraesCS2D01G550400;TraesCS3A01G308800;TraesCS1A01G312400;TraesCS5B01G475700;TraesCS3B01G525400;TraesCS4B01G344700;TraesCS4A01G288700;TraesCS3D01G130300;TraesCS7D01G009100;TraesCS2D01G402000;TraesCS3A01G480900;TraesCS2A01G548600;TraesCS5B01G394300;TraesCS7B01G472300;TraesCS2A01G588900;TraesCS3D01G478900;TraesCS5D01G449000;TraesCS2A01G405300;TraesCS5B01G309700;TraesCS2B01G423200;TraesCS3D01G133800;TraesCS4D01G023500;TraesCS7D01G016300;TraesCS1A01G234700;TraesCS3B01G099000;TraesCS6B01G166000;TraesCS2D01G550500;TraesCS3D01G478800;TraesCS7D01G009200;TraesCS2B01G579900;TraesCS2D01G402100;TraesCS5A01G309000;TraesCS6D01G356600;TraesCS5A01G441700;TraesCS6A01G060800;TraesCS3B01G148500;TraesCS7A01G009600;TraesCS2A01G061600;TraesCS1B01G270100;TraesCS1A01G103600;TraesCS5B01G556700;TraesCS1A01G072300;TraesCS2B01G580100;TraesCS2B01G423300;TraesCS1D01G074700;TraesCS3A01G144600;TraesCS2D01G550200;TraesCS7A01G019400;TraesCS4A01G485700</t>
  </si>
  <si>
    <t>TraesCS3D01G018000;TraesCS1B01G122200;TraesCS5D01G105800;TraesCS3B01G018100;TraesCS3D01G028300;TraesCS3B01G018200;TraesCS3B01G031000;TraesCS5B01G099600;TraesCS6B01G024700;TraesCS1A01G094100;TraesCS3A01G048300;TraesCS5A01G093500;TraesCS7B01G492500;TraesCS7D01G544900;TraesCS1A01G192900;TraesCS3A01G028000;TraesCS7A01G565800;TraesCS7A01G565700;TraesCS7B01G492300;TraesCS7B01G492200;TraesCS3B01G030900;TraesCS5A01G246000;TraesCS6D01G020500;TraesCS3A01G374400</t>
  </si>
  <si>
    <t>TraesCS2A01G081200;TraesCS5A01G073100;TraesCS2B01G095700;TraesCS3D01G000500;TraesCS3A01G011100;TraesCS2D01G078800;TraesCSU01G009600;TraesCS3B01G014200;TraesCS3B01G014300</t>
  </si>
  <si>
    <t>cell killing</t>
  </si>
  <si>
    <t>TraesCS3B01G196600;TraesCS1B01G259800;TraesCS6D01G363400;TraesCS1A01G284300;TraesCS5D01G405400;TraesCS3D01G172000;TraesCS6D01G091600;TraesCS4D01G069200;TraesCS3A01G123800;TraesCS5B01G072900;TraesCS4B01G070400;TraesCS1A01G249100;TraesCS5A01G396100;TraesCS4A01G244600;TraesCS3A01G169800;TraesCS7B01G258200;TraesCS5B01G400900;TraesCS6A01G103200</t>
  </si>
  <si>
    <t>TraesCS4B01G013700;TraesCS7B01G409500;TraesCS3D01G369300;TraesCS6B01G410400;TraesCS7A01G502500;TraesCS2D01G099600;TraesCS6B01G055200;TraesCS7B01G046700;TraesCS2D01G099000;TraesCS4A01G387500;TraesCS2D01G099200;TraesCS1B01G249800;TraesCS5A01G244500;TraesCS4D01G082500;TraesCS2B01G135400;TraesCS7B01G420700;TraesCS2B01G116400;TraesCS2B01G116200;TraesCS5A01G255900;TraesCS4D01G264700;TraesCS6A01G048100;TraesCS2B01G116600;TraesCS2D01G098900;TraesCS2B01G127400;TraesCS1B01G453400;TraesCS6B01G064600;TraesCS7B01G384500;TraesCS2D01G119400;TraesCSU01G182400;TraesCS2A01G386700;TraesCS7A01G510200;TraesCS4B01G264700;TraesCS6B01G088600;TraesCS7A01G088300;TraesCS3D01G039200;TraesCSU01G079100;TraesCS3B01G139800;TraesCS4A01G043900;TraesCS7D01G499500;TraesCS2D01G109600;TraesCS4B01G084600;TraesCS2D01G112800;TraesCS2A01G099500;TraesCS3B01G161000;TraesCS6D01G356600;TraesCS2A01G412300;TraesCS7D01G489900;TraesCS6D01G039600;TraesCS3B01G323300;TraesCS2B01G131100;TraesCS7B01G420600;TraesCS3D01G122500;TraesCS2B01G116300;TraesCS2A01G100100;TraesCS2A01G115800;TraesCS2D01G383300;TraesCS5A01G194200;TraesCS6B01G054200;TraesCS7D01G083600;TraesCS1D01G238300;TraesCS2B01G117100;TraesCS5D01G196600;TraesCS6B01G064500;TraesCS5B01G242300;TraesCS3B01G531000;TraesCS3D01G288300;TraesCS5D01G251100;TraesCS6D01G045100;TraesCS2B01G404000;TraesCS4D01G011500;TraesCS7B01G419900;TraesCS6B01G407700;TraesCSU01G119800</t>
  </si>
  <si>
    <t>multi-organism process</t>
  </si>
  <si>
    <t>TraesCS2D01G013500;TraesCS3D01G036700;TraesCS2B01G005200;TraesCS5D01G431500;TraesCS5D01G431400;TraesCS5A01G423100</t>
  </si>
  <si>
    <t>TraesCS3A01G083900;TraesCS3B01G151700;TraesCS4B01G229500;TraesCS3A01G308800;TraesCS1A01G091500;TraesCS3D01G133800;TraesCS4A01G073300;TraesCS3B01G099000</t>
  </si>
  <si>
    <t>TraesCS4D01G107100;TraesCS7B01G258200;TraesCS3A01G123800</t>
  </si>
  <si>
    <t>TraesCS5A01G452800;TraesCS5B01G462400;TraesCS3A01G473800;TraesCS3B01G517000;TraesCS3D01G412800;TraesCS4B01G246800;TraesCS3A01G473600;TraesCS7A01G502300;TraesCS7D01G489600;TraesCS7A01G511300;TraesCS1A01G445100;TraesCS4D01G107100;TraesCS1A01G445300;TraesCS4D01G246100;TraesCS6B01G408900;TraesCS1D01G453400;TraesCS5A01G453600;TraesCS5D01G464100;TraesCS7A01G146600;TraesCS7A01G511100;TraesCS1D01G453200</t>
  </si>
  <si>
    <t>TraesCS1A01G196700;TraesCS1B01G049000;TraesCS1A01G014000;TraesCS6B01G354400;TraesCS4A01G119400;TraesCS4B01G324000;TraesCS1D01G011900;TraesCS7A01G183600;TraesCS7A01G183500</t>
  </si>
  <si>
    <t>TraesCS2A01G405300;TraesCS3B01G151700;TraesCS4B01G229500;TraesCS2D01G402100;TraesCS2B01G423300;TraesCS2B01G423200;TraesCS3D01G133800;TraesCS2D01G137900;TraesCS7D01G314100;TraesCS2B01G159300;TraesCS7D01G157800;TraesCS3A01G083900;TraesCS4D01G142400;TraesCS3A01G308800;TraesCS2B01G159400;TraesCS4A01G073300;TraesCS7A01G124400;TraesCS3B01G099000;TraesCS6B01G375900;TraesCS2A01G405100;TraesCS6D01G324600</t>
  </si>
  <si>
    <t>cellular component organization or biogenesis</t>
  </si>
  <si>
    <t>TraesCS3A01G083900;TraesCS3B01G151700;TraesCS4B01G229500;TraesCS4D01G142400;TraesCS3A01G308800;TraesCS3D01G133800;TraesCS4A01G073300;TraesCS7A01G124400;TraesCS3B01G099000</t>
  </si>
  <si>
    <t>mRNA catabolic process</t>
  </si>
  <si>
    <r>
      <t>Gene list (</t>
    </r>
    <r>
      <rPr>
        <sz val="11"/>
        <color rgb="FFFF0000"/>
        <rFont val="Calibri"/>
        <family val="2"/>
        <scheme val="minor"/>
      </rPr>
      <t>81</t>
    </r>
    <r>
      <rPr>
        <sz val="11"/>
        <color theme="1"/>
        <rFont val="Calibri"/>
        <family val="2"/>
        <scheme val="minor"/>
      </rPr>
      <t xml:space="preserve"> genes)</t>
    </r>
  </si>
  <si>
    <t>nitrogen compound transport</t>
  </si>
  <si>
    <t>TraesCS4A01G066200;TraesCS4D01G243100;TraesCS3B01G383400;TraesCS2A01G406000</t>
  </si>
  <si>
    <t>TraesCS2A01G026800;TraesCS7B01G440900;TraesCS1D01G098000;TraesCS2B01G040100;TraesCS2B01G279200;TraesCS5D01G011900;TraesCS4B01G312300;TraesCS5A01G094600;TraesCS6D01G038500;TraesCS1A01G089600;TraesCS1B01G437500;TraesCS1A01G089500;TraesCS7D01G347300</t>
  </si>
  <si>
    <t>TraesCS1B01G276800;TraesCS1B01G276500</t>
  </si>
  <si>
    <t>TraesCS2A01G026800;TraesCS6D01G038600;TraesCS7B01G440900;TraesCS1D01G098000;TraesCS2B01G040100;TraesCS2B01G279200;TraesCS5D01G011900;TraesCS4B01G312300;TraesCS5A01G094600;TraesCS6B01G047900;TraesCS6D01G038500;TraesCS2B01G272900;TraesCS7A01G427300;TraesCS1A01G089600;TraesCS1B01G437500;TraesCS1A01G089500;TraesCS3D01G493700;TraesCS5A01G004900;TraesCS4B01G286600;TraesCS2A01G056800;TraesCS7D01G347300</t>
  </si>
  <si>
    <t>ammonium transmembrane transport</t>
  </si>
  <si>
    <t>response to hypoxia</t>
  </si>
  <si>
    <t>response to oxygen levels</t>
  </si>
  <si>
    <t>response to decreased oxygen levels</t>
  </si>
  <si>
    <t>ammonium transport</t>
  </si>
  <si>
    <t>organic substance transport</t>
  </si>
  <si>
    <t>TraesCS4A01G066200;TraesCS4D01G243100;TraesCS4D01G044800</t>
  </si>
  <si>
    <r>
      <t>Gene list (</t>
    </r>
    <r>
      <rPr>
        <sz val="11"/>
        <color rgb="FFFF0000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 xml:space="preserve"> genes)</t>
    </r>
  </si>
  <si>
    <t>TraesCS1B01G006500;TraesCS4B01G009500;TraesCS3B01G588200;TraesCS5B01G063600</t>
  </si>
  <si>
    <t>Gene list</t>
  </si>
  <si>
    <t>FGRAMPH1_01T00127</t>
  </si>
  <si>
    <t>FGRAMPH1_01T00129</t>
  </si>
  <si>
    <t>FGRAMPH1_01T00131</t>
  </si>
  <si>
    <t>FGRAMPH1_01T00143</t>
  </si>
  <si>
    <t>FGRAMPH1_01T00145</t>
  </si>
  <si>
    <t>FGRAMPH1_01T00157</t>
  </si>
  <si>
    <t>FGRAMPH1_01T07763</t>
  </si>
  <si>
    <t>FGRAMPH1_01T09063</t>
  </si>
  <si>
    <t>FGRAMPH1_01T09065</t>
  </si>
  <si>
    <t>FGRAMPH1_01T09067</t>
  </si>
  <si>
    <t>FGRAMPH1_01T00131;FGRAMPH1_01T09071;FGRAMPH1_01T12681;FGRAMPH1_01T00129;FGRAMPH1_01T09063;FGRAMPH1_01T11835;FGRAMPH1_01T09067;FGRAMPH1_01T14071;FGRAMPH1_01T00145;FGRAMPH1_01T07763;FGRAMPH1_01T00155</t>
  </si>
  <si>
    <t>FGRAMPH1_01T09071</t>
  </si>
  <si>
    <t>FGRAMPH1_01T00131;FGRAMPH1_01T00129;FGRAMPH1_01T09063;FGRAMPH1_01T11835;FGRAMPH1_01T14071;FGRAMPH1_01T00145;FGRAMPH1_01T00155</t>
  </si>
  <si>
    <t>FGRAMPH1_01T09073</t>
  </si>
  <si>
    <t>FGRAMPH1_01T12681;FGRAMPH1_01T00129;FGRAMPH1_01T09063;FGRAMPH1_01T11835;FGRAMPH1_01T09075;FGRAMPH1_01T09067;FGRAMPH1_01T00143</t>
  </si>
  <si>
    <t>FGRAMPH1_01T09075</t>
  </si>
  <si>
    <t>fatty acid synthase activity</t>
  </si>
  <si>
    <t>FGRAMPH1_01T11835</t>
  </si>
  <si>
    <t>enoyl-[acyl-carrier-protein] reductase (NADH) activity</t>
  </si>
  <si>
    <t>FGRAMPH1_01T11837</t>
  </si>
  <si>
    <t>fatty acid synthase complex</t>
  </si>
  <si>
    <t>FGRAMPH1_01T11979</t>
  </si>
  <si>
    <t>FGRAMPH1_01T00129;FGRAMPH1_01T11835;FGRAMPH1_01T09067</t>
  </si>
  <si>
    <t>FGRAMPH1_01T14067</t>
  </si>
  <si>
    <t>FGRAMPH1_01T14069</t>
  </si>
  <si>
    <t>FGRAMPH1_01T14071</t>
  </si>
  <si>
    <t>FGRAMPH1_01T25409</t>
  </si>
  <si>
    <t>FGRAMPH1_01T12681;FGRAMPH1_01T09063</t>
  </si>
  <si>
    <t>FGRAMPH1_01T26199</t>
  </si>
  <si>
    <t>FGRAMPH1_01T00147</t>
  </si>
  <si>
    <t>FGRAMPH1_01T09075;FGRAMPH1_01T00143</t>
  </si>
  <si>
    <t>FGRAMPH1_01T00151</t>
  </si>
  <si>
    <t>FGRAMPH1_01T00153</t>
  </si>
  <si>
    <t>cytosolic part</t>
  </si>
  <si>
    <t>FGRAMPH1_01T00155</t>
  </si>
  <si>
    <t>FGRAMPH1_01T00131;FGRAMPH1_01T09073</t>
  </si>
  <si>
    <t>FGRAMPH1_01T12681</t>
  </si>
  <si>
    <t>FGRAMPH1_01T00131;FGRAMPH1_01T09075;FGRAMPH1_01T00157</t>
  </si>
  <si>
    <t>FGRAMPH1_01T09075;FGRAMPH1_01T11979</t>
  </si>
  <si>
    <t>modified amino acid binding</t>
  </si>
  <si>
    <t>amide binding</t>
  </si>
  <si>
    <t>FGRAMPH1_01T12681;FGRAMPH1_01T09063;FGRAMPH1_01T09075</t>
  </si>
  <si>
    <t>ligase activity, forming carbon-nitrogen bonds</t>
  </si>
  <si>
    <t>FGRAMPH1_01T00151;FGRAMPH1_01T12681;FGRAMPH1_01T09063;FGRAMPH1_01T09075;FGRAMPH1_01T00143</t>
  </si>
  <si>
    <t>N-acetyltransferase activity</t>
  </si>
  <si>
    <t>N-acyltransferase activity</t>
  </si>
  <si>
    <t>FGRAMPH1_01T00131;FGRAMPH1_01T09073;FGRAMPH1_01T00127;FGRAMPH1_01T00157</t>
  </si>
  <si>
    <t>acetyltransferase activity</t>
  </si>
  <si>
    <t>FGRAMPH1_01T00151;FGRAMPH1_01T14067</t>
  </si>
  <si>
    <t>FGRAMPH1_01T00151;FGRAMPH1_01T12681;FGRAMPH1_01T00129;FGRAMPH1_01T09063;FGRAMPH1_01T11835;FGRAMPH1_01T09075;FGRAMPH1_01T09067;FGRAMPH1_01T00143</t>
  </si>
  <si>
    <t>ligase activity</t>
  </si>
  <si>
    <t>cytosol</t>
  </si>
  <si>
    <t>FGRAMPH1_01T00151;FGRAMPH1_01T12681;FGRAMPH1_01T00129;FGRAMPH1_01T09063;FGRAMPH1_01T11835;FGRAMPH1_01T09075;FGRAMPH1_01T09067</t>
  </si>
  <si>
    <t>FGRAMPH1_01T00151;FGRAMPH1_01T12681;FGRAMPH1_01T09063</t>
  </si>
  <si>
    <t>FGRAMPH1_01T00151;FGRAMPH1_01T09075</t>
  </si>
  <si>
    <t>FGRAMPH1_01T00153;FGRAMPH1_01T26199;FGRAMPH1_01T00151</t>
  </si>
  <si>
    <t>FGRAMPH1_01T00131;FGRAMPH1_01T00153</t>
  </si>
  <si>
    <t>cytoplasmic part</t>
  </si>
  <si>
    <t>FGRAMPH1_01T00131;FGRAMPH1_01T26199;FGRAMPH1_01T09075;FGRAMPH1_01T00157</t>
  </si>
  <si>
    <t>cytoplasm</t>
  </si>
  <si>
    <t>FGRAMPH1_01T00131;FGRAMPH1_01T26199;FGRAMPH1_01T00157</t>
  </si>
  <si>
    <t>FGRAMPH1_01T03959</t>
  </si>
  <si>
    <t>FGRAMPH1_01T05709</t>
  </si>
  <si>
    <t>FGRAMPH1_01T09481</t>
  </si>
  <si>
    <t>FGRAMPH1_01T12227</t>
  </si>
  <si>
    <t>FGRAMPH1_01T13337</t>
  </si>
  <si>
    <t>FGRAMPH1_01T15651</t>
  </si>
  <si>
    <t>FGRAMPH1_01T15659</t>
  </si>
  <si>
    <t>FGRAMPH1_01T15663</t>
  </si>
  <si>
    <t>FGRAMPH1_01T16533</t>
  </si>
  <si>
    <t>FGRAMPH1_01T20207</t>
  </si>
  <si>
    <t>FGRAMPH1_01T15651;FGRAMPH1_01T22079;FGRAMPH1_01T20961</t>
  </si>
  <si>
    <t>FGRAMPH1_01T20955</t>
  </si>
  <si>
    <t>FGRAMPH1_01T25243;FGRAMPH1_01T03959;FGRAMPH1_01T09481</t>
  </si>
  <si>
    <t>FGRAMPH1_01T20961</t>
  </si>
  <si>
    <t>FGRAMPH1_01T21223</t>
  </si>
  <si>
    <t>FGRAMPH1_01T25243</t>
  </si>
  <si>
    <t>FGRAMPH1_01T22079</t>
  </si>
  <si>
    <t>FGRAMPH1_01T25189</t>
  </si>
  <si>
    <t>phosphate ion transport</t>
  </si>
  <si>
    <t>FGRAMPH1_01T27865</t>
  </si>
  <si>
    <t>inorganic phosphate transmembrane transporter activity</t>
  </si>
  <si>
    <t>FGRAMPH1_01T15651;FGRAMPH1_01T20955;FGRAMPH1_01T20961;FGRAMPH1_01T16533</t>
  </si>
  <si>
    <t>FGRAMPH1_01T15651;FGRAMPH1_01T20961</t>
  </si>
  <si>
    <t>monosaccharide metabolic process</t>
  </si>
  <si>
    <t>FGRAMPH1_01T15651;FGRAMPH1_01T22079;FGRAMPH1_01T20961;FGRAMPH1_01T16533</t>
  </si>
  <si>
    <t>FGRAMPH1_01T25243;FGRAMPH1_01T22079</t>
  </si>
  <si>
    <t>FGRAMPH1_01T15651;FGRAMPH1_01T20955;FGRAMPH1_01T22079;FGRAMPH1_01T20961;FGRAMPH1_01T16533</t>
  </si>
  <si>
    <t>FGRAMPH1_01T22079;FGRAMPH1_01T16533</t>
  </si>
  <si>
    <t>FGRAMPH1_01T25243;FGRAMPH1_01T03959;FGRAMPH1_01T09481;FGRAMPH1_01T22079</t>
  </si>
  <si>
    <t>FGRAMPH1_01T20955;FGRAMPH1_01T16533</t>
  </si>
  <si>
    <t>FGRAMPH1_01T15659;FGRAMPH1_01T12227</t>
  </si>
  <si>
    <t>FGRAMPH1_01T15651;FGRAMPH1_01T20961;FGRAMPH1_01T16533</t>
  </si>
  <si>
    <t>FGRAMPH1_01T09481;FGRAMPH1_01T22079</t>
  </si>
  <si>
    <t>FGRAMPH1_01T00195</t>
  </si>
  <si>
    <t>FGRAMPH1_01T00215</t>
  </si>
  <si>
    <t>FGRAMPH1_01T00281</t>
  </si>
  <si>
    <t>FGRAMPH1_01T00373</t>
  </si>
  <si>
    <t>FGRAMPH1_01T18897;FGRAMPH1_01T22955;FGRAMPH1_01T04967;FGRAMPH1_01T21387;FGRAMPH1_01T23287;FGRAMPH1_01T21423;FGRAMPH1_01T03321;FGRAMPH1_01T08647;FGRAMPH1_01T10605;FGRAMPH1_01T19195;FGRAMPH1_01T25271;FGRAMPH1_01T04371;FGRAMPH1_01T12467;FGRAMPH1_01T13999;FGRAMPH1_01T14449;FGRAMPH1_01T18845;FGRAMPH1_01T21615;FGRAMPH1_01T20847;FGRAMPH1_01T01501;FGRAMPH1_01T20049;FGRAMPH1_01T25059;FGRAMPH1_01T03169;FGRAMPH1_01T03057;FGRAMPH1_01T26199;FGRAMPH1_01T06317;FGRAMPH1_01T08857;FGRAMPH1_01T06879;FGRAMPH1_01T11823;FGRAMPH1_01T27043;FGRAMPH1_01T10377;FGRAMPH1_01T10379;FGRAMPH1_01T13883;FGRAMPH1_01T19389;FGRAMPH1_01T18899;FGRAMPH1_01T21889;FGRAMPH1_01T20039;FGRAMPH1_01T03737;FGRAMPH1_01T18471;FGRAMPH1_01T06011;FGRAMPH1_01T04425;FGRAMPH1_01T22335;FGRAMPH1_01T04103;FGRAMPH1_01T23269;FGRAMPH1_01T07977;FGRAMPH1_01T10663;FGRAMPH1_01T14985;FGRAMPH1_01T11251;FGRAMPH1_01T14001;FGRAMPH1_01T21153;FGRAMPH1_01T25999;FGRAMPH1_01T06783;FGRAMPH1_01T12939;FGRAMPH1_01T00281;FGRAMPH1_01T12655;FGRAMPH1_01T15407;FGRAMPH1_01T18519;FGRAMPH1_01T19883;FGRAMPH1_01T19369</t>
  </si>
  <si>
    <t>FGRAMPH1_01T00405</t>
  </si>
  <si>
    <t>FGRAMPH1_01T18897;FGRAMPH1_01T22955;FGRAMPH1_01T02707;FGRAMPH1_01T11061;FGRAMPH1_01T23287;FGRAMPH1_01T03831;FGRAMPH1_01T23721;FGRAMPH1_01T07687;FGRAMPH1_01T03321;FGRAMPH1_01T10605;FGRAMPH1_01T00131;FGRAMPH1_01T09735;FGRAMPH1_01T10007;FGRAMPH1_01T14449;FGRAMPH1_01T11453;FGRAMPH1_01T21615;FGRAMPH1_01T03209;FGRAMPH1_01T09075;FGRAMPH1_01T09751;FGRAMPH1_01T24721;FGRAMPH1_01T08663;FGRAMPH1_01T01501;FGRAMPH1_01T07331;FGRAMPH1_01T02753;FGRAMPH1_01T20565;FGRAMPH1_01T23755;FGRAMPH1_01T25059;FGRAMPH1_01T03169;FGRAMPH1_01T04069;FGRAMPH1_01T06515;FGRAMPH1_01T06879;FGRAMPH1_01T11989;FGRAMPH1_01T26395;FGRAMPH1_01T27043;FGRAMPH1_01T18899;FGRAMPH1_01T22779;FGRAMPH1_01T17343;FGRAMPH1_01T18355;FGRAMPH1_01T00747;FGRAMPH1_01T02889;FGRAMPH1_01T18471;FGRAMPH1_01T18195;FGRAMPH1_01T22893;FGRAMPH1_01T06011;FGRAMPH1_01T23387;FGRAMPH1_01T22335;FGRAMPH1_01T24357;FGRAMPH1_01T02771;FGRAMPH1_01T26981;FGRAMPH1_01T16409;FGRAMPH1_01T10663;FGRAMPH1_01T11997;FGRAMPH1_01T17235;FGRAMPH1_01T02859;FGRAMPH1_01T15571;FGRAMPH1_01T26727;FGRAMPH1_01T04959;FGRAMPH1_01T24469;FGRAMPH1_01T00157;FGRAMPH1_01T09731;FGRAMPH1_01T10639;FGRAMPH1_01T05923;FGRAMPH1_01T15407;FGRAMPH1_01T18519;FGRAMPH1_01T16933;FGRAMPH1_01T19883;FGRAMPH1_01T14555</t>
  </si>
  <si>
    <t>FGRAMPH1_01T00467</t>
  </si>
  <si>
    <t>FGRAMPH1_01T21889;FGRAMPH1_01T20039;FGRAMPH1_01T04967;FGRAMPH1_01T21387;FGRAMPH1_01T23287;FGRAMPH1_01T21423;FGRAMPH1_01T22335;FGRAMPH1_01T04103;FGRAMPH1_01T07977;FGRAMPH1_01T19195;FGRAMPH1_01T25271;FGRAMPH1_01T04371;FGRAMPH1_01T12467;FGRAMPH1_01T13999;FGRAMPH1_01T14985;FGRAMPH1_01T18845;FGRAMPH1_01T21615;FGRAMPH1_01T11251;FGRAMPH1_01T14001;FGRAMPH1_01T20847;FGRAMPH1_01T21153;FGRAMPH1_01T06783;FGRAMPH1_01T25059;FGRAMPH1_01T26199;FGRAMPH1_01T06317;FGRAMPH1_01T08857;FGRAMPH1_01T12939;FGRAMPH1_01T00281;FGRAMPH1_01T11823;FGRAMPH1_01T10377;FGRAMPH1_01T12655;FGRAMPH1_01T10379;FGRAMPH1_01T13883</t>
  </si>
  <si>
    <t>FGRAMPH1_01T00539</t>
  </si>
  <si>
    <t>FGRAMPH1_01T00633</t>
  </si>
  <si>
    <t>FGRAMPH1_01T22955;FGRAMPH1_01T17343;FGRAMPH1_01T00747;FGRAMPH1_01T02889;FGRAMPH1_01T06011;FGRAMPH1_01T23387;FGRAMPH1_01T23721;FGRAMPH1_01T24357;FGRAMPH1_01T03321;FGRAMPH1_01T10605;FGRAMPH1_01T09735;FGRAMPH1_01T10007;FGRAMPH1_01T16409;FGRAMPH1_01T13859;FGRAMPH1_01T02859;FGRAMPH1_01T20847;FGRAMPH1_01T09751;FGRAMPH1_01T09731;FGRAMPH1_01T04069;FGRAMPH1_01T10639;FGRAMPH1_01T05923;FGRAMPH1_01T27043;FGRAMPH1_01T16933;FGRAMPH1_01T19883;FGRAMPH1_01T18899;FGRAMPH1_01T14555</t>
  </si>
  <si>
    <t>FGRAMPH1_01T00747</t>
  </si>
  <si>
    <t>FGRAMPH1_01T22779;FGRAMPH1_01T22955;FGRAMPH1_01T02707;FGRAMPH1_01T18355;FGRAMPH1_01T00747;FGRAMPH1_01T11061;FGRAMPH1_01T18195;FGRAMPH1_01T22893;FGRAMPH1_01T06011;FGRAMPH1_01T03831;FGRAMPH1_01T07687;FGRAMPH1_01T24357;FGRAMPH1_01T03321;FGRAMPH1_01T10605;FGRAMPH1_01T00131;FGRAMPH1_01T09735;FGRAMPH1_01T26981;FGRAMPH1_01T10007;FGRAMPH1_01T16409;FGRAMPH1_01T11997;FGRAMPH1_01T02859;FGRAMPH1_01T15571;FGRAMPH1_01T26727;FGRAMPH1_01T04959;FGRAMPH1_01T03209;FGRAMPH1_01T09075;FGRAMPH1_01T09751;FGRAMPH1_01T24469;FGRAMPH1_01T07331;FGRAMPH1_01T02753;FGRAMPH1_01T20565;FGRAMPH1_01T00157;FGRAMPH1_01T23755;FGRAMPH1_01T09731;FGRAMPH1_01T10639;FGRAMPH1_01T06515;FGRAMPH1_01T11989;FGRAMPH1_01T26395;FGRAMPH1_01T27043;FGRAMPH1_01T19883;FGRAMPH1_01T18899</t>
  </si>
  <si>
    <t>FGRAMPH1_01T00779</t>
  </si>
  <si>
    <t>FGRAMPH1_01T22779;FGRAMPH1_01T22955;FGRAMPH1_01T02707;FGRAMPH1_01T18355;FGRAMPH1_01T00747;FGRAMPH1_01T11061;FGRAMPH1_01T18195;FGRAMPH1_01T22893;FGRAMPH1_01T06011;FGRAMPH1_01T03831;FGRAMPH1_01T07687;FGRAMPH1_01T24357;FGRAMPH1_01T03321;FGRAMPH1_01T10605;FGRAMPH1_01T00131;FGRAMPH1_01T09735;FGRAMPH1_01T26981;FGRAMPH1_01T10007;FGRAMPH1_01T16409;FGRAMPH1_01T11997;FGRAMPH1_01T02859;FGRAMPH1_01T15571;FGRAMPH1_01T26727;FGRAMPH1_01T04959;FGRAMPH1_01T09075;FGRAMPH1_01T09751;FGRAMPH1_01T24469;FGRAMPH1_01T07331;FGRAMPH1_01T02753;FGRAMPH1_01T20565;FGRAMPH1_01T00157;FGRAMPH1_01T23755;FGRAMPH1_01T09731;FGRAMPH1_01T10639;FGRAMPH1_01T06515;FGRAMPH1_01T11989;FGRAMPH1_01T26395;FGRAMPH1_01T27043;FGRAMPH1_01T19883;FGRAMPH1_01T18899</t>
  </si>
  <si>
    <t>FGRAMPH1_01T00815</t>
  </si>
  <si>
    <t>hexose metabolic process</t>
  </si>
  <si>
    <t>FGRAMPH1_01T21615;FGRAMPH1_01T22955;FGRAMPH1_01T18471;FGRAMPH1_01T18519;FGRAMPH1_01T14449;FGRAMPH1_01T19883;FGRAMPH1_01T23287;FGRAMPH1_01T03169;FGRAMPH1_01T18899</t>
  </si>
  <si>
    <t>FGRAMPH1_01T00821</t>
  </si>
  <si>
    <t>FGRAMPH1_01T00981</t>
  </si>
  <si>
    <t>FGRAMPH1_01T21615;FGRAMPH1_01T22955;FGRAMPH1_01T18471;FGRAMPH1_01T18519;FGRAMPH1_01T14449;FGRAMPH1_01T19883;FGRAMPH1_01T23287;FGRAMPH1_01T25059;FGRAMPH1_01T03169;FGRAMPH1_01T18899;FGRAMPH1_01T22335</t>
  </si>
  <si>
    <t>FGRAMPH1_01T00999</t>
  </si>
  <si>
    <t>FGRAMPH1_01T22779;FGRAMPH1_01T02707;FGRAMPH1_01T06515;FGRAMPH1_01T26727;FGRAMPH1_01T04959;FGRAMPH1_01T22893;FGRAMPH1_01T07331;FGRAMPH1_01T00157;FGRAMPH1_01T23755</t>
  </si>
  <si>
    <t>FGRAMPH1_01T01035</t>
  </si>
  <si>
    <t>FGRAMPH1_01T22779;FGRAMPH1_01T22955;FGRAMPH1_01T02707;FGRAMPH1_01T00747;FGRAMPH1_01T11061;FGRAMPH1_01T02889;FGRAMPH1_01T22893;FGRAMPH1_01T07687;FGRAMPH1_01T24357;FGRAMPH1_01T03321;FGRAMPH1_01T00131;FGRAMPH1_01T10007;FGRAMPH1_01T16409;FGRAMPH1_01T26727;FGRAMPH1_01T04959;FGRAMPH1_01T07331;FGRAMPH1_01T20565;FGRAMPH1_01T04069;FGRAMPH1_01T06515;FGRAMPH1_01T06879;FGRAMPH1_01T05923;FGRAMPH1_01T11989;FGRAMPH1_01T27043;FGRAMPH1_01T16933;FGRAMPH1_01T19883;FGRAMPH1_01T18899;FGRAMPH1_01T14555</t>
  </si>
  <si>
    <t>FGRAMPH1_01T01043</t>
  </si>
  <si>
    <t>FGRAMPH1_01T17301;FGRAMPH1_01T22955;FGRAMPH1_01T00747;FGRAMPH1_01T03209;FGRAMPH1_01T24721;FGRAMPH1_01T07131;FGRAMPH1_01T01501;FGRAMPH1_01T09731;FGRAMPH1_01T07687;FGRAMPH1_01T02771;FGRAMPH1_01T03321;FGRAMPH1_01T03353;FGRAMPH1_01T26981;FGRAMPH1_01T10755;FGRAMPH1_01T16409;FGRAMPH1_01T13859;FGRAMPH1_01T27043;FGRAMPH1_01T10663;FGRAMPH1_01T16933;FGRAMPH1_01T19883;FGRAMPH1_01T11453;FGRAMPH1_01T18899</t>
  </si>
  <si>
    <t>FGRAMPH1_01T01267</t>
  </si>
  <si>
    <t>pyridine-containing compound metabolic process</t>
  </si>
  <si>
    <t>FGRAMPH1_01T02771;FGRAMPH1_01T03321;FGRAMPH1_01T22955;FGRAMPH1_01T16409;FGRAMPH1_01T27043;FGRAMPH1_01T10663;FGRAMPH1_01T24721;FGRAMPH1_01T16933;FGRAMPH1_01T01501;FGRAMPH1_01T19883;FGRAMPH1_01T18899</t>
  </si>
  <si>
    <t>FGRAMPH1_01T01285</t>
  </si>
  <si>
    <t>pyridine nucleotide metabolic process</t>
  </si>
  <si>
    <t>FGRAMPH1_01T02771;FGRAMPH1_01T03321;FGRAMPH1_01T22955;FGRAMPH1_01T16409;FGRAMPH1_01T27043;FGRAMPH1_01T10663;FGRAMPH1_01T24721;FGRAMPH1_01T01501;FGRAMPH1_01T19883;FGRAMPH1_01T18899</t>
  </si>
  <si>
    <t>FGRAMPH1_01T01433</t>
  </si>
  <si>
    <t>nicotinamide nucleotide metabolic process</t>
  </si>
  <si>
    <t>FGRAMPH1_01T01501</t>
  </si>
  <si>
    <t>FGRAMPH1_01T22779;FGRAMPH1_01T02707;FGRAMPH1_01T18355;FGRAMPH1_01T11061;FGRAMPH1_01T18195;FGRAMPH1_01T22893;FGRAMPH1_01T03831;FGRAMPH1_01T24357;FGRAMPH1_01T09735;FGRAMPH1_01T10007;FGRAMPH1_01T16409;FGRAMPH1_01T11997;FGRAMPH1_01T02859;FGRAMPH1_01T15571;FGRAMPH1_01T26727;FGRAMPH1_01T04959;FGRAMPH1_01T09751;FGRAMPH1_01T24469;FGRAMPH1_01T07331;FGRAMPH1_01T02753;FGRAMPH1_01T20565;FGRAMPH1_01T00157;FGRAMPH1_01T23755;FGRAMPH1_01T09731;FGRAMPH1_01T06515;FGRAMPH1_01T11989;FGRAMPH1_01T26395</t>
  </si>
  <si>
    <t>FGRAMPH1_01T01525</t>
  </si>
  <si>
    <t>FGRAMPH1_01T22779;FGRAMPH1_01T22955;FGRAMPH1_01T02707;FGRAMPH1_01T00747;FGRAMPH1_01T26727;FGRAMPH1_01T04959;FGRAMPH1_01T11061;FGRAMPH1_01T22893;FGRAMPH1_01T07331;FGRAMPH1_01T20565;FGRAMPH1_01T07687;FGRAMPH1_01T24357;FGRAMPH1_01T03321;FGRAMPH1_01T00131;FGRAMPH1_01T06515;FGRAMPH1_01T10007;FGRAMPH1_01T11989;FGRAMPH1_01T16409;FGRAMPH1_01T27043;FGRAMPH1_01T19883;FGRAMPH1_01T18899</t>
  </si>
  <si>
    <t>FGRAMPH1_01T01541</t>
  </si>
  <si>
    <t>FGRAMPH1_01T01619</t>
  </si>
  <si>
    <t>branched-chain amino acid biosynthetic process</t>
  </si>
  <si>
    <t>FGRAMPH1_01T22779;FGRAMPH1_01T02707;FGRAMPH1_01T06515;FGRAMPH1_01T26727;FGRAMPH1_01T04959;FGRAMPH1_01T22893;FGRAMPH1_01T07331</t>
  </si>
  <si>
    <t>FGRAMPH1_01T01651</t>
  </si>
  <si>
    <t>coenzyme metabolic process</t>
  </si>
  <si>
    <t>FGRAMPH1_01T22955;FGRAMPH1_01T00747;FGRAMPH1_01T03209;FGRAMPH1_01T24721;FGRAMPH1_01T01501;FGRAMPH1_01T09731;FGRAMPH1_01T07687;FGRAMPH1_01T02771;FGRAMPH1_01T03321;FGRAMPH1_01T16409;FGRAMPH1_01T27043;FGRAMPH1_01T10663;FGRAMPH1_01T16933;FGRAMPH1_01T19883;FGRAMPH1_01T11453;FGRAMPH1_01T18899</t>
  </si>
  <si>
    <t>FGRAMPH1_01T01679</t>
  </si>
  <si>
    <t>FGRAMPH1_01T22779;FGRAMPH1_01T02707;FGRAMPH1_01T02859;FGRAMPH1_01T26727;FGRAMPH1_01T11061;FGRAMPH1_01T09751;FGRAMPH1_01T22893;FGRAMPH1_01T24469;FGRAMPH1_01T07331;FGRAMPH1_01T03831;FGRAMPH1_01T20565;FGRAMPH1_01T23755;FGRAMPH1_01T09731;FGRAMPH1_01T24357;FGRAMPH1_01T09735;FGRAMPH1_01T10007;FGRAMPH1_01T11989;FGRAMPH1_01T16409</t>
  </si>
  <si>
    <t>FGRAMPH1_01T01771</t>
  </si>
  <si>
    <t>cellular aldehyde metabolic process</t>
  </si>
  <si>
    <t>FGRAMPH1_01T02771;FGRAMPH1_01T10605;FGRAMPH1_01T22955;FGRAMPH1_01T26981;FGRAMPH1_01T10663;FGRAMPH1_01T16933;FGRAMPH1_01T01501</t>
  </si>
  <si>
    <t>FGRAMPH1_01T01795</t>
  </si>
  <si>
    <t>oxidoreduction coenzyme metabolic process</t>
  </si>
  <si>
    <t>FGRAMPH1_01T01843</t>
  </si>
  <si>
    <t>FGRAMPH1_01T17169;FGRAMPH1_01T17235;FGRAMPH1_01T18355;FGRAMPH1_01T26727;FGRAMPH1_01T04959;FGRAMPH1_01T09075;FGRAMPH1_01T24469;FGRAMPH1_01T08663;FGRAMPH1_01T07463;FGRAMPH1_01T03831;FGRAMPH1_01T26169;FGRAMPH1_01T20049;FGRAMPH1_01T24401;FGRAMPH1_01T03321;FGRAMPH1_01T03353;FGRAMPH1_01T10639;FGRAMPH1_01T06515;FGRAMPH1_01T26981;FGRAMPH1_01T11979;FGRAMPH1_01T10993;FGRAMPH1_01T16769</t>
  </si>
  <si>
    <t>FGRAMPH1_01T01867</t>
  </si>
  <si>
    <t>FGRAMPH1_01T03321;FGRAMPH1_01T10605;FGRAMPH1_01T10639;FGRAMPH1_01T22955;FGRAMPH1_01T17343;FGRAMPH1_01T27043;FGRAMPH1_01T06011;FGRAMPH1_01T19883;FGRAMPH1_01T14985;FGRAMPH1_01T18899;FGRAMPH1_01T23269</t>
  </si>
  <si>
    <t>FGRAMPH1_01T01923</t>
  </si>
  <si>
    <t>ribose phosphate metabolic process</t>
  </si>
  <si>
    <t>FGRAMPH1_01T22955;FGRAMPH1_01T17343;FGRAMPH1_01T03209;FGRAMPH1_01T08663;FGRAMPH1_01T23387;FGRAMPH1_01T01501;FGRAMPH1_01T23721;FGRAMPH1_01T02771;FGRAMPH1_01T03321;FGRAMPH1_01T27043;FGRAMPH1_01T10663;FGRAMPH1_01T19883;FGRAMPH1_01T11453;FGRAMPH1_01T18899</t>
  </si>
  <si>
    <t>FGRAMPH1_01T01941</t>
  </si>
  <si>
    <t>FGRAMPH1_01T22955;FGRAMPH1_01T02707;FGRAMPH1_01T22437;FGRAMPH1_01T11061;FGRAMPH1_01T01971;FGRAMPH1_01T03831;FGRAMPH1_01T23721;FGRAMPH1_01T07687;FGRAMPH1_01T03321;FGRAMPH1_01T02551;FGRAMPH1_01T09735;FGRAMPH1_01T10007;FGRAMPH1_01T11453;FGRAMPH1_01T17015;FGRAMPH1_01T03209;FGRAMPH1_01T20847;FGRAMPH1_01T09751;FGRAMPH1_01T24721;FGRAMPH1_01T07131;FGRAMPH1_01T08663;FGRAMPH1_01T01501;FGRAMPH1_01T07331;FGRAMPH1_01T02753;FGRAMPH1_01T02797;FGRAMPH1_01T20565;FGRAMPH1_01T03005;FGRAMPH1_01T23755;FGRAMPH1_01T26425;FGRAMPH1_01T04069;FGRAMPH1_01T06515;FGRAMPH1_01T11989;FGRAMPH1_01T26395;FGRAMPH1_01T27043;FGRAMPH1_01T18899;FGRAMPH1_01T17301;FGRAMPH1_01T22779;FGRAMPH1_01T17343;FGRAMPH1_01T18355;FGRAMPH1_01T00747;FGRAMPH1_01T01953;FGRAMPH1_01T02889;FGRAMPH1_01T18195;FGRAMPH1_01T22893;FGRAMPH1_01T23387;FGRAMPH1_01T23981;FGRAMPH1_01T01433;FGRAMPH1_01T03059;FGRAMPH1_01T24357;FGRAMPH1_01T02771;FGRAMPH1_01T26981;FGRAMPH1_01T16409;FGRAMPH1_01T10663;FGRAMPH1_01T11997;FGRAMPH1_01T23815;FGRAMPH1_01T14285;FGRAMPH1_01T17235;FGRAMPH1_01T02859;FGRAMPH1_01T15571;FGRAMPH1_01T26727;FGRAMPH1_01T04959;FGRAMPH1_01T00999;FGRAMPH1_01T24469;FGRAMPH1_01T24349;FGRAMPH1_01T00157;FGRAMPH1_01T09731;FGRAMPH1_01T09699;FGRAMPH1_01T03353;FGRAMPH1_01T10755;FGRAMPH1_01T05923;FGRAMPH1_01T19045;FGRAMPH1_01T16933;FGRAMPH1_01T19883;FGRAMPH1_01T14555</t>
  </si>
  <si>
    <t>FGRAMPH1_01T01949</t>
  </si>
  <si>
    <t>FGRAMPH1_01T06879;FGRAMPH1_01T25999;FGRAMPH1_01T14985;FGRAMPH1_01T19369;FGRAMPH1_01T23269</t>
  </si>
  <si>
    <t>FGRAMPH1_01T01953</t>
  </si>
  <si>
    <t>FGRAMPH1_01T18897;FGRAMPH1_01T11061;FGRAMPH1_01T21387;FGRAMPH1_01T23287;FGRAMPH1_01T03831;FGRAMPH1_01T21423;FGRAMPH1_01T23721;FGRAMPH1_01T03321;FGRAMPH1_01T04893;FGRAMPH1_01T10007;FGRAMPH1_01T19195;FGRAMPH1_01T04371;FGRAMPH1_01T27253;FGRAMPH1_01T13999;FGRAMPH1_01T14449;FGRAMPH1_01T11453;FGRAMPH1_01T03209;FGRAMPH1_01T20847;FGRAMPH1_01T07131;FGRAMPH1_01T02753;FGRAMPH1_01T20565;FGRAMPH1_01T20049;FGRAMPH1_01T25059;FGRAMPH1_01T03169;FGRAMPH1_01T26425;FGRAMPH1_01T03057;FGRAMPH1_01T06317;FGRAMPH1_01T08857;FGRAMPH1_01T11989;FGRAMPH1_01T26395;FGRAMPH1_01T10377;FGRAMPH1_01T10379;FGRAMPH1_01T13883;FGRAMPH1_01T18899;FGRAMPH1_01T15165;FGRAMPH1_01T22779;FGRAMPH1_01T17343;FGRAMPH1_01T00747;FGRAMPH1_01T03737;FGRAMPH1_01T01953;FGRAMPH1_01T02889;FGRAMPH1_01T22893;FGRAMPH1_01T23981;FGRAMPH1_01T04425;FGRAMPH1_01T01433;FGRAMPH1_01T03059;FGRAMPH1_01T02771;FGRAMPH1_01T26981;FGRAMPH1_01T16409;FGRAMPH1_01T10663;FGRAMPH1_01T11997;FGRAMPH1_01T14985;FGRAMPH1_01T17235;FGRAMPH1_01T11251;FGRAMPH1_01T14001;FGRAMPH1_01T15571;FGRAMPH1_01T26727;FGRAMPH1_01T04959;FGRAMPH1_01T00999;FGRAMPH1_01T21153;FGRAMPH1_01T25999;FGRAMPH1_01T09731;FGRAMPH1_01T09699;FGRAMPH1_01T03353;FGRAMPH1_01T05923;FGRAMPH1_01T16933;FGRAMPH1_01T19883;FGRAMPH1_01T19369;FGRAMPH1_01T22955;FGRAMPH1_01T02707;FGRAMPH1_01T22437;FGRAMPH1_01T04967;FGRAMPH1_01T01971;FGRAMPH1_01T05025;FGRAMPH1_01T07687;FGRAMPH1_01T08647;FGRAMPH1_01T10605;FGRAMPH1_01T00131;FGRAMPH1_01T02551;FGRAMPH1_01T09735;FGRAMPH1_01T25271;FGRAMPH1_01T12467;FGRAMPH1_01T18845;FGRAMPH1_01T17015;FGRAMPH1_01T21615;FGRAMPH1_01T09075;FGRAMPH1_01T09751;FGRAMPH1_01T24721;FGRAMPH1_01T08663;FGRAMPH1_01T01501;FGRAMPH1_01T07331;FGRAMPH1_01T02797;FGRAMPH1_01T03005;FGRAMPH1_01T23755;FGRAMPH1_01T04069;FGRAMPH1_01T26199;FGRAMPH1_01T06515;FGRAMPH1_01T06879;FGRAMPH1_01T11823;FGRAMPH1_01T27043;FGRAMPH1_01T19389;FGRAMPH1_01T21889;FGRAMPH1_01T17301;FGRAMPH1_01T20039;FGRAMPH1_01T18355;FGRAMPH1_01T18471;FGRAMPH1_01T18195;FGRAMPH1_01T06011;FGRAMPH1_01T23387;FGRAMPH1_01T22335;FGRAMPH1_01T04103;FGRAMPH1_01T23269;FGRAMPH1_01T24357;FGRAMPH1_01T07977;FGRAMPH1_01T10621;FGRAMPH1_01T23815;FGRAMPH1_01T14285;FGRAMPH1_01T02859;FGRAMPH1_01T24469;FGRAMPH1_01T24349;FGRAMPH1_01T06783;FGRAMPH1_01T00157;FGRAMPH1_01T07113;FGRAMPH1_01T10639;FGRAMPH1_01T12939;FGRAMPH1_01T10755;FGRAMPH1_01T00281;FGRAMPH1_01T10993;FGRAMPH1_01T12655;FGRAMPH1_01T15407;FGRAMPH1_01T18519;FGRAMPH1_01T19045;FGRAMPH1_01T14555</t>
  </si>
  <si>
    <t>FGRAMPH1_01T01971</t>
  </si>
  <si>
    <t>FGRAMPH1_01T22955;FGRAMPH1_01T06879;FGRAMPH1_01T25999;FGRAMPH1_01T14985;FGRAMPH1_01T18899;FGRAMPH1_01T19369;FGRAMPH1_01T23269</t>
  </si>
  <si>
    <t>FGRAMPH1_01T02091</t>
  </si>
  <si>
    <t>FGRAMPH1_01T10605;FGRAMPH1_01T18897;FGRAMPH1_01T06317;FGRAMPH1_01T06879;FGRAMPH1_01T25999;FGRAMPH1_01T06783;FGRAMPH1_01T14985;FGRAMPH1_01T19369;FGRAMPH1_01T23269</t>
  </si>
  <si>
    <t>FGRAMPH1_01T02183</t>
  </si>
  <si>
    <t>nucleotide metabolic process</t>
  </si>
  <si>
    <t>FGRAMPH1_01T22955;FGRAMPH1_01T17343;FGRAMPH1_01T03209;FGRAMPH1_01T24721;FGRAMPH1_01T08663;FGRAMPH1_01T23387;FGRAMPH1_01T01501;FGRAMPH1_01T23721;FGRAMPH1_01T02771;FGRAMPH1_01T03321;FGRAMPH1_01T16409;FGRAMPH1_01T27043;FGRAMPH1_01T10663;FGRAMPH1_01T19883;FGRAMPH1_01T11453;FGRAMPH1_01T18899</t>
  </si>
  <si>
    <t>FGRAMPH1_01T02261</t>
  </si>
  <si>
    <t>FGRAMPH1_01T27793;FGRAMPH1_01T10707;FGRAMPH1_01T15471;FGRAMPH1_01T26705;FGRAMPH1_01T11109;FGRAMPH1_01T04769;FGRAMPH1_01T20155;FGRAMPH1_01T06495</t>
  </si>
  <si>
    <t>FGRAMPH1_01T02265</t>
  </si>
  <si>
    <t>nucleoside phosphate metabolic process</t>
  </si>
  <si>
    <t>FGRAMPH1_01T02333</t>
  </si>
  <si>
    <t>pyridine-containing compound biosynthetic process</t>
  </si>
  <si>
    <t>FGRAMPH1_01T03321;FGRAMPH1_01T22955;FGRAMPH1_01T16409;FGRAMPH1_01T27043;FGRAMPH1_01T24721;FGRAMPH1_01T16933;FGRAMPH1_01T19883;FGRAMPH1_01T18899</t>
  </si>
  <si>
    <t>FGRAMPH1_01T02335</t>
  </si>
  <si>
    <t>pyridine nucleotide biosynthetic process</t>
  </si>
  <si>
    <t>FGRAMPH1_01T03321;FGRAMPH1_01T22955;FGRAMPH1_01T16409;FGRAMPH1_01T27043;FGRAMPH1_01T24721;FGRAMPH1_01T19883;FGRAMPH1_01T18899</t>
  </si>
  <si>
    <t>FGRAMPH1_01T02445</t>
  </si>
  <si>
    <t>nicotinamide nucleotide biosynthetic process</t>
  </si>
  <si>
    <t>FGRAMPH1_01T02551</t>
  </si>
  <si>
    <t>sulfur compound biosynthetic process</t>
  </si>
  <si>
    <t>FGRAMPH1_01T04069;FGRAMPH1_01T00747;FGRAMPH1_01T10007;FGRAMPH1_01T05923;FGRAMPH1_01T03209;FGRAMPH1_01T11061;FGRAMPH1_01T07131;FGRAMPH1_01T20565;FGRAMPH1_01T14555</t>
  </si>
  <si>
    <t>FGRAMPH1_01T02583</t>
  </si>
  <si>
    <t>FGRAMPH1_01T22955;FGRAMPH1_01T02859;FGRAMPH1_01T00999;FGRAMPH1_01T20847;FGRAMPH1_01T09751;FGRAMPH1_01T03029;FGRAMPH1_01T02797;FGRAMPH1_01T06783;FGRAMPH1_01T01433;FGRAMPH1_01T03005;FGRAMPH1_01T23755;FGRAMPH1_01T03059;FGRAMPH1_01T26425;FGRAMPH1_01T03321;FGRAMPH1_01T09735;FGRAMPH1_01T06317;FGRAMPH1_01T26981;FGRAMPH1_01T14949;FGRAMPH1_01T16409;FGRAMPH1_01T13859;FGRAMPH1_01T27043;FGRAMPH1_01T19883;FGRAMPH1_01T18899</t>
  </si>
  <si>
    <t>FGRAMPH1_01T02607</t>
  </si>
  <si>
    <t>sulfur compound metabolic process</t>
  </si>
  <si>
    <t>FGRAMPH1_01T04069;FGRAMPH1_01T17301;FGRAMPH1_01T26981;FGRAMPH1_01T00747;FGRAMPH1_01T10007;FGRAMPH1_01T05923;FGRAMPH1_01T03209;FGRAMPH1_01T11061;FGRAMPH1_01T07131;FGRAMPH1_01T20565;FGRAMPH1_01T11453;FGRAMPH1_01T14555</t>
  </si>
  <si>
    <t>FGRAMPH1_01T02629</t>
  </si>
  <si>
    <t>FGRAMPH1_01T17235;FGRAMPH1_01T22955;FGRAMPH1_01T17343;FGRAMPH1_01T03209;FGRAMPH1_01T24721;FGRAMPH1_01T08663;FGRAMPH1_01T23387;FGRAMPH1_01T01501;FGRAMPH1_01T23721;FGRAMPH1_01T02771;FGRAMPH1_01T03321;FGRAMPH1_01T10007;FGRAMPH1_01T16409;FGRAMPH1_01T27043;FGRAMPH1_01T10663;FGRAMPH1_01T15407;FGRAMPH1_01T19883;FGRAMPH1_01T11453;FGRAMPH1_01T18899</t>
  </si>
  <si>
    <t>FGRAMPH1_01T02679</t>
  </si>
  <si>
    <t>ATP metabolic process</t>
  </si>
  <si>
    <t>FGRAMPH1_01T03321;FGRAMPH1_01T22955;FGRAMPH1_01T17343;FGRAMPH1_01T27043;FGRAMPH1_01T23387;FGRAMPH1_01T19883;FGRAMPH1_01T18899;FGRAMPH1_01T23721</t>
  </si>
  <si>
    <t>FGRAMPH1_01T02707</t>
  </si>
  <si>
    <t>galactose metabolic process</t>
  </si>
  <si>
    <t>FGRAMPH1_01T18471;FGRAMPH1_01T18519;FGRAMPH1_01T14449</t>
  </si>
  <si>
    <t>FGRAMPH1_01T02733</t>
  </si>
  <si>
    <t>FGRAMPH1_01T03321;FGRAMPH1_01T22955;FGRAMPH1_01T27043;FGRAMPH1_01T19883;FGRAMPH1_01T18899</t>
  </si>
  <si>
    <t>FGRAMPH1_01T02753</t>
  </si>
  <si>
    <t>FGRAMPH1_01T02771</t>
  </si>
  <si>
    <t>ATP generation from ADP</t>
  </si>
  <si>
    <t>FGRAMPH1_01T02791</t>
  </si>
  <si>
    <t>pyruvate biosynthetic process</t>
  </si>
  <si>
    <t>FGRAMPH1_01T02797</t>
  </si>
  <si>
    <t>glycolytic process</t>
  </si>
  <si>
    <t>FGRAMPH1_01T02859</t>
  </si>
  <si>
    <t>cofactor biosynthetic process</t>
  </si>
  <si>
    <t>FGRAMPH1_01T22955;FGRAMPH1_01T00747;FGRAMPH1_01T03209;FGRAMPH1_01T24721;FGRAMPH1_01T07131;FGRAMPH1_01T07687;FGRAMPH1_01T03321;FGRAMPH1_01T03353;FGRAMPH1_01T10755;FGRAMPH1_01T16409;FGRAMPH1_01T27043;FGRAMPH1_01T16933;FGRAMPH1_01T19883;FGRAMPH1_01T18899</t>
  </si>
  <si>
    <t>FGRAMPH1_01T02879</t>
  </si>
  <si>
    <t>FGRAMPH1_01T00281;FGRAMPH1_01T04371;FGRAMPH1_01T04967;FGRAMPH1_01T12467</t>
  </si>
  <si>
    <t>FGRAMPH1_01T02887</t>
  </si>
  <si>
    <t>glyceraldehyde-3-phosphate metabolic process</t>
  </si>
  <si>
    <t>FGRAMPH1_01T02771;FGRAMPH1_01T22955;FGRAMPH1_01T10663;FGRAMPH1_01T01501</t>
  </si>
  <si>
    <t>FGRAMPH1_01T02889</t>
  </si>
  <si>
    <t>glucose 6-phosphate metabolic process</t>
  </si>
  <si>
    <t>FGRAMPH1_01T03005</t>
  </si>
  <si>
    <t>pentose-phosphate shunt</t>
  </si>
  <si>
    <t>FGRAMPH1_01T03029</t>
  </si>
  <si>
    <t>glucose metabolic process</t>
  </si>
  <si>
    <t>FGRAMPH1_01T22955;FGRAMPH1_01T19883;FGRAMPH1_01T03169;FGRAMPH1_01T18899</t>
  </si>
  <si>
    <t>FGRAMPH1_01T03033</t>
  </si>
  <si>
    <t>water-soluble vitamin metabolic process</t>
  </si>
  <si>
    <t>FGRAMPH1_01T04069;FGRAMPH1_01T00747;FGRAMPH1_01T05923;FGRAMPH1_01T16409;FGRAMPH1_01T02889;FGRAMPH1_01T16933;FGRAMPH1_01T14555</t>
  </si>
  <si>
    <t>FGRAMPH1_01T03041</t>
  </si>
  <si>
    <t>cellular amino acid biosynthetic process</t>
  </si>
  <si>
    <t>FGRAMPH1_01T22779;FGRAMPH1_01T02707;FGRAMPH1_01T06515;FGRAMPH1_01T10007;FGRAMPH1_01T26727;FGRAMPH1_01T04959;FGRAMPH1_01T11989;FGRAMPH1_01T11061;FGRAMPH1_01T22893;FGRAMPH1_01T07331;FGRAMPH1_01T20565;FGRAMPH1_01T24357</t>
  </si>
  <si>
    <t>FGRAMPH1_01T03049</t>
  </si>
  <si>
    <t>FGRAMPH1_01T03057</t>
  </si>
  <si>
    <t>FGRAMPH1_01T03059</t>
  </si>
  <si>
    <t>FGRAMPH1_01T03353;FGRAMPH1_01T17235;FGRAMPH1_01T09075;FGRAMPH1_01T10993;FGRAMPH1_01T24469;FGRAMPH1_01T08663;FGRAMPH1_01T03831;FGRAMPH1_01T26169;FGRAMPH1_01T20049</t>
  </si>
  <si>
    <t>FGRAMPH1_01T03091</t>
  </si>
  <si>
    <t>vitamin metabolic process</t>
  </si>
  <si>
    <t>FGRAMPH1_01T03139</t>
  </si>
  <si>
    <t>FGRAMPH1_01T18897;FGRAMPH1_01T11061;FGRAMPH1_01T21387;FGRAMPH1_01T23287;FGRAMPH1_01T03831;FGRAMPH1_01T21423;FGRAMPH1_01T23721;FGRAMPH1_01T03321;FGRAMPH1_01T04893;FGRAMPH1_01T10007;FGRAMPH1_01T19195;FGRAMPH1_01T04371;FGRAMPH1_01T27253;FGRAMPH1_01T13999;FGRAMPH1_01T14449;FGRAMPH1_01T11453;FGRAMPH1_01T03209;FGRAMPH1_01T20847;FGRAMPH1_01T02753;FGRAMPH1_01T20565;FGRAMPH1_01T20049;FGRAMPH1_01T25059;FGRAMPH1_01T03169;FGRAMPH1_01T26425;FGRAMPH1_01T03057;FGRAMPH1_01T06317;FGRAMPH1_01T08857;FGRAMPH1_01T11989;FGRAMPH1_01T26395;FGRAMPH1_01T10377;FGRAMPH1_01T10379;FGRAMPH1_01T13883;FGRAMPH1_01T18899;FGRAMPH1_01T15165;FGRAMPH1_01T22779;FGRAMPH1_01T17343;FGRAMPH1_01T03737;FGRAMPH1_01T01953;FGRAMPH1_01T22893;FGRAMPH1_01T23981;FGRAMPH1_01T04425;FGRAMPH1_01T01433;FGRAMPH1_01T03059;FGRAMPH1_01T02771;FGRAMPH1_01T16409;FGRAMPH1_01T10663;FGRAMPH1_01T11997;FGRAMPH1_01T14985;FGRAMPH1_01T17235;FGRAMPH1_01T11251;FGRAMPH1_01T14001;FGRAMPH1_01T15571;FGRAMPH1_01T26727;FGRAMPH1_01T04959;FGRAMPH1_01T00999;FGRAMPH1_01T21153;FGRAMPH1_01T25999;FGRAMPH1_01T09731;FGRAMPH1_01T09699;FGRAMPH1_01T19883;FGRAMPH1_01T19369;FGRAMPH1_01T22955;FGRAMPH1_01T02707;FGRAMPH1_01T22437;FGRAMPH1_01T04967;FGRAMPH1_01T01971;FGRAMPH1_01T05025;FGRAMPH1_01T08647;FGRAMPH1_01T10605;FGRAMPH1_01T00131;FGRAMPH1_01T02551;FGRAMPH1_01T09735;FGRAMPH1_01T25271;FGRAMPH1_01T12467;FGRAMPH1_01T18845;FGRAMPH1_01T17015;FGRAMPH1_01T21615;FGRAMPH1_01T09751;FGRAMPH1_01T24721;FGRAMPH1_01T08663;FGRAMPH1_01T01501;FGRAMPH1_01T07331;FGRAMPH1_01T02797;FGRAMPH1_01T03005;FGRAMPH1_01T23755;FGRAMPH1_01T26199;FGRAMPH1_01T06515;FGRAMPH1_01T06879;FGRAMPH1_01T11823;FGRAMPH1_01T27043;FGRAMPH1_01T19389;FGRAMPH1_01T21889;FGRAMPH1_01T20039;FGRAMPH1_01T18355;FGRAMPH1_01T18471;FGRAMPH1_01T18195;FGRAMPH1_01T06011;FGRAMPH1_01T23387;FGRAMPH1_01T22335;FGRAMPH1_01T04103;FGRAMPH1_01T23269;FGRAMPH1_01T24357;FGRAMPH1_01T07977;FGRAMPH1_01T10621;FGRAMPH1_01T23815;FGRAMPH1_01T14285;FGRAMPH1_01T02859;FGRAMPH1_01T24469;FGRAMPH1_01T24349;FGRAMPH1_01T06783;FGRAMPH1_01T00157;FGRAMPH1_01T07113;FGRAMPH1_01T10639;FGRAMPH1_01T12939;FGRAMPH1_01T00281;FGRAMPH1_01T10993;FGRAMPH1_01T12655;FGRAMPH1_01T15407;FGRAMPH1_01T18519</t>
  </si>
  <si>
    <t>FGRAMPH1_01T03169</t>
  </si>
  <si>
    <t>FGRAMPH1_01T03177</t>
  </si>
  <si>
    <t>purine nucleoside monophosphate metabolic process</t>
  </si>
  <si>
    <t>FGRAMPH1_01T03321;FGRAMPH1_01T22955;FGRAMPH1_01T17343;FGRAMPH1_01T27043;FGRAMPH1_01T08663;FGRAMPH1_01T23387;FGRAMPH1_01T19883;FGRAMPH1_01T18899;FGRAMPH1_01T23721</t>
  </si>
  <si>
    <t>FGRAMPH1_01T03179</t>
  </si>
  <si>
    <t>FGRAMPH1_01T03187</t>
  </si>
  <si>
    <t>purine nucleoside diphosphate metabolic process</t>
  </si>
  <si>
    <t>FGRAMPH1_01T03209</t>
  </si>
  <si>
    <t>ribonucleoside diphosphate metabolic process</t>
  </si>
  <si>
    <t>FGRAMPH1_01T03221</t>
  </si>
  <si>
    <t>purine ribonucleoside diphosphate metabolic process</t>
  </si>
  <si>
    <t>FGRAMPH1_01T03305</t>
  </si>
  <si>
    <t>ADP metabolic process</t>
  </si>
  <si>
    <t>FGRAMPH1_01T03321</t>
  </si>
  <si>
    <t>FGRAMPH1_01T22955;FGRAMPH1_01T01433;FGRAMPH1_01T03059;FGRAMPH1_01T03321;FGRAMPH1_01T09735;FGRAMPH1_01T07977;FGRAMPH1_01T26981;FGRAMPH1_01T14949;FGRAMPH1_01T16409;FGRAMPH1_01T13859;FGRAMPH1_01T11251;FGRAMPH1_01T14001;FGRAMPH1_01T02859;FGRAMPH1_01T00999;FGRAMPH1_01T20847;FGRAMPH1_01T09751;FGRAMPH1_01T03029;FGRAMPH1_01T02797;FGRAMPH1_01T06783;FGRAMPH1_01T03005;FGRAMPH1_01T23755;FGRAMPH1_01T26425;FGRAMPH1_01T06317;FGRAMPH1_01T27043;FGRAMPH1_01T19883;FGRAMPH1_01T18899</t>
  </si>
  <si>
    <t>FGRAMPH1_01T03327</t>
  </si>
  <si>
    <t>isomerase activity</t>
  </si>
  <si>
    <t>FGRAMPH1_01T22955;FGRAMPH1_01T06879;FGRAMPH1_01T26507;FGRAMPH1_01T24825;FGRAMPH1_01T01953;FGRAMPH1_01T15407;FGRAMPH1_01T18519;FGRAMPH1_01T01501;FGRAMPH1_01T04425;FGRAMPH1_01T19389;FGRAMPH1_01T18899</t>
  </si>
  <si>
    <t>FGRAMPH1_01T03353</t>
  </si>
  <si>
    <t>purine ribonucleotide metabolic process</t>
  </si>
  <si>
    <t>FGRAMPH1_01T03321;FGRAMPH1_01T22955;FGRAMPH1_01T17343;FGRAMPH1_01T03209;FGRAMPH1_01T27043;FGRAMPH1_01T08663;FGRAMPH1_01T23387;FGRAMPH1_01T19883;FGRAMPH1_01T11453;FGRAMPH1_01T18899;FGRAMPH1_01T23721</t>
  </si>
  <si>
    <t>FGRAMPH1_01T03413</t>
  </si>
  <si>
    <t>NADP metabolic process</t>
  </si>
  <si>
    <t>FGRAMPH1_01T03435</t>
  </si>
  <si>
    <t>purine-containing compound metabolic process</t>
  </si>
  <si>
    <t>FGRAMPH1_01T03321;FGRAMPH1_01T22955;FGRAMPH1_01T17343;FGRAMPH1_01T10007;FGRAMPH1_01T03209;FGRAMPH1_01T27043;FGRAMPH1_01T08663;FGRAMPH1_01T23387;FGRAMPH1_01T19883;FGRAMPH1_01T11453;FGRAMPH1_01T18899;FGRAMPH1_01T23721</t>
  </si>
  <si>
    <t>FGRAMPH1_01T03447</t>
  </si>
  <si>
    <t>purine nucleotide metabolic process</t>
  </si>
  <si>
    <t>FGRAMPH1_01T03463</t>
  </si>
  <si>
    <t>ribonucleotide metabolic process</t>
  </si>
  <si>
    <t>FGRAMPH1_01T03495</t>
  </si>
  <si>
    <t>FGRAMPH1_01T03625</t>
  </si>
  <si>
    <t>coenzyme biosynthetic process</t>
  </si>
  <si>
    <t>FGRAMPH1_01T03321;FGRAMPH1_01T22955;FGRAMPH1_01T00747;FGRAMPH1_01T16409;FGRAMPH1_01T03209;FGRAMPH1_01T27043;FGRAMPH1_01T24721;FGRAMPH1_01T16933;FGRAMPH1_01T19883;FGRAMPH1_01T18899;FGRAMPH1_01T07687</t>
  </si>
  <si>
    <t>FGRAMPH1_01T03721</t>
  </si>
  <si>
    <t>ribonucleoside monophosphate metabolic process</t>
  </si>
  <si>
    <t>FGRAMPH1_01T03723</t>
  </si>
  <si>
    <t>valine metabolic process</t>
  </si>
  <si>
    <t>FGRAMPH1_01T02707;FGRAMPH1_01T07331;FGRAMPH1_01T23755</t>
  </si>
  <si>
    <t>FGRAMPH1_01T03729</t>
  </si>
  <si>
    <t>thiamine-containing compound biosynthetic process</t>
  </si>
  <si>
    <t>FGRAMPH1_01T04069;FGRAMPH1_01T05923;FGRAMPH1_01T14555</t>
  </si>
  <si>
    <t>FGRAMPH1_01T03737</t>
  </si>
  <si>
    <t>thiamine biosynthetic process</t>
  </si>
  <si>
    <t>FGRAMPH1_01T03765</t>
  </si>
  <si>
    <t>leucine biosynthetic process</t>
  </si>
  <si>
    <t>FGRAMPH1_01T22779;FGRAMPH1_01T26727;FGRAMPH1_01T22893</t>
  </si>
  <si>
    <t>FGRAMPH1_01T03803</t>
  </si>
  <si>
    <t>FGRAMPH1_01T03321;FGRAMPH1_01T11251;FGRAMPH1_01T22955;FGRAMPH1_01T06317;FGRAMPH1_01T07977;FGRAMPH1_01T14001;FGRAMPH1_01T27043;FGRAMPH1_01T19883;FGRAMPH1_01T06783;FGRAMPH1_01T18899</t>
  </si>
  <si>
    <t>FGRAMPH1_01T03831</t>
  </si>
  <si>
    <t>water-soluble vitamin biosynthetic process</t>
  </si>
  <si>
    <t>FGRAMPH1_01T04069;FGRAMPH1_01T00747;FGRAMPH1_01T05923;FGRAMPH1_01T02889;FGRAMPH1_01T16933;FGRAMPH1_01T14555</t>
  </si>
  <si>
    <t>FGRAMPH1_01T03939</t>
  </si>
  <si>
    <t>FGRAMPH1_01T03321;FGRAMPH1_01T22955;FGRAMPH1_01T27043;FGRAMPH1_01T23387;FGRAMPH1_01T19883;FGRAMPH1_01T18899</t>
  </si>
  <si>
    <t>FGRAMPH1_01T04053</t>
  </si>
  <si>
    <t>FGRAMPH1_01T12939;FGRAMPH1_01T13671;FGRAMPH1_01T00281;FGRAMPH1_01T19195;FGRAMPH1_01T12467;FGRAMPH1_01T10379;FGRAMPH1_01T23287;FGRAMPH1_01T04425;FGRAMPH1_01T19389</t>
  </si>
  <si>
    <t>FGRAMPH1_01T04069</t>
  </si>
  <si>
    <t>nucleoside monophosphate metabolic process</t>
  </si>
  <si>
    <t>FGRAMPH1_01T04103</t>
  </si>
  <si>
    <t>vitamin biosynthetic process</t>
  </si>
  <si>
    <t>FGRAMPH1_01T04129</t>
  </si>
  <si>
    <t>FGRAMPH1_01T04141</t>
  </si>
  <si>
    <t>FGRAMPH1_01T04257</t>
  </si>
  <si>
    <t>FGRAMPH1_01T04271</t>
  </si>
  <si>
    <t>nucleotide catabolic process</t>
  </si>
  <si>
    <t>FGRAMPH1_01T04371</t>
  </si>
  <si>
    <t>FGRAMPH1_01T03353;FGRAMPH1_01T17235;FGRAMPH1_01T09075;FGRAMPH1_01T24469;FGRAMPH1_01T08663;FGRAMPH1_01T03831;FGRAMPH1_01T26169</t>
  </si>
  <si>
    <t>FGRAMPH1_01T04415</t>
  </si>
  <si>
    <t>FGRAMPH1_01T18897;FGRAMPH1_01T19749;FGRAMPH1_01T00129;FGRAMPH1_01T09063;FGRAMPH1_01T00405;FGRAMPH1_01T09025;FGRAMPH1_01T09067;FGRAMPH1_01T07763;FGRAMPH1_01T01651;FGRAMPH1_01T07687;FGRAMPH1_01T25303;FGRAMPH1_01T00131;FGRAMPH1_01T06425;FGRAMPH1_01T09735;FGRAMPH1_01T05417;FGRAMPH1_01T17639;FGRAMPH1_01T13635;FGRAMPH1_01T12189;FGRAMPH1_01T09071;FGRAMPH1_01T00539;FGRAMPH1_01T09751;FGRAMPH1_01T03723;FGRAMPH1_01T03447;FGRAMPH1_01T07331;FGRAMPH1_01T03169;FGRAMPH1_01T12835;FGRAMPH1_01T10657;FGRAMPH1_01T11989;FGRAMPH1_01T15989;FGRAMPH1_01T17529;FGRAMPH1_01T12233;FGRAMPH1_01T12353;FGRAMPH1_01T17301;FGRAMPH1_01T17343;FGRAMPH1_01T20513;FGRAMPH1_01T20639;FGRAMPH1_01T22893;FGRAMPH1_01T27823;FGRAMPH1_01T06011;FGRAMPH1_01T14071;FGRAMPH1_01T00145;FGRAMPH1_01T07543;FGRAMPH1_01T27589;FGRAMPH1_01T20475;FGRAMPH1_01T03179;FGRAMPH1_01T24357;FGRAMPH1_01T02771;FGRAMPH1_01T09955;FGRAMPH1_01T09879;FGRAMPH1_01T10547;FGRAMPH1_01T12449;FGRAMPH1_01T14707;FGRAMPH1_01T11835;FGRAMPH1_01T13859;FGRAMPH1_01T14705;FGRAMPH1_01T15959;FGRAMPH1_01T16647;FGRAMPH1_01T16769;FGRAMPH1_01T18521;FGRAMPH1_01T13671;FGRAMPH1_01T13071;FGRAMPH1_01T17197;FGRAMPH1_01T02335;FGRAMPH1_01T21311;FGRAMPH1_01T23853;FGRAMPH1_01T05203;FGRAMPH1_01T10755;FGRAMPH1_01T05923;FGRAMPH1_01T09927;FGRAMPH1_01T19883</t>
  </si>
  <si>
    <t>FGRAMPH1_01T04425</t>
  </si>
  <si>
    <t>FGRAMPH1_01T22955;FGRAMPH1_01T17343;FGRAMPH1_01T03209;FGRAMPH1_01T24721;FGRAMPH1_01T08663;FGRAMPH1_01T23387;FGRAMPH1_01T01501;FGRAMPH1_01T23721;FGRAMPH1_01T02771;FGRAMPH1_01T03321;FGRAMPH1_01T06879;FGRAMPH1_01T16409;FGRAMPH1_01T27043;FGRAMPH1_01T10663;FGRAMPH1_01T10621;FGRAMPH1_01T16933;FGRAMPH1_01T19883;FGRAMPH1_01T11453;FGRAMPH1_01T18899</t>
  </si>
  <si>
    <t>FGRAMPH1_01T04665</t>
  </si>
  <si>
    <t>purine-containing compound biosynthetic process</t>
  </si>
  <si>
    <t>FGRAMPH1_01T03321;FGRAMPH1_01T22955;FGRAMPH1_01T10007;FGRAMPH1_01T03209;FGRAMPH1_01T27043;FGRAMPH1_01T08663;FGRAMPH1_01T23387;FGRAMPH1_01T19883;FGRAMPH1_01T18899</t>
  </si>
  <si>
    <t>FGRAMPH1_01T04731</t>
  </si>
  <si>
    <t>FGRAMPH1_01T04769</t>
  </si>
  <si>
    <t>FGRAMPH1_01T04825</t>
  </si>
  <si>
    <t>alpha-amino acid biosynthetic process</t>
  </si>
  <si>
    <t>FGRAMPH1_01T22779;FGRAMPH1_01T02707;FGRAMPH1_01T10007;FGRAMPH1_01T26727;FGRAMPH1_01T11989;FGRAMPH1_01T11061;FGRAMPH1_01T22893;FGRAMPH1_01T07331;FGRAMPH1_01T20565;FGRAMPH1_01T24357</t>
  </si>
  <si>
    <t>FGRAMPH1_01T04893</t>
  </si>
  <si>
    <t>FGRAMPH1_01T05203;FGRAMPH1_01T14707;FGRAMPH1_01T11989;FGRAMPH1_01T14705;FGRAMPH1_01T15989;FGRAMPH1_01T14071;FGRAMPH1_01T19883;FGRAMPH1_01T27589</t>
  </si>
  <si>
    <t>FGRAMPH1_01T04959</t>
  </si>
  <si>
    <t>pyruvate metabolic process</t>
  </si>
  <si>
    <t>FGRAMPH1_01T04967</t>
  </si>
  <si>
    <t>acyl-CoA dehydrogenase activity</t>
  </si>
  <si>
    <t>FGRAMPH1_01T20513;FGRAMPH1_01T17197;FGRAMPH1_01T07543;FGRAMPH1_01T20475</t>
  </si>
  <si>
    <t>FGRAMPH1_01T04971</t>
  </si>
  <si>
    <t>FGRAMPH1_01T00131;FGRAMPH1_01T06425;FGRAMPH1_01T18521;FGRAMPH1_01T20513;FGRAMPH1_01T10755;FGRAMPH1_01T17197;FGRAMPH1_01T07543;FGRAMPH1_01T20475</t>
  </si>
  <si>
    <t>FGRAMPH1_01T05009</t>
  </si>
  <si>
    <t>nucleobase-containing small molecule biosynthetic process</t>
  </si>
  <si>
    <t>FGRAMPH1_01T03321;FGRAMPH1_01T22955;FGRAMPH1_01T10007;FGRAMPH1_01T27043;FGRAMPH1_01T19883;FGRAMPH1_01T18899</t>
  </si>
  <si>
    <t>FGRAMPH1_01T05025</t>
  </si>
  <si>
    <t>transferase activity, transferring aldehyde or ketonic groups</t>
  </si>
  <si>
    <t>FGRAMPH1_01T02707;FGRAMPH1_01T07031;FGRAMPH1_01T10663</t>
  </si>
  <si>
    <t>FGRAMPH1_01T05043</t>
  </si>
  <si>
    <t>thiamine-containing compound metabolic process</t>
  </si>
  <si>
    <t>FGRAMPH1_01T05203</t>
  </si>
  <si>
    <t>thiamine metabolic process</t>
  </si>
  <si>
    <t>FGRAMPH1_01T05417</t>
  </si>
  <si>
    <t>FGRAMPH1_01T25999;FGRAMPH1_01T06783;FGRAMPH1_01T19369</t>
  </si>
  <si>
    <t>FGRAMPH1_01T05439</t>
  </si>
  <si>
    <t>FGRAMPH1_01T05503</t>
  </si>
  <si>
    <t>leucine metabolic process</t>
  </si>
  <si>
    <t>FGRAMPH1_01T05513</t>
  </si>
  <si>
    <t>organonitrogen compound biosynthetic process</t>
  </si>
  <si>
    <t>FGRAMPH1_01T22779;FGRAMPH1_01T22955;FGRAMPH1_01T02707;FGRAMPH1_01T00747;FGRAMPH1_01T11061;FGRAMPH1_01T02889;FGRAMPH1_01T22893;FGRAMPH1_01T23387;FGRAMPH1_01T07687;FGRAMPH1_01T24357;FGRAMPH1_01T03321;FGRAMPH1_01T10007;FGRAMPH1_01T16409;FGRAMPH1_01T17235;FGRAMPH1_01T15571;FGRAMPH1_01T26727;FGRAMPH1_01T04959;FGRAMPH1_01T03209;FGRAMPH1_01T24721;FGRAMPH1_01T07131;FGRAMPH1_01T08663;FGRAMPH1_01T07331;FGRAMPH1_01T02753;FGRAMPH1_01T20565;FGRAMPH1_01T04069;FGRAMPH1_01T03353;FGRAMPH1_01T06515;FGRAMPH1_01T10755;FGRAMPH1_01T05923;FGRAMPH1_01T11989;FGRAMPH1_01T27043;FGRAMPH1_01T19045;FGRAMPH1_01T16933;FGRAMPH1_01T19883;FGRAMPH1_01T18899;FGRAMPH1_01T14555</t>
  </si>
  <si>
    <t>FGRAMPH1_01T05615</t>
  </si>
  <si>
    <t>FGRAMPH1_01T11251;FGRAMPH1_01T22955;FGRAMPH1_01T14001;FGRAMPH1_01T02859;FGRAMPH1_01T00999;FGRAMPH1_01T20847;FGRAMPH1_01T09751;FGRAMPH1_01T02797;FGRAMPH1_01T06783;FGRAMPH1_01T01433;FGRAMPH1_01T03005;FGRAMPH1_01T23755;FGRAMPH1_01T03059;FGRAMPH1_01T26425;FGRAMPH1_01T03321;FGRAMPH1_01T09735;FGRAMPH1_01T06317;FGRAMPH1_01T07977;FGRAMPH1_01T26981;FGRAMPH1_01T16409;FGRAMPH1_01T27043;FGRAMPH1_01T19883;FGRAMPH1_01T18899</t>
  </si>
  <si>
    <t>FGRAMPH1_01T05671</t>
  </si>
  <si>
    <t>aminopeptidase activity</t>
  </si>
  <si>
    <t>FGRAMPH1_01T02551;FGRAMPH1_01T22437;FGRAMPH1_01T27409;FGRAMPH1_01T22507;FGRAMPH1_01T09699</t>
  </si>
  <si>
    <t>FGRAMPH1_01T05857</t>
  </si>
  <si>
    <t>nucleoside phosphate catabolic process</t>
  </si>
  <si>
    <t>FGRAMPH1_01T05891</t>
  </si>
  <si>
    <t>FGRAMPH1_01T03321;FGRAMPH1_01T22955;FGRAMPH1_01T03209;FGRAMPH1_01T27043;FGRAMPH1_01T08663;FGRAMPH1_01T23387;FGRAMPH1_01T19883;FGRAMPH1_01T18899</t>
  </si>
  <si>
    <t>FGRAMPH1_01T05923</t>
  </si>
  <si>
    <t>nucleotide biosynthetic process</t>
  </si>
  <si>
    <t>FGRAMPH1_01T03321;FGRAMPH1_01T22955;FGRAMPH1_01T16409;FGRAMPH1_01T03209;FGRAMPH1_01T27043;FGRAMPH1_01T24721;FGRAMPH1_01T08663;FGRAMPH1_01T23387;FGRAMPH1_01T19883;FGRAMPH1_01T18899</t>
  </si>
  <si>
    <t>FGRAMPH1_01T06011</t>
  </si>
  <si>
    <t>FGRAMPH1_01T05203;FGRAMPH1_01T14707;FGRAMPH1_01T11989;FGRAMPH1_01T14705;FGRAMPH1_01T15989;FGRAMPH1_01T14071;FGRAMPH1_01T19883</t>
  </si>
  <si>
    <t>FGRAMPH1_01T06029</t>
  </si>
  <si>
    <t>FGRAMPH1_01T06039</t>
  </si>
  <si>
    <t>ribose phosphate biosynthetic process</t>
  </si>
  <si>
    <t>FGRAMPH1_01T06077</t>
  </si>
  <si>
    <t>ribonucleotide biosynthetic process</t>
  </si>
  <si>
    <t>FGRAMPH1_01T06139</t>
  </si>
  <si>
    <t>FGRAMPH1_01T03321;FGRAMPH1_01T10605;FGRAMPH1_01T00131;FGRAMPH1_01T22955;FGRAMPH1_01T26981;FGRAMPH1_01T00747;FGRAMPH1_01T16409;FGRAMPH1_01T27043;FGRAMPH1_01T18195;FGRAMPH1_01T19883;FGRAMPH1_01T18899</t>
  </si>
  <si>
    <t>FGRAMPH1_01T06143</t>
  </si>
  <si>
    <t>FGRAMPH1_01T18897;FGRAMPH1_01T17301;FGRAMPH1_01T21505;FGRAMPH1_01T02707;FGRAMPH1_01T20513;FGRAMPH1_01T09063;FGRAMPH1_01T18195;FGRAMPH1_01T22893;FGRAMPH1_01T03831;FGRAMPH1_01T07543;FGRAMPH1_01T20475;FGRAMPH1_01T22577;FGRAMPH1_01T09879;FGRAMPH1_01T12449;FGRAMPH1_01T16409;FGRAMPH1_01T17639;FGRAMPH1_01T11997;FGRAMPH1_01T16769;FGRAMPH1_01T13671;FGRAMPH1_01T16123;FGRAMPH1_01T00539;FGRAMPH1_01T17197;FGRAMPH1_01T09075;FGRAMPH1_01T03625;FGRAMPH1_01T03447;FGRAMPH1_01T26169;FGRAMPH1_01T03169;FGRAMPH1_01T09731;FGRAMPH1_01T12835;FGRAMPH1_01T26395;FGRAMPH1_01T17529;FGRAMPH1_01T18519;FGRAMPH1_01T19883</t>
  </si>
  <si>
    <t>FGRAMPH1_01T06159</t>
  </si>
  <si>
    <t>FGRAMPH1_01T03321;FGRAMPH1_01T22955;FGRAMPH1_01T27043;FGRAMPH1_01T08663;FGRAMPH1_01T23387;FGRAMPH1_01T19883;FGRAMPH1_01T18899</t>
  </si>
  <si>
    <t>FGRAMPH1_01T06173</t>
  </si>
  <si>
    <t>purine ribonucleoside monophosphate biosynthetic process</t>
  </si>
  <si>
    <t>FGRAMPH1_01T06317</t>
  </si>
  <si>
    <t>nucleoside phosphate biosynthetic process</t>
  </si>
  <si>
    <t>FGRAMPH1_01T06423</t>
  </si>
  <si>
    <t>FGRAMPH1_01T06425</t>
  </si>
  <si>
    <t>uridylyltransferase activity</t>
  </si>
  <si>
    <t>FGRAMPH1_01T02183;FGRAMPH1_01T18471</t>
  </si>
  <si>
    <t>FGRAMPH1_01T06495</t>
  </si>
  <si>
    <t>valine biosynthetic process</t>
  </si>
  <si>
    <t>FGRAMPH1_01T02707;FGRAMPH1_01T07331</t>
  </si>
  <si>
    <t>FGRAMPH1_01T06515</t>
  </si>
  <si>
    <t>dihydroxy-acid dehydratase activity</t>
  </si>
  <si>
    <t>FGRAMPH1_01T06515;FGRAMPH1_01T04959</t>
  </si>
  <si>
    <t>FGRAMPH1_01T06575</t>
  </si>
  <si>
    <t>FGRAMPH1_01T06693</t>
  </si>
  <si>
    <t>FGRAMPH1_01T02707;FGRAMPH1_01T13671;FGRAMPH1_01T16123;FGRAMPH1_01T09075;FGRAMPH1_01T18195;FGRAMPH1_01T03831;FGRAMPH1_01T26169;FGRAMPH1_01T00143;FGRAMPH1_01T09731;FGRAMPH1_01T22577;FGRAMPH1_01T16409;FGRAMPH1_01T26395;FGRAMPH1_01T11997</t>
  </si>
  <si>
    <t>FGRAMPH1_01T06739</t>
  </si>
  <si>
    <t>organophosphate biosynthetic process</t>
  </si>
  <si>
    <t>FGRAMPH1_01T22955;FGRAMPH1_01T03209;FGRAMPH1_01T24721;FGRAMPH1_01T08663;FGRAMPH1_01T23387;FGRAMPH1_01T03321;FGRAMPH1_01T06879;FGRAMPH1_01T16409;FGRAMPH1_01T27043;FGRAMPH1_01T10621;FGRAMPH1_01T16933;FGRAMPH1_01T19883;FGRAMPH1_01T18899</t>
  </si>
  <si>
    <t>FGRAMPH1_01T06751</t>
  </si>
  <si>
    <t>nucleoside monophosphate biosynthetic process</t>
  </si>
  <si>
    <t>FGRAMPH1_01T06779</t>
  </si>
  <si>
    <t>energy derivation by oxidation of organic compounds</t>
  </si>
  <si>
    <t>FGRAMPH1_01T10605;FGRAMPH1_01T10639;FGRAMPH1_01T17343;FGRAMPH1_01T06011;FGRAMPH1_01T14985;FGRAMPH1_01T23269</t>
  </si>
  <si>
    <t>FGRAMPH1_01T06783</t>
  </si>
  <si>
    <t>FGRAMPH1_01T17301;FGRAMPH1_01T17343;FGRAMPH1_01T19749;FGRAMPH1_01T00129;FGRAMPH1_01T09063;FGRAMPH1_01T09025;FGRAMPH1_01T27823;FGRAMPH1_01T06011;FGRAMPH1_01T14071;FGRAMPH1_01T00145;FGRAMPH1_01T01651;FGRAMPH1_01T23269;FGRAMPH1_01T25303;FGRAMPH1_01T02771;FGRAMPH1_01T10605;FGRAMPH1_01T00131;FGRAMPH1_01T09735;FGRAMPH1_01T09879;FGRAMPH1_01T12449;FGRAMPH1_01T11835;FGRAMPH1_01T13859;FGRAMPH1_01T14705;FGRAMPH1_01T16647;FGRAMPH1_01T12189;FGRAMPH1_01T14985;FGRAMPH1_01T13671;FGRAMPH1_01T00539;FGRAMPH1_01T13071;FGRAMPH1_01T09751;FGRAMPH1_01T03169;FGRAMPH1_01T21311;FGRAMPH1_01T23853;FGRAMPH1_01T10639;FGRAMPH1_01T10755;FGRAMPH1_01T10657;FGRAMPH1_01T11989;FGRAMPH1_01T15989;FGRAMPH1_01T17529;FGRAMPH1_01T19883;FGRAMPH1_01T12233</t>
  </si>
  <si>
    <t>FGRAMPH1_01T06807</t>
  </si>
  <si>
    <t>FGRAMPH1_01T03321;FGRAMPH1_01T00131;FGRAMPH1_01T26727;FGRAMPH1_01T01433</t>
  </si>
  <si>
    <t>FGRAMPH1_01T06811</t>
  </si>
  <si>
    <t>regulation of neurotransmitter levels</t>
  </si>
  <si>
    <t>FGRAMPH1_01T09735;FGRAMPH1_01T02859;FGRAMPH1_01T18195;FGRAMPH1_01T09731</t>
  </si>
  <si>
    <t>FGRAMPH1_01T06855</t>
  </si>
  <si>
    <t>neurotransmitter metabolic process</t>
  </si>
  <si>
    <t>FGRAMPH1_01T06879</t>
  </si>
  <si>
    <t>FGRAMPH1_01T27793;FGRAMPH1_01T10707;FGRAMPH1_01T26705;FGRAMPH1_01T11109;FGRAMPH1_01T20155</t>
  </si>
  <si>
    <t>FGRAMPH1_01T06915</t>
  </si>
  <si>
    <t>FGRAMPH1_01T03321;FGRAMPH1_01T00131;FGRAMPH1_01T22955;FGRAMPH1_01T00747;FGRAMPH1_01T27043;FGRAMPH1_01T19883;FGRAMPH1_01T18899</t>
  </si>
  <si>
    <t>FGRAMPH1_01T06919</t>
  </si>
  <si>
    <t>FGRAMPH1_01T09735;FGRAMPH1_01T02859;FGRAMPH1_01T16409;FGRAMPH1_01T09751;FGRAMPH1_01T23755</t>
  </si>
  <si>
    <t>FGRAMPH1_01T07031</t>
  </si>
  <si>
    <t>thiamine pyrophosphate binding</t>
  </si>
  <si>
    <t>FGRAMPH1_01T02707;FGRAMPH1_01T26169;FGRAMPH1_01T22577</t>
  </si>
  <si>
    <t>FGRAMPH1_01T07089</t>
  </si>
  <si>
    <t>FGRAMPH1_01T07095</t>
  </si>
  <si>
    <t>FGRAMPH1_01T10639;FGRAMPH1_01T11989;FGRAMPH1_01T16409;FGRAMPH1_01T06011;FGRAMPH1_01T03831</t>
  </si>
  <si>
    <t>FGRAMPH1_01T07111</t>
  </si>
  <si>
    <t>FGRAMPH1_01T04371;FGRAMPH1_01T04967</t>
  </si>
  <si>
    <t>FGRAMPH1_01T07113</t>
  </si>
  <si>
    <t>FGRAMPH1_01T14985;FGRAMPH1_01T23269</t>
  </si>
  <si>
    <t>FGRAMPH1_01T07131</t>
  </si>
  <si>
    <t>ketone catabolic process</t>
  </si>
  <si>
    <t>FGRAMPH1_01T26981;FGRAMPH1_01T16409</t>
  </si>
  <si>
    <t>FGRAMPH1_01T07157</t>
  </si>
  <si>
    <t>FGRAMPH1_01T25999;FGRAMPH1_01T19369</t>
  </si>
  <si>
    <t>FGRAMPH1_01T07197</t>
  </si>
  <si>
    <t>FGRAMPH1_01T07305</t>
  </si>
  <si>
    <t>FGRAMPH1_01T07331</t>
  </si>
  <si>
    <t>FGRAMPH1_01T18897;FGRAMPH1_01T17301;FGRAMPH1_01T21505;FGRAMPH1_01T02707;FGRAMPH1_01T17343;FGRAMPH1_01T20513;FGRAMPH1_01T00747;FGRAMPH1_01T00129;FGRAMPH1_01T09063;FGRAMPH1_01T18195;FGRAMPH1_01T22893;FGRAMPH1_01T09067;FGRAMPH1_01T03831;FGRAMPH1_01T07543;FGRAMPH1_01T00143;FGRAMPH1_01T20475;FGRAMPH1_01T22577;FGRAMPH1_01T03179;FGRAMPH1_01T25303;FGRAMPH1_01T09879;FGRAMPH1_01T12449;FGRAMPH1_01T11835;FGRAMPH1_01T16409;FGRAMPH1_01T13859;FGRAMPH1_01T17639;FGRAMPH1_01T11997;FGRAMPH1_01T16769;FGRAMPH1_01T13671;FGRAMPH1_01T16123;FGRAMPH1_01T00539;FGRAMPH1_01T26727;FGRAMPH1_01T17197;FGRAMPH1_01T09075;FGRAMPH1_01T03625;FGRAMPH1_01T03447;FGRAMPH1_01T26169;FGRAMPH1_01T03169;FGRAMPH1_01T09731;FGRAMPH1_01T12835;FGRAMPH1_01T09927;FGRAMPH1_01T26395;FGRAMPH1_01T17529;FGRAMPH1_01T18519;FGRAMPH1_01T19883</t>
  </si>
  <si>
    <t>FGRAMPH1_01T07361</t>
  </si>
  <si>
    <t>FGRAMPH1_01T14285;FGRAMPH1_01T22955;FGRAMPH1_01T17343;FGRAMPH1_01T01867;FGRAMPH1_01T03209;FGRAMPH1_01T24721;FGRAMPH1_01T08663;FGRAMPH1_01T23387;FGRAMPH1_01T24349;FGRAMPH1_01T01501;FGRAMPH1_01T01971;FGRAMPH1_01T23721;FGRAMPH1_01T02771;FGRAMPH1_01T03321;FGRAMPH1_01T06879;FGRAMPH1_01T16409;FGRAMPH1_01T27043;FGRAMPH1_01T10663;FGRAMPH1_01T10621;FGRAMPH1_01T16933;FGRAMPH1_01T19883;FGRAMPH1_01T11453;FGRAMPH1_01T18899</t>
  </si>
  <si>
    <t>FGRAMPH1_01T07385</t>
  </si>
  <si>
    <t>FGRAMPH1_01T07453</t>
  </si>
  <si>
    <t>FGRAMPH1_01T11989;FGRAMPH1_01T09927;FGRAMPH1_01T07687;FGRAMPH1_01T24357</t>
  </si>
  <si>
    <t>FGRAMPH1_01T07463</t>
  </si>
  <si>
    <t>FGRAMPH1_01T15463;FGRAMPH1_01T22437;FGRAMPH1_01T27409;FGRAMPH1_01T18253;FGRAMPH1_01T04967;FGRAMPH1_01T21387;FGRAMPH1_01T04129;FGRAMPH1_01T23287;FGRAMPH1_01T21423;FGRAMPH1_01T27523;FGRAMPH1_01T23721;FGRAMPH1_01T06159;FGRAMPH1_01T04971;FGRAMPH1_01T02551;FGRAMPH1_01T04893;FGRAMPH1_01T19195;FGRAMPH1_01T25271;FGRAMPH1_01T04371;FGRAMPH1_01T15813;FGRAMPH1_01T12467;FGRAMPH1_01T13999;FGRAMPH1_01T18845;FGRAMPH1_01T11453;FGRAMPH1_01T21615;FGRAMPH1_01T17057;FGRAMPH1_01T03729;FGRAMPH1_01T17177;FGRAMPH1_01T20847;FGRAMPH1_01T22507;FGRAMPH1_01T18141;FGRAMPH1_01T24721;FGRAMPH1_01T23755;FGRAMPH1_01T25059;FGRAMPH1_01T26425;FGRAMPH1_01T26199;FGRAMPH1_01T06317;FGRAMPH1_01T08857;FGRAMPH1_01T11823;FGRAMPH1_01T10377;FGRAMPH1_01T10379;FGRAMPH1_01T14417;FGRAMPH1_01T14613;FGRAMPH1_01T13883;FGRAMPH1_01T17845;FGRAMPH1_01T21889;FGRAMPH1_01T20039;FGRAMPH1_01T23387;FGRAMPH1_01T03413;FGRAMPH1_01T01433;FGRAMPH1_01T03059;FGRAMPH1_01T22335;FGRAMPH1_01T04103;FGRAMPH1_01T26067;FGRAMPH1_01T07977;FGRAMPH1_01T07619;FGRAMPH1_01T16409;FGRAMPH1_01T14985;FGRAMPH1_01T14285;FGRAMPH1_01T11251;FGRAMPH1_01T14001;FGRAMPH1_01T00999;FGRAMPH1_01T24469;FGRAMPH1_01T02733;FGRAMPH1_01T21153;FGRAMPH1_01T07793;FGRAMPH1_01T06783;FGRAMPH1_01T09699;FGRAMPH1_01T12937;FGRAMPH1_01T26211;FGRAMPH1_01T12939;FGRAMPH1_01T27185;FGRAMPH1_01T00281;FGRAMPH1_01T12655;FGRAMPH1_01T14555</t>
  </si>
  <si>
    <t>FGRAMPH1_01T07543</t>
  </si>
  <si>
    <t>carbohydrate derivative metabolic process</t>
  </si>
  <si>
    <t>FGRAMPH1_01T22955;FGRAMPH1_01T17343;FGRAMPH1_01T03209;FGRAMPH1_01T20847;FGRAMPH1_01T08663;FGRAMPH1_01T23387;FGRAMPH1_01T01501;FGRAMPH1_01T23721;FGRAMPH1_01T02771;FGRAMPH1_01T03321;FGRAMPH1_01T10007;FGRAMPH1_01T27043;FGRAMPH1_01T10663;FGRAMPH1_01T15407;FGRAMPH1_01T19883;FGRAMPH1_01T11453;FGRAMPH1_01T18899</t>
  </si>
  <si>
    <t>FGRAMPH1_01T07577</t>
  </si>
  <si>
    <t>glycine metabolic process</t>
  </si>
  <si>
    <t>FGRAMPH1_01T09735;FGRAMPH1_01T02859;FGRAMPH1_01T09731</t>
  </si>
  <si>
    <t>FGRAMPH1_01T07607</t>
  </si>
  <si>
    <t>FGRAMPH1_01T14949;FGRAMPH1_01T22507;FGRAMPH1_01T10751</t>
  </si>
  <si>
    <t>FGRAMPH1_01T07619</t>
  </si>
  <si>
    <t>FGRAMPH1_01T07625</t>
  </si>
  <si>
    <t>fungal-type vacuole</t>
  </si>
  <si>
    <t>FGRAMPH1_01T07665</t>
  </si>
  <si>
    <t>pyrimidine-containing compound biosynthetic process</t>
  </si>
  <si>
    <t>FGRAMPH1_01T04069;FGRAMPH1_01T17235;FGRAMPH1_01T05923;FGRAMPH1_01T14555</t>
  </si>
  <si>
    <t>FGRAMPH1_01T07671</t>
  </si>
  <si>
    <t>FGRAMPH1_01T16123;FGRAMPH1_01T26395;FGRAMPH1_01T18195;FGRAMPH1_01T11997;FGRAMPH1_01T00157</t>
  </si>
  <si>
    <t>FGRAMPH1_01T07687</t>
  </si>
  <si>
    <t>serine family amino acid metabolic process</t>
  </si>
  <si>
    <t>FGRAMPH1_01T09735;FGRAMPH1_01T02859;FGRAMPH1_01T11061;FGRAMPH1_01T09731</t>
  </si>
  <si>
    <t>FGRAMPH1_01T07775</t>
  </si>
  <si>
    <t>FGRAMPH1_01T22955;FGRAMPH1_01T15407;FGRAMPH1_01T18899</t>
  </si>
  <si>
    <t>FGRAMPH1_01T07793</t>
  </si>
  <si>
    <t>FGRAMPH1_01T22437;FGRAMPH1_01T27409;FGRAMPH1_01T17845</t>
  </si>
  <si>
    <t>FGRAMPH1_01T07921</t>
  </si>
  <si>
    <t>FGRAMPH1_01T09735;FGRAMPH1_01T02859;FGRAMPH1_01T16409;FGRAMPH1_01T00999;FGRAMPH1_01T20847;FGRAMPH1_01T09751;FGRAMPH1_01T02797;FGRAMPH1_01T01433;FGRAMPH1_01T03005;FGRAMPH1_01T23755;FGRAMPH1_01T03059;FGRAMPH1_01T26425</t>
  </si>
  <si>
    <t>FGRAMPH1_01T07927</t>
  </si>
  <si>
    <t>FGRAMPH1_01T18897;FGRAMPH1_01T11061;FGRAMPH1_01T03831;FGRAMPH1_01T23721;FGRAMPH1_01T03321;FGRAMPH1_01T04893;FGRAMPH1_01T10007;FGRAMPH1_01T27253;FGRAMPH1_01T11453;FGRAMPH1_01T03209;FGRAMPH1_01T20847;FGRAMPH1_01T07131;FGRAMPH1_01T02753;FGRAMPH1_01T20565;FGRAMPH1_01T26425;FGRAMPH1_01T06317;FGRAMPH1_01T10657;FGRAMPH1_01T11989;FGRAMPH1_01T26395;FGRAMPH1_01T18899;FGRAMPH1_01T15165;FGRAMPH1_01T22779;FGRAMPH1_01T17343;FGRAMPH1_01T00747;FGRAMPH1_01T03737;FGRAMPH1_01T01953;FGRAMPH1_01T02889;FGRAMPH1_01T22893;FGRAMPH1_01T23981;FGRAMPH1_01T01433;FGRAMPH1_01T03059;FGRAMPH1_01T02771;FGRAMPH1_01T26981;FGRAMPH1_01T16409;FGRAMPH1_01T10663;FGRAMPH1_01T11997;FGRAMPH1_01T14985;FGRAMPH1_01T17235;FGRAMPH1_01T11251;FGRAMPH1_01T14001;FGRAMPH1_01T15571;FGRAMPH1_01T26727;FGRAMPH1_01T04959;FGRAMPH1_01T00999;FGRAMPH1_01T25999;FGRAMPH1_01T09731;FGRAMPH1_01T03353;FGRAMPH1_01T05923;FGRAMPH1_01T16933;FGRAMPH1_01T19883;FGRAMPH1_01T19369;FGRAMPH1_01T22955;FGRAMPH1_01T02707;FGRAMPH1_01T01971;FGRAMPH1_01T05025;FGRAMPH1_01T07687;FGRAMPH1_01T10605;FGRAMPH1_01T00131;FGRAMPH1_01T09735;FGRAMPH1_01T17015;FGRAMPH1_01T01867;FGRAMPH1_01T09075;FGRAMPH1_01T09751;FGRAMPH1_01T24721;FGRAMPH1_01T08663;FGRAMPH1_01T01501;FGRAMPH1_01T07331;FGRAMPH1_01T02797;FGRAMPH1_01T03005;FGRAMPH1_01T23755;FGRAMPH1_01T04069;FGRAMPH1_01T06515;FGRAMPH1_01T06879;FGRAMPH1_01T27043;FGRAMPH1_01T17301;FGRAMPH1_01T18355;FGRAMPH1_01T18195;FGRAMPH1_01T06011;FGRAMPH1_01T23387;FGRAMPH1_01T23269;FGRAMPH1_01T24357;FGRAMPH1_01T14949;FGRAMPH1_01T13859;FGRAMPH1_01T10621;FGRAMPH1_01T23815;FGRAMPH1_01T14285;FGRAMPH1_01T02859;FGRAMPH1_01T24469;FGRAMPH1_01T24349;FGRAMPH1_01T03029;FGRAMPH1_01T06783;FGRAMPH1_01T00157;FGRAMPH1_01T07113;FGRAMPH1_01T10639;FGRAMPH1_01T10755;FGRAMPH1_01T10993;FGRAMPH1_01T15407;FGRAMPH1_01T19045;FGRAMPH1_01T14555</t>
  </si>
  <si>
    <t>FGRAMPH1_01T07929</t>
  </si>
  <si>
    <t>FGRAMPH1_01T07977</t>
  </si>
  <si>
    <t>beta-galactosidase complex</t>
  </si>
  <si>
    <t>FGRAMPH1_01T00281;FGRAMPH1_01T12467</t>
  </si>
  <si>
    <t>FGRAMPH1_01T08075</t>
  </si>
  <si>
    <t>FGRAMPH1_01T08305</t>
  </si>
  <si>
    <t>racemase and epimerase activity, acting on carbohydrates and derivatives</t>
  </si>
  <si>
    <t>FGRAMPH1_01T18519;FGRAMPH1_01T01501</t>
  </si>
  <si>
    <t>FGRAMPH1_01T08647</t>
  </si>
  <si>
    <t>negative regulation of cytoskeleton organization</t>
  </si>
  <si>
    <t>FGRAMPH1_01T03033;FGRAMPH1_01T26307</t>
  </si>
  <si>
    <t>FGRAMPH1_01T08663</t>
  </si>
  <si>
    <t>negative regulation of supramolecular fiber organization</t>
  </si>
  <si>
    <t>FGRAMPH1_01T08675</t>
  </si>
  <si>
    <t>CoA hydrolase activity</t>
  </si>
  <si>
    <t>FGRAMPH1_01T23755;FGRAMPH1_01T11453</t>
  </si>
  <si>
    <t>FGRAMPH1_01T08845</t>
  </si>
  <si>
    <t>FGRAMPH1_01T08857</t>
  </si>
  <si>
    <t>FGRAMPH1_01T09025</t>
  </si>
  <si>
    <t>cellular polysaccharide biosynthetic process</t>
  </si>
  <si>
    <t>glucan biosynthetic process</t>
  </si>
  <si>
    <t>monosaccharide biosynthetic process</t>
  </si>
  <si>
    <t>FGRAMPH1_01T22955;FGRAMPH1_01T18899</t>
  </si>
  <si>
    <t>hexose biosynthetic process</t>
  </si>
  <si>
    <t>gluconeogenesis</t>
  </si>
  <si>
    <t>sulfur compound binding</t>
  </si>
  <si>
    <t>FGRAMPH1_01T09077</t>
  </si>
  <si>
    <t>glutathione metabolic process</t>
  </si>
  <si>
    <t>FGRAMPH1_01T17301;FGRAMPH1_01T26981;FGRAMPH1_01T07131</t>
  </si>
  <si>
    <t>FGRAMPH1_01T09187</t>
  </si>
  <si>
    <t>vacuole</t>
  </si>
  <si>
    <t>FGRAMPH1_01T14949;FGRAMPH1_01T22507;FGRAMPH1_01T10751;FGRAMPH1_01T03029</t>
  </si>
  <si>
    <t>FGRAMPH1_01T09329</t>
  </si>
  <si>
    <t>FGRAMPH1_01T16123;FGRAMPH1_01T16409;FGRAMPH1_01T09075;FGRAMPH1_01T26395;FGRAMPH1_01T18195;FGRAMPH1_01T11997;FGRAMPH1_01T03831;FGRAMPH1_01T09731</t>
  </si>
  <si>
    <t>FGRAMPH1_01T09435</t>
  </si>
  <si>
    <t>FGRAMPH1_01T09663</t>
  </si>
  <si>
    <t>FGRAMPH1_01T03321;FGRAMPH1_01T02707;FGRAMPH1_01T03209;FGRAMPH1_01T22893;FGRAMPH1_01T26169;FGRAMPH1_01T22577</t>
  </si>
  <si>
    <t>FGRAMPH1_01T09671</t>
  </si>
  <si>
    <t>carbohydrate derivative biosynthetic process</t>
  </si>
  <si>
    <t>FGRAMPH1_01T03321;FGRAMPH1_01T22955;FGRAMPH1_01T10007;FGRAMPH1_01T03209;FGRAMPH1_01T27043;FGRAMPH1_01T15407;FGRAMPH1_01T08663;FGRAMPH1_01T23387;FGRAMPH1_01T19883;FGRAMPH1_01T18899</t>
  </si>
  <si>
    <t>FGRAMPH1_01T09699</t>
  </si>
  <si>
    <t>oxidoreductase activity, acting on the CH-NH group of donors, NAD or NADP as acceptor</t>
  </si>
  <si>
    <t>FGRAMPH1_01T11989;FGRAMPH1_01T07687;FGRAMPH1_01T24357</t>
  </si>
  <si>
    <t>FGRAMPH1_01T09707</t>
  </si>
  <si>
    <t>FGRAMPH1_01T03321;FGRAMPH1_01T10639;FGRAMPH1_01T06515;FGRAMPH1_01T26727;FGRAMPH1_01T04959</t>
  </si>
  <si>
    <t>FGRAMPH1_01T09731</t>
  </si>
  <si>
    <t>FGRAMPH1_01T17301;FGRAMPH1_01T26981;FGRAMPH1_01T07131;FGRAMPH1_01T09731;FGRAMPH1_01T07687</t>
  </si>
  <si>
    <t>FGRAMPH1_01T09735</t>
  </si>
  <si>
    <t>racemase and epimerase activity</t>
  </si>
  <si>
    <t>FGRAMPH1_01T09741</t>
  </si>
  <si>
    <t>peroxisomal membrane transport</t>
  </si>
  <si>
    <t>FGRAMPH1_01T01679;FGRAMPH1_01T26425</t>
  </si>
  <si>
    <t>FGRAMPH1_01T09745</t>
  </si>
  <si>
    <t>protein import into peroxisome matrix</t>
  </si>
  <si>
    <t>FGRAMPH1_01T09751</t>
  </si>
  <si>
    <t>isoleucine biosynthetic process</t>
  </si>
  <si>
    <t>FGRAMPH1_01T09755</t>
  </si>
  <si>
    <t>phosphogluconate dehydrogenase (decarboxylating) activity</t>
  </si>
  <si>
    <t>FGRAMPH1_01T02771;FGRAMPH1_01T17529</t>
  </si>
  <si>
    <t>FGRAMPH1_01T09781</t>
  </si>
  <si>
    <t>serine family amino acid catabolic process</t>
  </si>
  <si>
    <t>FGRAMPH1_01T09735;FGRAMPH1_01T02859</t>
  </si>
  <si>
    <t>FGRAMPH1_01T09879</t>
  </si>
  <si>
    <t>glycine catabolic process</t>
  </si>
  <si>
    <t>FGRAMPH1_01T09923</t>
  </si>
  <si>
    <t>FGRAMPH1_01T19369;FGRAMPH1_01T23269</t>
  </si>
  <si>
    <t>FGRAMPH1_01T09927</t>
  </si>
  <si>
    <t>FGRAMPH1_01T09955</t>
  </si>
  <si>
    <t>FGRAMPH1_01T25059;FGRAMPH1_01T22335</t>
  </si>
  <si>
    <t>FGRAMPH1_01T09987</t>
  </si>
  <si>
    <t>FGRAMPH1_01T10003</t>
  </si>
  <si>
    <t>FGRAMPH1_01T10007</t>
  </si>
  <si>
    <t>FGRAMPH1_01T00999;FGRAMPH1_01T02797;FGRAMPH1_01T01433;FGRAMPH1_01T03005;FGRAMPH1_01T03059;FGRAMPH1_01T26425</t>
  </si>
  <si>
    <t>FGRAMPH1_01T10061</t>
  </si>
  <si>
    <t>FGRAMPH1_01T10137</t>
  </si>
  <si>
    <t>FGRAMPH1_01T09735;FGRAMPH1_01T02859;FGRAMPH1_01T13859;FGRAMPH1_01T20847;FGRAMPH1_01T09751</t>
  </si>
  <si>
    <t>FGRAMPH1_01T10169</t>
  </si>
  <si>
    <t>FGRAMPH1_01T18521;FGRAMPH1_01T10657;FGRAMPH1_01T00779;FGRAMPH1_01T13859</t>
  </si>
  <si>
    <t>FGRAMPH1_01T10201</t>
  </si>
  <si>
    <t>methionine biosynthetic process</t>
  </si>
  <si>
    <t>FGRAMPH1_01T10007;FGRAMPH1_01T11061;FGRAMPH1_01T20565</t>
  </si>
  <si>
    <t>FGRAMPH1_01T10219</t>
  </si>
  <si>
    <t>FGRAMPH1_01T10319</t>
  </si>
  <si>
    <t>FGRAMPH1_01T15165;FGRAMPH1_01T22955;FGRAMPH1_01T00747;FGRAMPH1_01T02889;FGRAMPH1_01T23387;FGRAMPH1_01T05025;FGRAMPH1_01T07687;FGRAMPH1_01T24357;FGRAMPH1_01T03321;FGRAMPH1_01T04893;FGRAMPH1_01T10007;FGRAMPH1_01T16409;FGRAMPH1_01T27253;FGRAMPH1_01T17235;FGRAMPH1_01T03209;FGRAMPH1_01T24721;FGRAMPH1_01T08663;FGRAMPH1_01T07113;FGRAMPH1_01T04069;FGRAMPH1_01T03353;FGRAMPH1_01T10755;FGRAMPH1_01T05923;FGRAMPH1_01T11989;FGRAMPH1_01T27043;FGRAMPH1_01T15407;FGRAMPH1_01T16933;FGRAMPH1_01T19883;FGRAMPH1_01T18899;FGRAMPH1_01T14555</t>
  </si>
  <si>
    <t>FGRAMPH1_01T10377</t>
  </si>
  <si>
    <t>FGRAMPH1_01T03321;FGRAMPH1_01T22955;FGRAMPH1_01T16409;FGRAMPH1_01T27043;FGRAMPH1_01T09751;FGRAMPH1_01T19883;FGRAMPH1_01T18899</t>
  </si>
  <si>
    <t>FGRAMPH1_01T10379</t>
  </si>
  <si>
    <t>FGRAMPH1_01T06317;FGRAMPH1_01T14985;FGRAMPH1_01T23269</t>
  </si>
  <si>
    <t>FGRAMPH1_01T10547</t>
  </si>
  <si>
    <t>FGRAMPH1_01T10573</t>
  </si>
  <si>
    <t>FGRAMPH1_01T10581</t>
  </si>
  <si>
    <t>FGRAMPH1_01T16409;FGRAMPH1_01T19045;FGRAMPH1_01T24469</t>
  </si>
  <si>
    <t>FGRAMPH1_01T10605</t>
  </si>
  <si>
    <t>FGRAMPH1_01T10621</t>
  </si>
  <si>
    <t>FGRAMPH1_01T09735;FGRAMPH1_01T26981;FGRAMPH1_01T02859;FGRAMPH1_01T16409;FGRAMPH1_01T09751;FGRAMPH1_01T23755</t>
  </si>
  <si>
    <t>FGRAMPH1_01T10639</t>
  </si>
  <si>
    <t>isoleucine metabolic process</t>
  </si>
  <si>
    <t>FGRAMPH1_01T10657</t>
  </si>
  <si>
    <t>FGRAMPH1_01T11989;FGRAMPH1_01T03831</t>
  </si>
  <si>
    <t>FGRAMPH1_01T10663</t>
  </si>
  <si>
    <t>FGRAMPH1_01T18897;FGRAMPH1_01T06879</t>
  </si>
  <si>
    <t>FGRAMPH1_01T10671</t>
  </si>
  <si>
    <t>cellular response to oxidative stress</t>
  </si>
  <si>
    <t>FGRAMPH1_01T18521;FGRAMPH1_01T10657</t>
  </si>
  <si>
    <t>FGRAMPH1_01T10697</t>
  </si>
  <si>
    <t>thiolester hydrolase activity</t>
  </si>
  <si>
    <t>FGRAMPH1_01T10705</t>
  </si>
  <si>
    <t>FGRAMPH1_01T11989;FGRAMPH1_01T24357</t>
  </si>
  <si>
    <t>FGRAMPH1_01T10707</t>
  </si>
  <si>
    <t>endosomal transport</t>
  </si>
  <si>
    <t>FGRAMPH1_01T26705;FGRAMPH1_01T20155</t>
  </si>
  <si>
    <t>FGRAMPH1_01T10719</t>
  </si>
  <si>
    <t>FGRAMPH1_01T23387;FGRAMPH1_01T23721</t>
  </si>
  <si>
    <t>FGRAMPH1_01T10751</t>
  </si>
  <si>
    <t>oxidoreductase activity, acting on NAD(P)H</t>
  </si>
  <si>
    <t>FGRAMPH1_01T17301;FGRAMPH1_01T18521;FGRAMPH1_01T17343;FGRAMPH1_01T02335</t>
  </si>
  <si>
    <t>FGRAMPH1_01T10755</t>
  </si>
  <si>
    <t>cellular respiration</t>
  </si>
  <si>
    <t>FGRAMPH1_01T10605;FGRAMPH1_01T10639;FGRAMPH1_01T17343;FGRAMPH1_01T06011</t>
  </si>
  <si>
    <t>FGRAMPH1_01T10931</t>
  </si>
  <si>
    <t>FGRAMPH1_01T10935</t>
  </si>
  <si>
    <t>FGRAMPH1_01T10993</t>
  </si>
  <si>
    <t>FGRAMPH1_01T11055</t>
  </si>
  <si>
    <t>FGRAMPH1_01T04971;FGRAMPH1_01T14285;FGRAMPH1_01T26211;FGRAMPH1_01T15463;FGRAMPH1_01T07619;FGRAMPH1_01T07793;FGRAMPH1_01T14613</t>
  </si>
  <si>
    <t>FGRAMPH1_01T11061</t>
  </si>
  <si>
    <t>FGRAMPH1_01T17069;FGRAMPH1_01T22779;FGRAMPH1_01T02707;FGRAMPH1_01T00747;FGRAMPH1_01T03737;FGRAMPH1_01T11061;FGRAMPH1_01T00127;FGRAMPH1_01T02889;FGRAMPH1_01T18471;FGRAMPH1_01T18195;FGRAMPH1_01T23981;FGRAMPH1_01T01971;FGRAMPH1_01T23269;FGRAMPH1_01T10605;FGRAMPH1_01T00131;FGRAMPH1_01T02791;FGRAMPH1_01T10007;FGRAMPH1_01T04271;FGRAMPH1_01T10663;FGRAMPH1_01T10621;FGRAMPH1_01T11997;FGRAMPH1_01T14449;FGRAMPH1_01T14985;FGRAMPH1_01T23815;FGRAMPH1_01T09073;FGRAMPH1_01T17015;FGRAMPH1_01T16123;FGRAMPH1_01T02859;FGRAMPH1_01T19915;FGRAMPH1_01T01867;FGRAMPH1_01T07031;FGRAMPH1_01T00779;FGRAMPH1_01T03209;FGRAMPH1_01T26927;FGRAMPH1_01T00633;FGRAMPH1_01T03327;FGRAMPH1_01T24349;FGRAMPH1_01T20565;FGRAMPH1_01T00157;FGRAMPH1_01T24003;FGRAMPH1_01T09731;FGRAMPH1_01T07305;FGRAMPH1_01T02183;FGRAMPH1_01T25185;FGRAMPH1_01T26395;FGRAMPH1_01T27043;FGRAMPH1_01T19369;FGRAMPH1_01T14555</t>
  </si>
  <si>
    <t>FGRAMPH1_01T11085</t>
  </si>
  <si>
    <t>methionine metabolic process</t>
  </si>
  <si>
    <t>FGRAMPH1_01T11109</t>
  </si>
  <si>
    <t>FGRAMPH1_01T10605;FGRAMPH1_01T10639;FGRAMPH1_01T13859;FGRAMPH1_01T06011</t>
  </si>
  <si>
    <t>FGRAMPH1_01T11187</t>
  </si>
  <si>
    <t>peroxisomal transport</t>
  </si>
  <si>
    <t>FGRAMPH1_01T11237</t>
  </si>
  <si>
    <t>protein localization to peroxisome</t>
  </si>
  <si>
    <t>FGRAMPH1_01T11251</t>
  </si>
  <si>
    <t>establishment of protein localization to peroxisome</t>
  </si>
  <si>
    <t>FGRAMPH1_01T11295</t>
  </si>
  <si>
    <t>protein targeting to peroxisome</t>
  </si>
  <si>
    <t>FGRAMPH1_01T11359</t>
  </si>
  <si>
    <t>neurotransmitter catabolic process</t>
  </si>
  <si>
    <t>FGRAMPH1_01T11367</t>
  </si>
  <si>
    <t>FGRAMPH1_01T14285;FGRAMPH1_01T07619</t>
  </si>
  <si>
    <t>FGRAMPH1_01T11371</t>
  </si>
  <si>
    <t>FGRAMPH1_01T10751;FGRAMPH1_01T26989</t>
  </si>
  <si>
    <t>FGRAMPH1_01T11453</t>
  </si>
  <si>
    <t>proton-exporting ATPase activity</t>
  </si>
  <si>
    <t>FGRAMPH1_01T11511</t>
  </si>
  <si>
    <t>FGRAMPH1_01T09065;FGRAMPH1_01T24721;FGRAMPH1_01T21035;FGRAMPH1_01T12799;FGRAMPH1_01T10573;FGRAMPH1_01T07687</t>
  </si>
  <si>
    <t>FGRAMPH1_01T11667</t>
  </si>
  <si>
    <t>cis-trans isomerase activity</t>
  </si>
  <si>
    <t>FGRAMPH1_01T26507;FGRAMPH1_01T24825;FGRAMPH1_01T01953</t>
  </si>
  <si>
    <t>FGRAMPH1_01T11693</t>
  </si>
  <si>
    <t>peptidyl-prolyl cis-trans isomerase activity</t>
  </si>
  <si>
    <t>FGRAMPH1_01T11713</t>
  </si>
  <si>
    <t>tricarboxylic acid metabolic process</t>
  </si>
  <si>
    <t>FGRAMPH1_01T10605;FGRAMPH1_01T10639;FGRAMPH1_01T06011</t>
  </si>
  <si>
    <t>FGRAMPH1_01T11823</t>
  </si>
  <si>
    <t>citrate metabolic process</t>
  </si>
  <si>
    <t>aerobic respiration</t>
  </si>
  <si>
    <t>tricarboxylic acid cycle</t>
  </si>
  <si>
    <t>FGRAMPH1_01T11939</t>
  </si>
  <si>
    <t>sulfur amino acid biosynthetic process</t>
  </si>
  <si>
    <t>FGRAMPH1_01T11943</t>
  </si>
  <si>
    <t>FGRAMPH1_01T27793;FGRAMPH1_01T26705;FGRAMPH1_01T20155</t>
  </si>
  <si>
    <t>biotin synthase activity</t>
  </si>
  <si>
    <t>FGRAMPH1_01T11989</t>
  </si>
  <si>
    <t>biotin metabolic process</t>
  </si>
  <si>
    <t>FGRAMPH1_01T11997</t>
  </si>
  <si>
    <t>biotin biosynthetic process</t>
  </si>
  <si>
    <t>FGRAMPH1_01T12019</t>
  </si>
  <si>
    <t>1-phosphatidylinositol-3-phosphate 5-kinase activity</t>
  </si>
  <si>
    <t>FGRAMPH1_01T12095</t>
  </si>
  <si>
    <t>cytosolic proteasome complex</t>
  </si>
  <si>
    <t>FGRAMPH1_01T12097</t>
  </si>
  <si>
    <t>proteasome storage granule</t>
  </si>
  <si>
    <t>FGRAMPH1_01T12189</t>
  </si>
  <si>
    <t>ribulose-phosphate 3-epimerase activity</t>
  </si>
  <si>
    <t>FGRAMPH1_01T12233</t>
  </si>
  <si>
    <t>FGRAMPH1_01T12271</t>
  </si>
  <si>
    <t>riboflavin synthase complex</t>
  </si>
  <si>
    <t>FGRAMPH1_01T12279</t>
  </si>
  <si>
    <t>glucose-6-phosphate dehydrogenase activity</t>
  </si>
  <si>
    <t>FGRAMPH1_01T12297</t>
  </si>
  <si>
    <t>acetate kinase activity</t>
  </si>
  <si>
    <t>FGRAMPH1_01T12299</t>
  </si>
  <si>
    <t>FGRAMPH1_01T12353</t>
  </si>
  <si>
    <t>FGRAMPH1_01T12449</t>
  </si>
  <si>
    <t>uroporphyrinogen decarboxylase activity</t>
  </si>
  <si>
    <t>FGRAMPH1_01T12467</t>
  </si>
  <si>
    <t>FGRAMPH1_01T12477</t>
  </si>
  <si>
    <t>FGRAMPH1_01T12595</t>
  </si>
  <si>
    <t>FGRAMPH1_01T12655</t>
  </si>
  <si>
    <t>cell cortex of cell tip</t>
  </si>
  <si>
    <t>FGRAMPH1_01T12709</t>
  </si>
  <si>
    <t>oxazole or thiazole metabolic process</t>
  </si>
  <si>
    <t>FGRAMPH1_01T12799</t>
  </si>
  <si>
    <t>oxazole or thiazole biosynthetic process</t>
  </si>
  <si>
    <t>FGRAMPH1_01T12835</t>
  </si>
  <si>
    <t>thiazole metabolic process</t>
  </si>
  <si>
    <t>FGRAMPH1_01T12937</t>
  </si>
  <si>
    <t>thiazole biosynthetic process</t>
  </si>
  <si>
    <t>FGRAMPH1_01T12939</t>
  </si>
  <si>
    <t>FGRAMPH1_01T12947</t>
  </si>
  <si>
    <t>FGRAMPH1_01T13071</t>
  </si>
  <si>
    <t>trehalose catabolic process</t>
  </si>
  <si>
    <t>FGRAMPH1_01T13251</t>
  </si>
  <si>
    <t>cAMP-dependent protein kinase regulator activity</t>
  </si>
  <si>
    <t>FGRAMPH1_01T13593</t>
  </si>
  <si>
    <t>cAMP-dependent protein kinase complex</t>
  </si>
  <si>
    <t>FGRAMPH1_01T13595</t>
  </si>
  <si>
    <t>cyclic nucleotide binding</t>
  </si>
  <si>
    <t>FGRAMPH1_01T13635</t>
  </si>
  <si>
    <t>cAMP binding</t>
  </si>
  <si>
    <t>FGRAMPH1_01T13669</t>
  </si>
  <si>
    <t>FGRAMPH1_01T13671</t>
  </si>
  <si>
    <t>FGRAMPH1_01T13677</t>
  </si>
  <si>
    <t>FGRAMPH1_01T13747</t>
  </si>
  <si>
    <t>ketol-acid reductoisomerase activity</t>
  </si>
  <si>
    <t>FGRAMPH1_01T13807</t>
  </si>
  <si>
    <t>formate-tetrahydrofolate ligase activity</t>
  </si>
  <si>
    <t>FGRAMPH1_01T13859</t>
  </si>
  <si>
    <t>non-membrane spanning protein tyrosine phosphatase activity</t>
  </si>
  <si>
    <t>FGRAMPH1_01T13879</t>
  </si>
  <si>
    <t>phosphoribosylaminoimidazole carboxylase activity</t>
  </si>
  <si>
    <t>FGRAMPH1_01T13883</t>
  </si>
  <si>
    <t>oxidoreductase activity, acting on the CH-NH group of donors, quinone or similar compound as acceptor</t>
  </si>
  <si>
    <t>FGRAMPH1_01T13955</t>
  </si>
  <si>
    <t>electron-transferring-flavoprotein dehydrogenase activity</t>
  </si>
  <si>
    <t>FGRAMPH1_01T13999</t>
  </si>
  <si>
    <t>purine-nucleoside phosphorylase activity</t>
  </si>
  <si>
    <t>FGRAMPH1_01T14001</t>
  </si>
  <si>
    <t>S-methyl-5-thioadenosine phosphorylase activity</t>
  </si>
  <si>
    <t>glyoxylate cycle</t>
  </si>
  <si>
    <t>malate synthase activity</t>
  </si>
  <si>
    <t>fumarate hydratase activity</t>
  </si>
  <si>
    <t>FGRAMPH1_01T14187</t>
  </si>
  <si>
    <t>age-dependent response to reactive oxygen species</t>
  </si>
  <si>
    <t>FGRAMPH1_01T14205</t>
  </si>
  <si>
    <t>cellular age-dependent response to reactive oxygen species</t>
  </si>
  <si>
    <t>FGRAMPH1_01T14233</t>
  </si>
  <si>
    <t>age-dependent response to reactive oxygen species involved in chronological cell aging</t>
  </si>
  <si>
    <t>FGRAMPH1_01T14285</t>
  </si>
  <si>
    <t>zinc ion homeostasis</t>
  </si>
  <si>
    <t>FGRAMPH1_01T14325</t>
  </si>
  <si>
    <t>cellular zinc ion homeostasis</t>
  </si>
  <si>
    <t>FGRAMPH1_01T14417</t>
  </si>
  <si>
    <t>fungal-type cell wall organization or biogenesis</t>
  </si>
  <si>
    <t>FGRAMPH1_01T14449</t>
  </si>
  <si>
    <t>fungal-type cell wall organization</t>
  </si>
  <si>
    <t>FGRAMPH1_01T14469</t>
  </si>
  <si>
    <t>regulation of transcription from RNA polymerase II promoter in response to oxidative stress</t>
  </si>
  <si>
    <t>FGRAMPH1_01T14491</t>
  </si>
  <si>
    <t>positive regulation of transcription from RNA polymerase II promoter involved in cellular response to chemical stimulus</t>
  </si>
  <si>
    <t>FGRAMPH1_01T14555</t>
  </si>
  <si>
    <t>positive regulation of transcription from RNA polymerase II promoter in response to oxidative stress</t>
  </si>
  <si>
    <t>FGRAMPH1_01T14613</t>
  </si>
  <si>
    <t>regulation of protein stability</t>
  </si>
  <si>
    <t>FGRAMPH1_01T14627</t>
  </si>
  <si>
    <t>protein stabilization</t>
  </si>
  <si>
    <t>FGRAMPH1_01T14705</t>
  </si>
  <si>
    <t>positive regulation of DNA-binding transcription factor activity</t>
  </si>
  <si>
    <t>FGRAMPH1_01T14707</t>
  </si>
  <si>
    <t>regulation of generation of precursor metabolites and energy</t>
  </si>
  <si>
    <t>FGRAMPH1_01T14717</t>
  </si>
  <si>
    <t>regulation of cellular respiration</t>
  </si>
  <si>
    <t>FGRAMPH1_01T14837</t>
  </si>
  <si>
    <t>negative regulation of cellular respiration</t>
  </si>
  <si>
    <t>FGRAMPH1_01T14927</t>
  </si>
  <si>
    <t>potassium ion antiporter activity</t>
  </si>
  <si>
    <t>FGRAMPH1_01T14949</t>
  </si>
  <si>
    <t>potassium:proton antiporter activity</t>
  </si>
  <si>
    <t>FGRAMPH1_01T14985</t>
  </si>
  <si>
    <t>heme a metabolic process</t>
  </si>
  <si>
    <t>FGRAMPH1_01T15087</t>
  </si>
  <si>
    <t>heme a biosynthetic process</t>
  </si>
  <si>
    <t>FGRAMPH1_01T15165</t>
  </si>
  <si>
    <t>FGRAMPH1_01T15407</t>
  </si>
  <si>
    <t>sulfate adenylyltransferase activity</t>
  </si>
  <si>
    <t>FGRAMPH1_01T15451</t>
  </si>
  <si>
    <t>sulfate adenylyltransferase (ATP) activity</t>
  </si>
  <si>
    <t>FGRAMPH1_01T15463</t>
  </si>
  <si>
    <t>galactokinase activity</t>
  </si>
  <si>
    <t>FGRAMPH1_01T15471</t>
  </si>
  <si>
    <t>phosphomethylpyrimidine kinase activity</t>
  </si>
  <si>
    <t>FGRAMPH1_01T15543</t>
  </si>
  <si>
    <t>thiaminase activity</t>
  </si>
  <si>
    <t>FGRAMPH1_01T15555</t>
  </si>
  <si>
    <t>FGRAMPH1_01T15557</t>
  </si>
  <si>
    <t>FGRAMPH1_01T17057</t>
  </si>
  <si>
    <t>FGRAMPH1_01T15571</t>
  </si>
  <si>
    <t>regulation of mitochondrial membrane potential</t>
  </si>
  <si>
    <t>FGRAMPH1_01T15573</t>
  </si>
  <si>
    <t>FGRAMPH1_01T17235</t>
  </si>
  <si>
    <t>FGRAMPH1_01T15811</t>
  </si>
  <si>
    <t>peptide disulfide oxidoreductase activity</t>
  </si>
  <si>
    <t>FGRAMPH1_01T17301</t>
  </si>
  <si>
    <t>FGRAMPH1_01T15813</t>
  </si>
  <si>
    <t>glutathione disulfide oxidoreductase activity</t>
  </si>
  <si>
    <t>FGRAMPH1_01T15959</t>
  </si>
  <si>
    <t>glutathione-disulfide reductase activity</t>
  </si>
  <si>
    <t>FGRAMPH1_01T15989</t>
  </si>
  <si>
    <t>3-hydroxyisobutyrate dehydrogenase activity</t>
  </si>
  <si>
    <t>FGRAMPH1_01T17529</t>
  </si>
  <si>
    <t>FGRAMPH1_01T16011</t>
  </si>
  <si>
    <t>UDP-glucose:hexose-1-phosphate uridylyltransferase activity</t>
  </si>
  <si>
    <t>FGRAMPH1_01T18471</t>
  </si>
  <si>
    <t>FGRAMPH1_01T16109</t>
  </si>
  <si>
    <t>FGRAMPH1_01T18519</t>
  </si>
  <si>
    <t>FGRAMPH1_01T16123</t>
  </si>
  <si>
    <t>NADPH:quinone reductase activity</t>
  </si>
  <si>
    <t>FGRAMPH1_01T18521</t>
  </si>
  <si>
    <t>FGRAMPH1_01T16141</t>
  </si>
  <si>
    <t>AU-rich element binding</t>
  </si>
  <si>
    <t>FGRAMPH1_01T16317</t>
  </si>
  <si>
    <t>2-alkenal reductase [NAD(P)] activity</t>
  </si>
  <si>
    <t>FGRAMPH1_01T16399</t>
  </si>
  <si>
    <t>mannitol-1-phosphate 5-dehydrogenase activity</t>
  </si>
  <si>
    <t>FGRAMPH1_01T18897</t>
  </si>
  <si>
    <t>FGRAMPH1_01T16403</t>
  </si>
  <si>
    <t>hexitol metabolic process</t>
  </si>
  <si>
    <t>FGRAMPH1_01T16409</t>
  </si>
  <si>
    <t>mannitol metabolic process</t>
  </si>
  <si>
    <t>FGRAMPH1_01T16647</t>
  </si>
  <si>
    <t>glucose-6-phosphate isomerase activity</t>
  </si>
  <si>
    <t>FGRAMPH1_01T18899</t>
  </si>
  <si>
    <t>FGRAMPH1_01T16669</t>
  </si>
  <si>
    <t>alpha,alpha-trehalose-phosphate synthase (UDP-forming) activity</t>
  </si>
  <si>
    <t>FGRAMPH1_01T19369</t>
  </si>
  <si>
    <t>FGRAMPH1_01T16697</t>
  </si>
  <si>
    <t>glyceraldehyde-3-phosphate dehydrogenase (NAD(P)+) (phosphorylating) activity</t>
  </si>
  <si>
    <t>FGRAMPH1_01T19883</t>
  </si>
  <si>
    <t>FGRAMPH1_01T16705</t>
  </si>
  <si>
    <t>glyceraldehyde-3-phosphate dehydrogenase (NAD+) (phosphorylating) activity</t>
  </si>
  <si>
    <t>FGRAMPH1_01T16707</t>
  </si>
  <si>
    <t>TORC2 signaling</t>
  </si>
  <si>
    <t>FGRAMPH1_01T20155</t>
  </si>
  <si>
    <t>FGRAMPH1_01T16769</t>
  </si>
  <si>
    <t>phosphatidylinositol bisphosphate binding</t>
  </si>
  <si>
    <t>FGRAMPH1_01T16849</t>
  </si>
  <si>
    <t>phosphatidylinositol-4,5-bisphosphate binding</t>
  </si>
  <si>
    <t>FGRAMPH1_01T16903</t>
  </si>
  <si>
    <t>fucose metabolic process</t>
  </si>
  <si>
    <t>FGRAMPH1_01T21615</t>
  </si>
  <si>
    <t>FGRAMPH1_01T16933</t>
  </si>
  <si>
    <t>2-isopropylmalate synthase activity</t>
  </si>
  <si>
    <t>FGRAMPH1_01T22779</t>
  </si>
  <si>
    <t>FGRAMPH1_01T17015</t>
  </si>
  <si>
    <t>triose-phosphate isomerase activity</t>
  </si>
  <si>
    <t>FGRAMPH1_01T22955</t>
  </si>
  <si>
    <t>FGRAMPH1_01T23269</t>
  </si>
  <si>
    <t>FGRAMPH1_01T17069</t>
  </si>
  <si>
    <t>mannose metabolic process</t>
  </si>
  <si>
    <t>FGRAMPH1_01T23287</t>
  </si>
  <si>
    <t>FGRAMPH1_01T17121</t>
  </si>
  <si>
    <t>ATPase inhibitor activity</t>
  </si>
  <si>
    <t>FGRAMPH1_01T23319</t>
  </si>
  <si>
    <t>FGRAMPH1_01T17169</t>
  </si>
  <si>
    <t>regulation of ATPase activity</t>
  </si>
  <si>
    <t>FGRAMPH1_01T17177</t>
  </si>
  <si>
    <t>FGRAMPH1_01T17197</t>
  </si>
  <si>
    <t>negative regulation of ATPase activity</t>
  </si>
  <si>
    <t>3-hydroxyisobutyryl-CoA hydrolase activity</t>
  </si>
  <si>
    <t>FGRAMPH1_01T23755</t>
  </si>
  <si>
    <t>FGRAMPH1_01T17249</t>
  </si>
  <si>
    <t>3-hydroxyanthranilate 3,4-dioxygenase activity</t>
  </si>
  <si>
    <t>FGRAMPH1_01T23853</t>
  </si>
  <si>
    <t>FGRAMPH1_01T17281</t>
  </si>
  <si>
    <t>protein geranylgeranyltransferase activity</t>
  </si>
  <si>
    <t>FGRAMPH1_01T23981</t>
  </si>
  <si>
    <t>Rab geranylgeranyltransferase activity</t>
  </si>
  <si>
    <t>FGRAMPH1_01T17343</t>
  </si>
  <si>
    <t>L-proline biosynthetic process</t>
  </si>
  <si>
    <t>FGRAMPH1_01T24357</t>
  </si>
  <si>
    <t>FGRAMPH1_01T17359</t>
  </si>
  <si>
    <t>aminocarboxymuconate-semialdehyde decarboxylase activity</t>
  </si>
  <si>
    <t>FGRAMPH1_01T24469</t>
  </si>
  <si>
    <t>FGRAMPH1_01T17479</t>
  </si>
  <si>
    <t>regulation of quinolinate biosynthetic process</t>
  </si>
  <si>
    <t>NAD+ synthase (glutamine-hydrolyzing) activity</t>
  </si>
  <si>
    <t>FGRAMPH1_01T24721</t>
  </si>
  <si>
    <t>FGRAMPH1_01T17545</t>
  </si>
  <si>
    <t>negative regulation of actin nucleation</t>
  </si>
  <si>
    <t>FGRAMPH1_01T26307</t>
  </si>
  <si>
    <t>FGRAMPH1_01T17639</t>
  </si>
  <si>
    <t>negative regulation of Arp2/3 complex-mediated actin nucleation</t>
  </si>
  <si>
    <t>FGRAMPH1_01T17845</t>
  </si>
  <si>
    <t>microbody lumen</t>
  </si>
  <si>
    <t>FGRAMPH1_01T26425</t>
  </si>
  <si>
    <t>FGRAMPH1_01T17859</t>
  </si>
  <si>
    <t>peroxisomal matrix</t>
  </si>
  <si>
    <t>FGRAMPH1_01T18087</t>
  </si>
  <si>
    <t>3-isopropylmalate dehydratase activity</t>
  </si>
  <si>
    <t>FGRAMPH1_01T26727</t>
  </si>
  <si>
    <t>FGRAMPH1_01T18141</t>
  </si>
  <si>
    <t>3-isopropylmalate dehydratase complex</t>
  </si>
  <si>
    <t>FGRAMPH1_01T18189</t>
  </si>
  <si>
    <t>lactoylglutathione lyase activity</t>
  </si>
  <si>
    <t>FGRAMPH1_01T26981</t>
  </si>
  <si>
    <t>FGRAMPH1_01T18195</t>
  </si>
  <si>
    <t>methylglyoxal metabolic process</t>
  </si>
  <si>
    <t>FGRAMPH1_01T18253</t>
  </si>
  <si>
    <t>methylglyoxal catabolic process</t>
  </si>
  <si>
    <t>FGRAMPH1_01T18289</t>
  </si>
  <si>
    <t>methylglyoxal catabolic process to lactate</t>
  </si>
  <si>
    <t>FGRAMPH1_01T18355</t>
  </si>
  <si>
    <t>methylglyoxal catabolic process to D-lactate via S-lactoyl-glutathione</t>
  </si>
  <si>
    <t>FGRAMPH1_01T18371</t>
  </si>
  <si>
    <t>FGRAMPH1_01T27043</t>
  </si>
  <si>
    <t>FGRAMPH1_01T18381</t>
  </si>
  <si>
    <t>FGRAMPH1_01T18399</t>
  </si>
  <si>
    <t>FGRAMPH1_01T23319;FGRAMPH1_01T10657;FGRAMPH1_01T18371;FGRAMPH1_01T05043</t>
  </si>
  <si>
    <t>FGRAMPH1_01T18405</t>
  </si>
  <si>
    <t>FGRAMPH1_01T18409</t>
  </si>
  <si>
    <t>FGRAMPH1_01T18431</t>
  </si>
  <si>
    <t>FGRAMPH1_01T26981;FGRAMPH1_01T07463;FGRAMPH1_01T24401</t>
  </si>
  <si>
    <t>FGRAMPH1_01T18455</t>
  </si>
  <si>
    <t>intramolecular oxidoreductase activity</t>
  </si>
  <si>
    <t>FGRAMPH1_01T03321;FGRAMPH1_01T22955;FGRAMPH1_01T16409;FGRAMPH1_01T27043;FGRAMPH1_01T19883;FGRAMPH1_01T18899</t>
  </si>
  <si>
    <t>FGRAMPH1_01T17301;FGRAMPH1_01T03033;FGRAMPH1_01T09735;FGRAMPH1_01T17057;FGRAMPH1_01T02859;FGRAMPH1_01T10657;FGRAMPH1_01T18195;FGRAMPH1_01T26307;FGRAMPH1_01T09731</t>
  </si>
  <si>
    <t>oxidoreductase activity, acting on the CH-OH group of donors, NAD or NADP as acceptor</t>
  </si>
  <si>
    <t>FGRAMPH1_01T02771;FGRAMPH1_01T18897;FGRAMPH1_01T17529;FGRAMPH1_01T22893;FGRAMPH1_01T06011;FGRAMPH1_01T07331;FGRAMPH1_01T03169</t>
  </si>
  <si>
    <t>FGRAMPH1_01T18719</t>
  </si>
  <si>
    <t>heme biosynthetic process</t>
  </si>
  <si>
    <t>FGRAMPH1_01T03353;FGRAMPH1_01T10755</t>
  </si>
  <si>
    <t>FGRAMPH1_01T18845</t>
  </si>
  <si>
    <t>transferase activity, transferring acyl groups, acyl groups converted into alkyl on transfer</t>
  </si>
  <si>
    <t>FGRAMPH1_01T10605;FGRAMPH1_01T22779</t>
  </si>
  <si>
    <t>FGRAMPH1_01T18859</t>
  </si>
  <si>
    <t>NAD biosynthetic process</t>
  </si>
  <si>
    <t>FGRAMPH1_01T16409;FGRAMPH1_01T24721</t>
  </si>
  <si>
    <t>FGRAMPH1_01T18881</t>
  </si>
  <si>
    <t>ATPase activity, coupled to transmembrane movement of ions, rotational mechanism</t>
  </si>
  <si>
    <t>FGRAMPH1_01T09065;FGRAMPH1_01T24721;FGRAMPH1_01T21035;FGRAMPH1_01T12799</t>
  </si>
  <si>
    <t>FGRAMPH1_01T19015</t>
  </si>
  <si>
    <t>FGRAMPH1_01T19045</t>
  </si>
  <si>
    <t>heme metabolic process</t>
  </si>
  <si>
    <t>FGRAMPH1_01T19149</t>
  </si>
  <si>
    <t>FGRAMPH1_01T10657;FGRAMPH1_01T13859</t>
  </si>
  <si>
    <t>FGRAMPH1_01T19195</t>
  </si>
  <si>
    <t>cellular oxidant detoxification</t>
  </si>
  <si>
    <t>FGRAMPH1_01T19201</t>
  </si>
  <si>
    <t>FGRAMPH1_01T19225</t>
  </si>
  <si>
    <t>NAD metabolic process</t>
  </si>
  <si>
    <t>oxidoreductase activity, acting on NAD(P)H, quinone or similar compound as acceptor</t>
  </si>
  <si>
    <t>FGRAMPH1_01T18521;FGRAMPH1_01T17343</t>
  </si>
  <si>
    <t>FGRAMPH1_01T19381</t>
  </si>
  <si>
    <t>FGRAMPH1_01T19389</t>
  </si>
  <si>
    <t>proton-transporting two-sector ATPase complex, catalytic domain</t>
  </si>
  <si>
    <t>FGRAMPH1_01T19439</t>
  </si>
  <si>
    <t>sulfur amino acid metabolic process</t>
  </si>
  <si>
    <t>FGRAMPH1_01T19441</t>
  </si>
  <si>
    <t>FGRAMPH1_01T19447</t>
  </si>
  <si>
    <t>FGRAMPH1_01T19553</t>
  </si>
  <si>
    <t>phosphoprotein phosphatase activity</t>
  </si>
  <si>
    <t>FGRAMPH1_01T14285;FGRAMPH1_01T26211;FGRAMPH1_01T07619;FGRAMPH1_01T07793</t>
  </si>
  <si>
    <t>FGRAMPH1_01T19591</t>
  </si>
  <si>
    <t>FGRAMPH1_01T19697</t>
  </si>
  <si>
    <t>FGRAMPH1_01T19711</t>
  </si>
  <si>
    <t>protein transmembrane import into intracellular organelle</t>
  </si>
  <si>
    <t>FGRAMPH1_01T19749</t>
  </si>
  <si>
    <t>thioester metabolic process</t>
  </si>
  <si>
    <t>FGRAMPH1_01T03209;FGRAMPH1_01T11453</t>
  </si>
  <si>
    <t>acyl-CoA metabolic process</t>
  </si>
  <si>
    <t>FGRAMPH1_01T19915</t>
  </si>
  <si>
    <t>FGRAMPH1_01T23319;FGRAMPH1_01T05043</t>
  </si>
  <si>
    <t>FGRAMPH1_01T20031</t>
  </si>
  <si>
    <t>positive regulation of molecular function</t>
  </si>
  <si>
    <t>FGRAMPH1_01T10657;FGRAMPH1_01T05043</t>
  </si>
  <si>
    <t>FGRAMPH1_01T20039</t>
  </si>
  <si>
    <t>dicarboxylic acid biosynthetic process</t>
  </si>
  <si>
    <t>FGRAMPH1_01T11989;FGRAMPH1_01T16409</t>
  </si>
  <si>
    <t>FGRAMPH1_01T20049</t>
  </si>
  <si>
    <t>polysaccharide biosynthetic process</t>
  </si>
  <si>
    <t>FGRAMPH1_01T20139</t>
  </si>
  <si>
    <t>FGRAMPH1_01T11251;FGRAMPH1_01T06317;FGRAMPH1_01T14001;FGRAMPH1_01T00999;FGRAMPH1_01T20847;FGRAMPH1_01T02797;FGRAMPH1_01T01433;FGRAMPH1_01T03005;FGRAMPH1_01T03059;FGRAMPH1_01T26425</t>
  </si>
  <si>
    <t>FGRAMPH1_01T09065;FGRAMPH1_01T15571;FGRAMPH1_01T24721;FGRAMPH1_01T21035;FGRAMPH1_01T10137;FGRAMPH1_01T12799;FGRAMPH1_01T02753;FGRAMPH1_01T10573;FGRAMPH1_01T07687</t>
  </si>
  <si>
    <t>FGRAMPH1_01T20231</t>
  </si>
  <si>
    <t>endopeptidase complex</t>
  </si>
  <si>
    <t>FGRAMPH1_01T02797;FGRAMPH1_01T01433;FGRAMPH1_01T03059</t>
  </si>
  <si>
    <t>FGRAMPH1_01T20475</t>
  </si>
  <si>
    <t>proteasome complex</t>
  </si>
  <si>
    <t>FGRAMPH1_01T20513</t>
  </si>
  <si>
    <t>FGRAMPH1_01T03033;FGRAMPH1_01T20155;FGRAMPH1_01T05043</t>
  </si>
  <si>
    <t>FGRAMPH1_01T20565</t>
  </si>
  <si>
    <t>actin cytoskeleton organization</t>
  </si>
  <si>
    <t>FGRAMPH1_01T20639</t>
  </si>
  <si>
    <t>FGRAMPH1_01T20743</t>
  </si>
  <si>
    <t>protein folding</t>
  </si>
  <si>
    <t>FGRAMPH1_01T19381;FGRAMPH1_01T26507;FGRAMPH1_01T24825;FGRAMPH1_01T01953;FGRAMPH1_01T19225</t>
  </si>
  <si>
    <t>FGRAMPH1_01T20805</t>
  </si>
  <si>
    <t>FGRAMPH1_01T11251;FGRAMPH1_01T06317;FGRAMPH1_01T14001;FGRAMPH1_01T14985;FGRAMPH1_01T23269</t>
  </si>
  <si>
    <t>FGRAMPH1_01T20821</t>
  </si>
  <si>
    <t>FGRAMPH1_01T20847</t>
  </si>
  <si>
    <t>FGRAMPH1_01T20913</t>
  </si>
  <si>
    <t>FGRAMPH1_01T20923</t>
  </si>
  <si>
    <t>positive regulation of multi-organism process</t>
  </si>
  <si>
    <t>FGRAMPH1_01T21035</t>
  </si>
  <si>
    <t>regulation of conjugation</t>
  </si>
  <si>
    <t>FGRAMPH1_01T21103</t>
  </si>
  <si>
    <t>positive regulation of conjugation</t>
  </si>
  <si>
    <t>FGRAMPH1_01T21153</t>
  </si>
  <si>
    <t>regulation of conjugation with cellular fusion</t>
  </si>
  <si>
    <t>FGRAMPH1_01T21155</t>
  </si>
  <si>
    <t>positive regulation of reproductive process</t>
  </si>
  <si>
    <t>FGRAMPH1_01T21167</t>
  </si>
  <si>
    <t>positive regulation of conjugation with cellular fusion</t>
  </si>
  <si>
    <t>FGRAMPH1_01T21285</t>
  </si>
  <si>
    <t>signal transduction involved in positive regulation of conjugation with cellular fusion</t>
  </si>
  <si>
    <t>FGRAMPH1_01T21311</t>
  </si>
  <si>
    <t>response to pheromone</t>
  </si>
  <si>
    <t>FGRAMPH1_01T21387</t>
  </si>
  <si>
    <t>cellular response to pheromone</t>
  </si>
  <si>
    <t>FGRAMPH1_01T21421</t>
  </si>
  <si>
    <t>response to pheromone triggering conjugation with cellular fusion</t>
  </si>
  <si>
    <t>FGRAMPH1_01T21423</t>
  </si>
  <si>
    <t>pheromone-dependent signal transduction involved in conjugation with cellular fusion</t>
  </si>
  <si>
    <t>FGRAMPH1_01T21505</t>
  </si>
  <si>
    <t>proteasomal ubiquitin-independent protein catabolic process</t>
  </si>
  <si>
    <t>acetolactate synthase activity</t>
  </si>
  <si>
    <t>FGRAMPH1_01T21617</t>
  </si>
  <si>
    <t>proteasome regulatory particle, base subcomplex</t>
  </si>
  <si>
    <t>FGRAMPH1_01T21625</t>
  </si>
  <si>
    <t>regulation of protein depolymerization</t>
  </si>
  <si>
    <t>FGRAMPH1_01T21781</t>
  </si>
  <si>
    <t>regulation of actin filament depolymerization</t>
  </si>
  <si>
    <t>FGRAMPH1_01T21801</t>
  </si>
  <si>
    <t>negative regulation of protein complex disassembly</t>
  </si>
  <si>
    <t>FGRAMPH1_01T21889</t>
  </si>
  <si>
    <t>negative regulation of protein depolymerization</t>
  </si>
  <si>
    <t>FGRAMPH1_01T21893</t>
  </si>
  <si>
    <t>negative regulation of actin filament depolymerization</t>
  </si>
  <si>
    <t>FGRAMPH1_01T22283</t>
  </si>
  <si>
    <t>actin filament capping</t>
  </si>
  <si>
    <t>FGRAMPH1_01T22335</t>
  </si>
  <si>
    <t>barbed-end actin filament capping</t>
  </si>
  <si>
    <t>FGRAMPH1_01T22347</t>
  </si>
  <si>
    <t>F-actin capping protein complex</t>
  </si>
  <si>
    <t>FGRAMPH1_01T22433</t>
  </si>
  <si>
    <t>protoporphyrinogen IX metabolic process</t>
  </si>
  <si>
    <t>FGRAMPH1_01T22437</t>
  </si>
  <si>
    <t>protoporphyrinogen IX biosynthetic process</t>
  </si>
  <si>
    <t>FGRAMPH1_01T22507</t>
  </si>
  <si>
    <t>FGRAMPH1_01T22577</t>
  </si>
  <si>
    <t>cell cortex region</t>
  </si>
  <si>
    <t>medial cortex</t>
  </si>
  <si>
    <t>FGRAMPH1_01T22827</t>
  </si>
  <si>
    <t>assembly of actomyosin apparatus involved in cytokinesis</t>
  </si>
  <si>
    <t>FGRAMPH1_01T22849</t>
  </si>
  <si>
    <t>cortical cytoskeleton organization</t>
  </si>
  <si>
    <t>FGRAMPH1_01T22893</t>
  </si>
  <si>
    <t>cortical actin cytoskeleton organization</t>
  </si>
  <si>
    <t>FGRAMPH1_01T22917</t>
  </si>
  <si>
    <t>actomyosin structure organization</t>
  </si>
  <si>
    <t>FGRAMPH1_01T22927</t>
  </si>
  <si>
    <t>actomyosin contractile ring organization</t>
  </si>
  <si>
    <t>FGRAMPH1_01T22929</t>
  </si>
  <si>
    <t>actomyosin contractile ring assembly</t>
  </si>
  <si>
    <t>assembly of actomyosin apparatus involved in mitotic cytokinesis</t>
  </si>
  <si>
    <t>FGRAMPH1_01T23197</t>
  </si>
  <si>
    <t>mitotic actomyosin contractile ring assembly</t>
  </si>
  <si>
    <t>L-malate dehydrogenase activity</t>
  </si>
  <si>
    <t>trehalase activity</t>
  </si>
  <si>
    <t>FGRAMPH1_01T23305</t>
  </si>
  <si>
    <t>alpha,alpha-trehalase activity</t>
  </si>
  <si>
    <t>FGRAMPH1_01T23311</t>
  </si>
  <si>
    <t>FGRAMPH1_01T23339</t>
  </si>
  <si>
    <t>FGRAMPH1_01T23375</t>
  </si>
  <si>
    <t>oxidoreductase activity, acting on the CH-NH2 group of donors, disulfide as acceptor</t>
  </si>
  <si>
    <t>FGRAMPH1_01T23387</t>
  </si>
  <si>
    <t>glycine dehydrogenase (decarboxylating) activity</t>
  </si>
  <si>
    <t>FGRAMPH1_01T23721</t>
  </si>
  <si>
    <t>glyoxylate metabolic process</t>
  </si>
  <si>
    <t>FGRAMPH1_01T23731</t>
  </si>
  <si>
    <t>fumarate metabolic process</t>
  </si>
  <si>
    <t>age-dependent general metabolic decline</t>
  </si>
  <si>
    <t>FGRAMPH1_01T23815</t>
  </si>
  <si>
    <t>age-dependent response to oxidative stress</t>
  </si>
  <si>
    <t>FGRAMPH1_01T23851</t>
  </si>
  <si>
    <t>chronological cell aging</t>
  </si>
  <si>
    <t>age-dependent general metabolic decline involved in chronological cell aging</t>
  </si>
  <si>
    <t>FGRAMPH1_01T23883</t>
  </si>
  <si>
    <t>age-dependent response to oxidative stress involved in chronological cell aging</t>
  </si>
  <si>
    <t>FGRAMPH1_01T23899</t>
  </si>
  <si>
    <t>cellular transition metal ion homeostasis</t>
  </si>
  <si>
    <t>cellular copper ion homeostasis</t>
  </si>
  <si>
    <t>FGRAMPH1_01T23987</t>
  </si>
  <si>
    <t>divalent inorganic cation homeostasis</t>
  </si>
  <si>
    <t>FGRAMPH1_01T24003</t>
  </si>
  <si>
    <t>cellular divalent inorganic cation homeostasis</t>
  </si>
  <si>
    <t>FGRAMPH1_01T24011</t>
  </si>
  <si>
    <t>regulation of DNA-templated transcription in response to stress</t>
  </si>
  <si>
    <t>FGRAMPH1_01T24109</t>
  </si>
  <si>
    <t>regulation of transcription from RNA polymerase II promoter in response to stress</t>
  </si>
  <si>
    <t>FGRAMPH1_01T24143</t>
  </si>
  <si>
    <t>positive regulation of transcription from RNA polymerase II promoter in response to stress</t>
  </si>
  <si>
    <t>FGRAMPH1_01T24227</t>
  </si>
  <si>
    <t>FGRAMPH1_01T24241</t>
  </si>
  <si>
    <t>sedoheptulose-7-phosphate:D-glyceraldehyde-3-phosphate glyceronetransferase activity</t>
  </si>
  <si>
    <t>FGRAMPH1_01T24349</t>
  </si>
  <si>
    <t>adenylylsulfate kinase activity</t>
  </si>
  <si>
    <t>FGRAMPH1_01T24401</t>
  </si>
  <si>
    <t>1-pyrroline-5-carboxylate dehydrogenase activity</t>
  </si>
  <si>
    <t>FGRAMPH1_01T24509</t>
  </si>
  <si>
    <t>DNA-templated transcription, termination</t>
  </si>
  <si>
    <t>FGRAMPH1_01T24615</t>
  </si>
  <si>
    <t>termination of RNA polymerase II transcription</t>
  </si>
  <si>
    <t>FGRAMPH1_01T24661</t>
  </si>
  <si>
    <t>mannose-6-phosphate isomerase activity</t>
  </si>
  <si>
    <t>FGRAMPH1_01T24825</t>
  </si>
  <si>
    <t>FGRAMPH1_01T24911</t>
  </si>
  <si>
    <t>kynureninase activity</t>
  </si>
  <si>
    <t>FGRAMPH1_01T25059</t>
  </si>
  <si>
    <t>L-kynurenine metabolic process</t>
  </si>
  <si>
    <t>FGRAMPH1_01T25061</t>
  </si>
  <si>
    <t>L-kynurenine catabolic process</t>
  </si>
  <si>
    <t>FGRAMPH1_01T25067</t>
  </si>
  <si>
    <t>4-aminobutyrate transaminase activity</t>
  </si>
  <si>
    <t>FGRAMPH1_01T25185</t>
  </si>
  <si>
    <t>FGRAMPH1_01T25271</t>
  </si>
  <si>
    <t>FGRAMPH1_01T25303</t>
  </si>
  <si>
    <t>phosphatidylinositol phosphate binding</t>
  </si>
  <si>
    <t>5-methyltetrahydropteroyltri-L-glutamate-dependent methyltransferase activity</t>
  </si>
  <si>
    <t>FGRAMPH1_01T25539</t>
  </si>
  <si>
    <t>5-methyltetrahydropteroyltriglutamate-homocysteine S-methyltransferase activity</t>
  </si>
  <si>
    <t>FGRAMPH1_01T25653</t>
  </si>
  <si>
    <t>3-isopropylmalate dehydrogenase activity</t>
  </si>
  <si>
    <t>FGRAMPH1_01T25677</t>
  </si>
  <si>
    <t>branched-chain amino acid catabolic process</t>
  </si>
  <si>
    <t>FGRAMPH1_01T25817</t>
  </si>
  <si>
    <t>valine catabolic process</t>
  </si>
  <si>
    <t>FGRAMPH1_01T25865</t>
  </si>
  <si>
    <t>protein geranylgeranylation</t>
  </si>
  <si>
    <t>FGRAMPH1_01T25953</t>
  </si>
  <si>
    <t>regulation of small molecule metabolic process</t>
  </si>
  <si>
    <t>FGRAMPH1_01T25999</t>
  </si>
  <si>
    <t>regulation of actin nucleation</t>
  </si>
  <si>
    <t>FGRAMPH1_01T26055</t>
  </si>
  <si>
    <t>regulation of Arp2/3 complex-mediated actin nucleation</t>
  </si>
  <si>
    <t>FGRAMPH1_01T26067</t>
  </si>
  <si>
    <t>L-aspartate:2-oxoglutarate aminotransferase activity</t>
  </si>
  <si>
    <t>FGRAMPH1_01T26395</t>
  </si>
  <si>
    <t>FGRAMPH1_01T26169</t>
  </si>
  <si>
    <t>aromatic-amino-acid:2-oxoglutarate aminotransferase activity</t>
  </si>
  <si>
    <t>L-phenylalanine aminotransferase activity</t>
  </si>
  <si>
    <t>FGRAMPH1_01T26211</t>
  </si>
  <si>
    <t>L-phenylalanine:2-oxoglutarate aminotransferase activity</t>
  </si>
  <si>
    <t>lactate metabolic process</t>
  </si>
  <si>
    <t>FGRAMPH1_01T27733</t>
  </si>
  <si>
    <t>FGRAMPH1_01T26497</t>
  </si>
  <si>
    <t>FGRAMPH1_01T26499</t>
  </si>
  <si>
    <t>FGRAMPH1_01T26507</t>
  </si>
  <si>
    <t>FGRAMPH1_01T26573</t>
  </si>
  <si>
    <t>FGRAMPH1_01T22955;FGRAMPH1_01T02707;FGRAMPH1_01T11061;FGRAMPH1_01T05025;FGRAMPH1_01T07687;FGRAMPH1_01T03321;FGRAMPH1_01T00131;FGRAMPH1_01T04893;FGRAMPH1_01T10007;FGRAMPH1_01T27253;FGRAMPH1_01T03209;FGRAMPH1_01T24721;FGRAMPH1_01T07131;FGRAMPH1_01T08663;FGRAMPH1_01T07331;FGRAMPH1_01T02753;FGRAMPH1_01T20565;FGRAMPH1_01T04069;FGRAMPH1_01T06515;FGRAMPH1_01T06879;FGRAMPH1_01T11989;FGRAMPH1_01T27043;FGRAMPH1_01T18899;FGRAMPH1_01T15165;FGRAMPH1_01T22779;FGRAMPH1_01T00747;FGRAMPH1_01T02889;FGRAMPH1_01T22893;FGRAMPH1_01T23387;FGRAMPH1_01T23269;FGRAMPH1_01T24357;FGRAMPH1_01T16409;FGRAMPH1_01T10621;FGRAMPH1_01T14985;FGRAMPH1_01T17235;FGRAMPH1_01T15571;FGRAMPH1_01T26727;FGRAMPH1_01T04959;FGRAMPH1_01T25999;FGRAMPH1_01T07113;FGRAMPH1_01T03353;FGRAMPH1_01T10755;FGRAMPH1_01T05923;FGRAMPH1_01T15407;FGRAMPH1_01T19045;FGRAMPH1_01T16933;FGRAMPH1_01T19883;FGRAMPH1_01T19369;FGRAMPH1_01T14555</t>
  </si>
  <si>
    <t>FGRAMPH1_01T26677</t>
  </si>
  <si>
    <t>FGRAMPH1_01T03321;FGRAMPH1_01T22955;FGRAMPH1_01T17343;FGRAMPH1_01T01867;FGRAMPH1_01T27043;FGRAMPH1_01T24349;FGRAMPH1_01T19883;FGRAMPH1_01T01971;FGRAMPH1_01T18899</t>
  </si>
  <si>
    <t>FGRAMPH1_01T26705</t>
  </si>
  <si>
    <t>ubiquitin-protein transferase activity</t>
  </si>
  <si>
    <t>FGRAMPH1_01T23815;FGRAMPH1_01T17015;FGRAMPH1_01T19915</t>
  </si>
  <si>
    <t>protein transmembrane transport</t>
  </si>
  <si>
    <t>FGRAMPH1_01T26813</t>
  </si>
  <si>
    <t>intracellular protein transmembrane transport</t>
  </si>
  <si>
    <t>FGRAMPH1_01T26927</t>
  </si>
  <si>
    <t>process utilizing autophagic mechanism</t>
  </si>
  <si>
    <t>FGRAMPH1_01T14949;FGRAMPH1_01T03029</t>
  </si>
  <si>
    <t>FGRAMPH1_01T26977</t>
  </si>
  <si>
    <t>autophagy</t>
  </si>
  <si>
    <t>regulation of anatomical structure size</t>
  </si>
  <si>
    <t>FGRAMPH1_01T26989</t>
  </si>
  <si>
    <t>regulation of cellular component size</t>
  </si>
  <si>
    <t>FGRAMPH1_01T27027</t>
  </si>
  <si>
    <t>regulation of actin filament length</t>
  </si>
  <si>
    <t>regulation of actin polymerization or depolymerization</t>
  </si>
  <si>
    <t>FGRAMPH1_01T27061</t>
  </si>
  <si>
    <t>negative regulation of cellular component organization</t>
  </si>
  <si>
    <t>FGRAMPH1_01T27113</t>
  </si>
  <si>
    <t>negative regulation of organelle organization</t>
  </si>
  <si>
    <t>FGRAMPH1_01T27185</t>
  </si>
  <si>
    <t>regulation of protein polymerization</t>
  </si>
  <si>
    <t>FGRAMPH1_01T27253</t>
  </si>
  <si>
    <t>regulation of actin filament polymerization</t>
  </si>
  <si>
    <t>FGRAMPH1_01T27383</t>
  </si>
  <si>
    <t>porphyrin-containing compound biosynthetic process</t>
  </si>
  <si>
    <t>FGRAMPH1_01T27409</t>
  </si>
  <si>
    <t>detoxification</t>
  </si>
  <si>
    <t>FGRAMPH1_01T27507</t>
  </si>
  <si>
    <t>cellular detoxification</t>
  </si>
  <si>
    <t>FGRAMPH1_01T27523</t>
  </si>
  <si>
    <t>protein ubiquitination</t>
  </si>
  <si>
    <t>FGRAMPH1_01T23815;FGRAMPH1_01T17015</t>
  </si>
  <si>
    <t>FGRAMPH1_01T27545</t>
  </si>
  <si>
    <t>FGRAMPH1_01T22955;FGRAMPH1_01T02707;FGRAMPH1_01T11061;FGRAMPH1_01T05025;FGRAMPH1_01T07687;FGRAMPH1_01T03321;FGRAMPH1_01T00131;FGRAMPH1_01T04893;FGRAMPH1_01T10007;FGRAMPH1_01T27253;FGRAMPH1_01T03209;FGRAMPH1_01T24721;FGRAMPH1_01T07131;FGRAMPH1_01T08663;FGRAMPH1_01T07331;FGRAMPH1_01T02753;FGRAMPH1_01T20565;FGRAMPH1_01T04069;FGRAMPH1_01T06515;FGRAMPH1_01T06879;FGRAMPH1_01T11989;FGRAMPH1_01T26395;FGRAMPH1_01T27043;FGRAMPH1_01T18899;FGRAMPH1_01T15165;FGRAMPH1_01T22779;FGRAMPH1_01T00747;FGRAMPH1_01T02889;FGRAMPH1_01T22893;FGRAMPH1_01T23387;FGRAMPH1_01T24911;FGRAMPH1_01T23269;FGRAMPH1_01T24357;FGRAMPH1_01T16409;FGRAMPH1_01T10621;FGRAMPH1_01T11997;FGRAMPH1_01T14985;FGRAMPH1_01T17235;FGRAMPH1_01T15571;FGRAMPH1_01T26727;FGRAMPH1_01T04959;FGRAMPH1_01T25999;FGRAMPH1_01T07113;FGRAMPH1_01T03353;FGRAMPH1_01T10755;FGRAMPH1_01T05923;FGRAMPH1_01T15407;FGRAMPH1_01T19045;FGRAMPH1_01T16933;FGRAMPH1_01T19883;FGRAMPH1_01T19369;FGRAMPH1_01T14555</t>
  </si>
  <si>
    <t>FGRAMPH1_01T27589</t>
  </si>
  <si>
    <t>FGRAMPH1_01T00999;FGRAMPH1_01T02797;FGRAMPH1_01T01433;FGRAMPH1_01T03005</t>
  </si>
  <si>
    <t>FGRAMPH1_01T27609</t>
  </si>
  <si>
    <t>FGRAMPH1_01T27615</t>
  </si>
  <si>
    <t>FGRAMPH1_01T27643</t>
  </si>
  <si>
    <t>oxidoreductase activity, acting on single donors with incorporation of molecular oxygen</t>
  </si>
  <si>
    <t>FGRAMPH1_01T09955;FGRAMPH1_01T09751;FGRAMPH1_01T23853</t>
  </si>
  <si>
    <t>FGRAMPH1_01T14187;FGRAMPH1_01T10707;FGRAMPH1_01T19201;FGRAMPH1_01T06783</t>
  </si>
  <si>
    <t>FGRAMPH1_01T27793</t>
  </si>
  <si>
    <t>FGRAMPH1_01T27797</t>
  </si>
  <si>
    <t>regulation of supramolecular fiber organization</t>
  </si>
  <si>
    <t>FGRAMPH1_01T27823</t>
  </si>
  <si>
    <t>regulation of actin filament organization</t>
  </si>
  <si>
    <t>FGRAMPH1_01T28045</t>
  </si>
  <si>
    <t>tetrapyrrole biosynthetic process</t>
  </si>
  <si>
    <t>FGRAMPH1_01T28211</t>
  </si>
  <si>
    <t>folic acid-containing compound metabolic process</t>
  </si>
  <si>
    <t>FGRAMPH1_01T09731;FGRAMPH1_01T07687</t>
  </si>
  <si>
    <t>FGRAMPH1_01T15463;FGRAMPH1_01T07793</t>
  </si>
  <si>
    <t>FGRAMPH1_01T16409;FGRAMPH1_01T09751</t>
  </si>
  <si>
    <t>response to toxic substance</t>
  </si>
  <si>
    <t>cellular response to toxic substance</t>
  </si>
  <si>
    <t>FGRAMPH1_01T16409;FGRAMPH1_01T24469</t>
  </si>
  <si>
    <t>FGRAMPH1_01T18521;FGRAMPH1_01T10657;FGRAMPH1_01T13859</t>
  </si>
  <si>
    <t>FGRAMPH1_01T03033;FGRAMPH1_01T10657;FGRAMPH1_01T26307;FGRAMPH1_01T03447</t>
  </si>
  <si>
    <t>FGRAMPH1_01T18897;FGRAMPH1_01T26981;FGRAMPH1_01T06879;FGRAMPH1_01T16933</t>
  </si>
  <si>
    <t>FGRAMPH1_01T11989;FGRAMPH1_01T03831;FGRAMPH1_01T24357</t>
  </si>
  <si>
    <t>FGRAMPH1_01T23319;FGRAMPH1_01T18371;FGRAMPH1_01T05043</t>
  </si>
  <si>
    <t>cellular response to nitrogen starvation</t>
  </si>
  <si>
    <t>protein import into peroxisome matrix, docking</t>
  </si>
  <si>
    <t>peptidyl-proline modification</t>
  </si>
  <si>
    <t>protein peptidyl-prolyl isomerization</t>
  </si>
  <si>
    <t>cytochrome-b5 reductase activity, acting on NAD(P)H</t>
  </si>
  <si>
    <t>phenylalanine-tRNA ligase activity</t>
  </si>
  <si>
    <t>phenylalanyl-tRNA aminoacylation</t>
  </si>
  <si>
    <t>negative regulation of protein complex assembly</t>
  </si>
  <si>
    <t>negative regulation of protein polymerization</t>
  </si>
  <si>
    <t>negative regulation of actin filament polymerization</t>
  </si>
  <si>
    <t>methylenetetrahydrofolate dehydrogenase (NADP+) activity</t>
  </si>
  <si>
    <t>glycine hydroxymethyltransferase activity</t>
  </si>
  <si>
    <t>tyrosine metabolic process</t>
  </si>
  <si>
    <t>homogentisate 1,2-dioxygenase activity</t>
  </si>
  <si>
    <t>nucleoside salvage</t>
  </si>
  <si>
    <t>purine ribonucleoside salvage</t>
  </si>
  <si>
    <t>biotin carboxylase activity</t>
  </si>
  <si>
    <t>tricarboxylic acid cycle enzyme complex</t>
  </si>
  <si>
    <t>cellular response to oxygen radical</t>
  </si>
  <si>
    <t>cellular response to superoxide</t>
  </si>
  <si>
    <t>removal of superoxide radicals</t>
  </si>
  <si>
    <t>aging</t>
  </si>
  <si>
    <t>cell aging</t>
  </si>
  <si>
    <t>transition metal ion homeostasis</t>
  </si>
  <si>
    <t>copper ion homeostasis</t>
  </si>
  <si>
    <t>calcium-dependent phospholipid binding</t>
  </si>
  <si>
    <t>acyl-CoA hydrolase activity</t>
  </si>
  <si>
    <t>glutamate biosynthetic process</t>
  </si>
  <si>
    <t>mRNA polyadenylation</t>
  </si>
  <si>
    <t>mRNA cleavage</t>
  </si>
  <si>
    <t>anthranilate metabolic process</t>
  </si>
  <si>
    <t>quinolinate metabolic process</t>
  </si>
  <si>
    <t>quinolinate biosynthetic process</t>
  </si>
  <si>
    <t>pyridoxal phosphate metabolic process</t>
  </si>
  <si>
    <t>aldehyde biosynthetic process</t>
  </si>
  <si>
    <t>pyridoxal phosphate biosynthetic process</t>
  </si>
  <si>
    <t>post-chaperonin tubulin folding pathway</t>
  </si>
  <si>
    <t>TORC2 complex</t>
  </si>
  <si>
    <t>TOR signaling</t>
  </si>
  <si>
    <t>proton-transporting ATP synthase complex, catalytic core F(1)</t>
  </si>
  <si>
    <t>pyrroline-5-carboxylate reductase activity</t>
  </si>
  <si>
    <t>ATP-dependent peptidase activity</t>
  </si>
  <si>
    <t>retromer complex</t>
  </si>
  <si>
    <t>proteasome core complex</t>
  </si>
  <si>
    <t>FGRAMPH1_01T01433;FGRAMPH1_01T03059</t>
  </si>
  <si>
    <t>threonine-type peptidase activity</t>
  </si>
  <si>
    <t>threonine-type endopeptidase activity</t>
  </si>
  <si>
    <t>peroxisome organization</t>
  </si>
  <si>
    <t>regulation of protein complex assembly</t>
  </si>
  <si>
    <t>porphyrin-containing compound metabolic process</t>
  </si>
  <si>
    <t>FGRAMPH1_01T06317;FGRAMPH1_01T06783</t>
  </si>
  <si>
    <t>pteridine-containing compound metabolic process</t>
  </si>
  <si>
    <t>mannosidase activity</t>
  </si>
  <si>
    <t>FGRAMPH1_01T07977;FGRAMPH1_01T23287</t>
  </si>
  <si>
    <t>alpha-mannosidase activity</t>
  </si>
  <si>
    <t>FGRAMPH1_01T27043;FGRAMPH1_01T14449</t>
  </si>
  <si>
    <t>FGRAMPH1_01T03321;FGRAMPH1_01T23815;FGRAMPH1_01T00131;FGRAMPH1_01T26981;FGRAMPH1_01T05923;FGRAMPH1_01T10657;FGRAMPH1_01T26705;FGRAMPH1_01T26727;FGRAMPH1_01T01433</t>
  </si>
  <si>
    <t>FGRAMPH1_01T10605;FGRAMPH1_01T00131;FGRAMPH1_01T09073;FGRAMPH1_01T17069;FGRAMPH1_01T22779;FGRAMPH1_01T04271;FGRAMPH1_01T25185;FGRAMPH1_01T26927;FGRAMPH1_01T00633;FGRAMPH1_01T03327</t>
  </si>
  <si>
    <t>FGRAMPH1_01T15165;FGRAMPH1_01T22955;FGRAMPH1_01T03209;FGRAMPH1_01T24721;FGRAMPH1_01T08663;FGRAMPH1_01T23387;FGRAMPH1_01T07113;FGRAMPH1_01T05025;FGRAMPH1_01T07687;FGRAMPH1_01T03321;FGRAMPH1_01T04069;FGRAMPH1_01T03353;FGRAMPH1_01T04893;FGRAMPH1_01T10007;FGRAMPH1_01T10755;FGRAMPH1_01T05923;FGRAMPH1_01T16409;FGRAMPH1_01T27253;FGRAMPH1_01T27043;FGRAMPH1_01T15407;FGRAMPH1_01T16933;FGRAMPH1_01T19883;FGRAMPH1_01T18899;FGRAMPH1_01T14555</t>
  </si>
  <si>
    <t>peptidase complex</t>
  </si>
  <si>
    <t>ubiquitin-like protein transferase activity</t>
  </si>
  <si>
    <t>FGRAMPH1_01T00131;FGRAMPH1_01T18521</t>
  </si>
  <si>
    <t>regulation of actin filament-based process</t>
  </si>
  <si>
    <t>regulation of actin cytoskeleton organization</t>
  </si>
  <si>
    <t>tetrapyrrole metabolic process</t>
  </si>
  <si>
    <t>protein modification by small protein conjugation or removal</t>
  </si>
  <si>
    <t>FGRAMPH1_01T23815;FGRAMPH1_01T17015;FGRAMPH1_01T00999</t>
  </si>
  <si>
    <t>FGRAMPH1_01T11251;FGRAMPH1_01T14001;FGRAMPH1_01T10657</t>
  </si>
  <si>
    <t>FGRAMPH1_01T22955;FGRAMPH1_01T02707;FGRAMPH1_01T22437;FGRAMPH1_01T11061;FGRAMPH1_01T04129;FGRAMPH1_01T01971;FGRAMPH1_01T03831;FGRAMPH1_01T05025;FGRAMPH1_01T23721;FGRAMPH1_01T07687;FGRAMPH1_01T03321;FGRAMPH1_01T02551;FGRAMPH1_01T04893;FGRAMPH1_01T09735;FGRAMPH1_01T10007;FGRAMPH1_01T27253;FGRAMPH1_01T11453;FGRAMPH1_01T17015;FGRAMPH1_01T03209;FGRAMPH1_01T20847;FGRAMPH1_01T09751;FGRAMPH1_01T24721;FGRAMPH1_01T07131;FGRAMPH1_01T08663;FGRAMPH1_01T01501;FGRAMPH1_01T07331;FGRAMPH1_01T02753;FGRAMPH1_01T02797;FGRAMPH1_01T20565;FGRAMPH1_01T03005;FGRAMPH1_01T23755;FGRAMPH1_01T26425;FGRAMPH1_01T04069;FGRAMPH1_01T06515;FGRAMPH1_01T11989;FGRAMPH1_01T26395;FGRAMPH1_01T27043;FGRAMPH1_01T18899;FGRAMPH1_01T17301;FGRAMPH1_01T15165;FGRAMPH1_01T22779;FGRAMPH1_01T17343;FGRAMPH1_01T18355;FGRAMPH1_01T00747;FGRAMPH1_01T01953;FGRAMPH1_01T02889;FGRAMPH1_01T18195;FGRAMPH1_01T22893;FGRAMPH1_01T23387;FGRAMPH1_01T23981;FGRAMPH1_01T01433;FGRAMPH1_01T03059;FGRAMPH1_01T24357;FGRAMPH1_01T02771;FGRAMPH1_01T26981;FGRAMPH1_01T16409;FGRAMPH1_01T10663;FGRAMPH1_01T11997;FGRAMPH1_01T23815;FGRAMPH1_01T14285;FGRAMPH1_01T17235;FGRAMPH1_01T02859;FGRAMPH1_01T15571;FGRAMPH1_01T26727;FGRAMPH1_01T04959;FGRAMPH1_01T00999;FGRAMPH1_01T24469;FGRAMPH1_01T24349;FGRAMPH1_01T00157;FGRAMPH1_01T07113;FGRAMPH1_01T09731;FGRAMPH1_01T09699;FGRAMPH1_01T03353;FGRAMPH1_01T10755;FGRAMPH1_01T05923;FGRAMPH1_01T10993;FGRAMPH1_01T15407;FGRAMPH1_01T19045;FGRAMPH1_01T16933;FGRAMPH1_01T19883;FGRAMPH1_01T14555</t>
  </si>
  <si>
    <t>NADP binding</t>
  </si>
  <si>
    <t>FGRAMPH1_01T17301;FGRAMPH1_01T12835;FGRAMPH1_01T19883;FGRAMPH1_01T03169</t>
  </si>
  <si>
    <t>protein import</t>
  </si>
  <si>
    <t>phosphotransferase activity, nitrogenous group as acceptor</t>
  </si>
  <si>
    <t>FGRAMPH1_01T01867;FGRAMPH1_01T24003</t>
  </si>
  <si>
    <t>protein histidine kinase activity</t>
  </si>
  <si>
    <t>phosphorelay sensor kinase activity</t>
  </si>
  <si>
    <t>vacuolar membrane</t>
  </si>
  <si>
    <t>regulation of cytoskeleton organization</t>
  </si>
  <si>
    <t>FGRAMPH1_01T11251;FGRAMPH1_01T14001</t>
  </si>
  <si>
    <t>regulation of reproductive process</t>
  </si>
  <si>
    <t>malate metabolic process</t>
  </si>
  <si>
    <t>malate dehydrogenase activity</t>
  </si>
  <si>
    <t>mannan endo-1,6-alpha-mannosidase activity</t>
  </si>
  <si>
    <t>tetrahydrofolate interconversion</t>
  </si>
  <si>
    <t>amino acid salvage</t>
  </si>
  <si>
    <t>L-methionine salvage</t>
  </si>
  <si>
    <t>L-methionine salvage from methylthioadenosine</t>
  </si>
  <si>
    <t>oxidoreductase activity, acting on superoxide radicals as acceptor</t>
  </si>
  <si>
    <t>superoxide dismutase activity</t>
  </si>
  <si>
    <t>cellular response to reactive oxygen species</t>
  </si>
  <si>
    <t>positive regulation of transcription by RNA polymerase II</t>
  </si>
  <si>
    <t>sulfate assimilation</t>
  </si>
  <si>
    <t>cysteine biosynthetic process</t>
  </si>
  <si>
    <t>macroautophagy</t>
  </si>
  <si>
    <t>phagophore assembly site</t>
  </si>
  <si>
    <t>endosome</t>
  </si>
  <si>
    <t>nucleotide-sugar biosynthetic process</t>
  </si>
  <si>
    <t>GDP-mannose metabolic process</t>
  </si>
  <si>
    <t>GDP-mannose biosynthetic process</t>
  </si>
  <si>
    <t>'de novo' NAD biosynthetic process</t>
  </si>
  <si>
    <t>'de novo' NAD biosynthetic process from tryptophan</t>
  </si>
  <si>
    <t>gamma-aminobutyric acid metabolic process</t>
  </si>
  <si>
    <t>TOR complex</t>
  </si>
  <si>
    <t>ATPase regulator activity</t>
  </si>
  <si>
    <t>proton-transporting ATP synthase activity, rotational mechanism</t>
  </si>
  <si>
    <t>site of DNA damage</t>
  </si>
  <si>
    <t>site of double-strand break</t>
  </si>
  <si>
    <t>protein prenyltransferase activity</t>
  </si>
  <si>
    <t>prenylation</t>
  </si>
  <si>
    <t>protein prenylation</t>
  </si>
  <si>
    <t>protein quality control for misfolded or incompletely synthesized proteins</t>
  </si>
  <si>
    <t>aldehyde catabolic process</t>
  </si>
  <si>
    <t>vacuolar part</t>
  </si>
  <si>
    <t>oxidoreductase activity, acting on single donors with incorporation of molecular oxygen, incorporation of two atoms of oxygen</t>
  </si>
  <si>
    <t>FGRAMPH1_01T09751;FGRAMPH1_01T23853</t>
  </si>
  <si>
    <t>FGRAMPH1_01T23387;FGRAMPH1_01T26989;FGRAMPH1_01T23721</t>
  </si>
  <si>
    <t>FGRAMPH1_01T10657;FGRAMPH1_01T27733</t>
  </si>
  <si>
    <t>response to starvation</t>
  </si>
  <si>
    <t>cellular response to starvation</t>
  </si>
  <si>
    <t>mRNA binding</t>
  </si>
  <si>
    <t>dipeptidyl-peptidase activity</t>
  </si>
  <si>
    <t>proteasome accessory complex</t>
  </si>
  <si>
    <t>proteasome regulatory particle</t>
  </si>
  <si>
    <t>thioester biosynthetic process</t>
  </si>
  <si>
    <t>positive regulation of hydrolase activity</t>
  </si>
  <si>
    <t>positive regulation of GTPase activity</t>
  </si>
  <si>
    <t>tetrahydrofolate metabolic process</t>
  </si>
  <si>
    <t>nitronate monooxygenase activity</t>
  </si>
  <si>
    <t>L-methionine biosynthetic process</t>
  </si>
  <si>
    <t>superoxide metabolic process</t>
  </si>
  <si>
    <t>cellular metal ion homeostasis</t>
  </si>
  <si>
    <t>organelle envelope lumen</t>
  </si>
  <si>
    <t>mitochondrial intermembrane space</t>
  </si>
  <si>
    <t>cysteine metabolic process</t>
  </si>
  <si>
    <t>mRNA cleavage factor complex</t>
  </si>
  <si>
    <t>mRNA 3'-end processing</t>
  </si>
  <si>
    <t>RNA polyadenylation</t>
  </si>
  <si>
    <t>nucleotide-sugar metabolic process</t>
  </si>
  <si>
    <t>hydrolase activity, acting on acid carbon-carbon bonds</t>
  </si>
  <si>
    <t>hydrolase activity, acting on acid carbon-carbon bonds, in ketonic substances</t>
  </si>
  <si>
    <t>vitamin B6 metabolic process</t>
  </si>
  <si>
    <t>vitamin B6 biosynthetic process</t>
  </si>
  <si>
    <t>proton-transporting V-type ATPase, V1 domain</t>
  </si>
  <si>
    <t>meiosis I cell cycle process</t>
  </si>
  <si>
    <t>meiosis I</t>
  </si>
  <si>
    <t>cytosolic transport</t>
  </si>
  <si>
    <t>retrograde transport, endosome to Golgi</t>
  </si>
  <si>
    <t>oxidoreductase activity, acting on the aldehyde or oxo group of donors, disulfide as acceptor</t>
  </si>
  <si>
    <t>regulation of catabolic process</t>
  </si>
  <si>
    <t>FGRAMPH1_01T22437;FGRAMPH1_01T27409;FGRAMPH1_01T01953;FGRAMPH1_01T23981;FGRAMPH1_01T01971;FGRAMPH1_01T01433;FGRAMPH1_01T03059;FGRAMPH1_01T02551;FGRAMPH1_01T26067;FGRAMPH1_01T07619;FGRAMPH1_01T23815;FGRAMPH1_01T14285;FGRAMPH1_01T17015;FGRAMPH1_01T26507;FGRAMPH1_01T19915;FGRAMPH1_01T24825;FGRAMPH1_01T01867;FGRAMPH1_01T00999;FGRAMPH1_01T22507;FGRAMPH1_01T02733;FGRAMPH1_01T24349;FGRAMPH1_01T07793;FGRAMPH1_01T24003;FGRAMPH1_01T09699;FGRAMPH1_01T26425;FGRAMPH1_01T26211;FGRAMPH1_01T27185</t>
  </si>
  <si>
    <t>FGRAMPH1_01T00131;FGRAMPH1_01T09073;FGRAMPH1_01T17069;FGRAMPH1_01T04271;FGRAMPH1_01T25185;FGRAMPH1_01T26927;FGRAMPH1_01T00633;FGRAMPH1_01T03327</t>
  </si>
  <si>
    <t>FGRAMPH1_01T02707;FGRAMPH1_01T09063;FGRAMPH1_01T11061;FGRAMPH1_01T01971;FGRAMPH1_01T03831;FGRAMPH1_01T23721;FGRAMPH1_01T06159;FGRAMPH1_01T07687;FGRAMPH1_01T04893;FGRAMPH1_01T17639;FGRAMPH1_01T14449;FGRAMPH1_01T16123;FGRAMPH1_01T17057;FGRAMPH1_01T03729;FGRAMPH1_01T00539;FGRAMPH1_01T26705;FGRAMPH1_01T00779;FGRAMPH1_01T03209;FGRAMPH1_01T09075;FGRAMPH1_01T18141;FGRAMPH1_01T24721;FGRAMPH1_01T08663;FGRAMPH1_01T03447;FGRAMPH1_01T02753;FGRAMPH1_01T26425;FGRAMPH1_01T12835;FGRAMPH1_01T11109;FGRAMPH1_01T26395;FGRAMPH1_01T27043;FGRAMPH1_01T19225;FGRAMPH1_01T10573;FGRAMPH1_01T17301;FGRAMPH1_01T20513;FGRAMPH1_01T18195;FGRAMPH1_01T20155;FGRAMPH1_01T03413;FGRAMPH1_01T07543;FGRAMPH1_01T00143;FGRAMPH1_01T04665;FGRAMPH1_01T20475;FGRAMPH1_01T22577;FGRAMPH1_01T27793;FGRAMPH1_01T09879;FGRAMPH1_01T10707;FGRAMPH1_01T12449;FGRAMPH1_01T16409;FGRAMPH1_01T11997;FGRAMPH1_01T16769;FGRAMPH1_01T13671;FGRAMPH1_01T15571;FGRAMPH1_01T17197;FGRAMPH1_01T24349;FGRAMPH1_01T26169;FGRAMPH1_01T09731;FGRAMPH1_01T06811</t>
  </si>
  <si>
    <t>microbody</t>
  </si>
  <si>
    <t>peroxisome</t>
  </si>
  <si>
    <t>regulation of cellular component biogenesis</t>
  </si>
  <si>
    <t>FGRAMPH1_01T10657;FGRAMPH1_01T03447</t>
  </si>
  <si>
    <t>FGRAMPH1_01T06879;FGRAMPH1_01T16933</t>
  </si>
  <si>
    <t>cellular ketone metabolic process</t>
  </si>
  <si>
    <t>protein modification by small protein conjugation</t>
  </si>
  <si>
    <t>FGRAMPH1_01T06855;FGRAMPH1_01T26705;FGRAMPH1_01T11109;FGRAMPH1_01T10201;FGRAMPH1_01T20155;FGRAMPH1_01T23731</t>
  </si>
  <si>
    <t>metal cluster binding</t>
  </si>
  <si>
    <t>FGRAMPH1_01T17343;FGRAMPH1_01T00747;FGRAMPH1_01T26727;FGRAMPH1_01T09927</t>
  </si>
  <si>
    <t>iron-sulfur cluster binding</t>
  </si>
  <si>
    <t>FGRAMPH1_01T10751;FGRAMPH1_01T23387;FGRAMPH1_01T26989;FGRAMPH1_01T23721</t>
  </si>
  <si>
    <t>FGRAMPH1_01T10657;FGRAMPH1_01T00779;FGRAMPH1_01T27733</t>
  </si>
  <si>
    <t>FGRAMPH1_01T10581;FGRAMPH1_01T26989;FGRAMPH1_01T17545</t>
  </si>
  <si>
    <t>FGRAMPH1_01T12449;FGRAMPH1_01T09063;FGRAMPH1_01T17639;FGRAMPH1_01T03447</t>
  </si>
  <si>
    <t>cellular modified amino acid biosynthetic process</t>
  </si>
  <si>
    <t>FGRAMPH1_01T07131;FGRAMPH1_01T07687</t>
  </si>
  <si>
    <t>positive regulation of biological process</t>
  </si>
  <si>
    <t>FGRAMPH1_01T02707;FGRAMPH1_01T15463;FGRAMPH1_01T22437;FGRAMPH1_01T19749;FGRAMPH1_01T27409;FGRAMPH1_01T00129;FGRAMPH1_01T18253;FGRAMPH1_01T00405;FGRAMPH1_01T27609;FGRAMPH1_01T09741;FGRAMPH1_01T09067;FGRAMPH1_01T21781;FGRAMPH1_01T23287;FGRAMPH1_01T05025;FGRAMPH1_01T01651;FGRAMPH1_01T25303;FGRAMPH1_01T03321;FGRAMPH1_01T27253;FGRAMPH1_01T16705;FGRAMPH1_01T14187;FGRAMPH1_01T17015;FGRAMPH1_01T00779;FGRAMPH1_01T03209;FGRAMPH1_01T22507;FGRAMPH1_01T08663;FGRAMPH1_01T07331;FGRAMPH1_01T20565;FGRAMPH1_01T10657;FGRAMPH1_01T12233;FGRAMPH1_01T17845;FGRAMPH1_01T10573;FGRAMPH1_01T20639;FGRAMPH1_01T18471;FGRAMPH1_01T22893;FGRAMPH1_01T23305;FGRAMPH1_01T27027;FGRAMPH1_01T22577;FGRAMPH1_01T03179;FGRAMPH1_01T08305;FGRAMPH1_01T10707;FGRAMPH1_01T26981;FGRAMPH1_01T07619;FGRAMPH1_01T11835;FGRAMPH1_01T13859;FGRAMPH1_01T16647;FGRAMPH1_01T14985;FGRAMPH1_01T23815;FGRAMPH1_01T14285;FGRAMPH1_01T13671;FGRAMPH1_01T23375;FGRAMPH1_01T06783;FGRAMPH1_01T26169;FGRAMPH1_01T07113;FGRAMPH1_01T23853;FGRAMPH1_01T09699;FGRAMPH1_01T27185;FGRAMPH1_01T05923;FGRAMPH1_01T09927;FGRAMPH1_01T15407;FGRAMPH1_01T19201;FGRAMPH1_01T27061</t>
  </si>
  <si>
    <t>sulfurtransferase activity</t>
  </si>
  <si>
    <t>flavin-containing compound metabolic process</t>
  </si>
  <si>
    <t>riboflavin metabolic process</t>
  </si>
  <si>
    <t>flavin-containing compound biosynthetic process</t>
  </si>
  <si>
    <t>riboflavin biosynthetic process</t>
  </si>
  <si>
    <t>cell division site part</t>
  </si>
  <si>
    <t>scopolin beta-glucosidase activity</t>
  </si>
  <si>
    <t>glutathione biosynthetic process</t>
  </si>
  <si>
    <t>'de novo' IMP biosynthetic process</t>
  </si>
  <si>
    <t>purine-containing compound salvage</t>
  </si>
  <si>
    <t>cellular cation homeostasis</t>
  </si>
  <si>
    <t>adenylyltransferase activity</t>
  </si>
  <si>
    <t>mitochondrial genome maintenance</t>
  </si>
  <si>
    <t>oxidative phosphorylation</t>
  </si>
  <si>
    <t>ATP synthesis coupled electron transport</t>
  </si>
  <si>
    <t>kinase binding</t>
  </si>
  <si>
    <t>protein kinase binding</t>
  </si>
  <si>
    <t>aldehyde-lyase activity</t>
  </si>
  <si>
    <t>meiotic nuclear division</t>
  </si>
  <si>
    <t>FGRAMPH1_01T02551;FGRAMPH1_01T22437;FGRAMPH1_01T00999;FGRAMPH1_01T02797;FGRAMPH1_01T01433;FGRAMPH1_01T03005;FGRAMPH1_01T03059;FGRAMPH1_01T09699;FGRAMPH1_01T26425</t>
  </si>
  <si>
    <t>FGRAMPH1_01T06029;FGRAMPH1_01T26989;FGRAMPH1_01T00981</t>
  </si>
  <si>
    <t>FGRAMPH1_01T11251;FGRAMPH1_01T06317;FGRAMPH1_01T14001</t>
  </si>
  <si>
    <t>FGRAMPH1_01T16409;FGRAMPH1_01T09751;FGRAMPH1_01T24469</t>
  </si>
  <si>
    <t>FGRAMPH1_01T19749;FGRAMPH1_01T27409;FGRAMPH1_01T18253;FGRAMPH1_01T11061;FGRAMPH1_01T21781;FGRAMPH1_01T23287;FGRAMPH1_01T03831;FGRAMPH1_01T23721;FGRAMPH1_01T01651;FGRAMPH1_01T06159;FGRAMPH1_01T03321;FGRAMPH1_01T04893;FGRAMPH1_01T27253;FGRAMPH1_01T14449;FGRAMPH1_01T14187;FGRAMPH1_01T16123;FGRAMPH1_01T17057;FGRAMPH1_01T03729;FGRAMPH1_01T26705;FGRAMPH1_01T03209;FGRAMPH1_01T22507;FGRAMPH1_01T18141;FGRAMPH1_01T03447;FGRAMPH1_01T02753;FGRAMPH1_01T20565;FGRAMPH1_01T26425;FGRAMPH1_01T12835;FGRAMPH1_01T10657;FGRAMPH1_01T11109;FGRAMPH1_01T26395;FGRAMPH1_01T17845;FGRAMPH1_01T19225;FGRAMPH1_01T20513;FGRAMPH1_01T20639;FGRAMPH1_01T22893;FGRAMPH1_01T07543;FGRAMPH1_01T27027;FGRAMPH1_01T04665;FGRAMPH1_01T20475;FGRAMPH1_01T03179;FGRAMPH1_01T27793;FGRAMPH1_01T10707;FGRAMPH1_01T26981;FGRAMPH1_01T12449;FGRAMPH1_01T16409;FGRAMPH1_01T16647;FGRAMPH1_01T11997;FGRAMPH1_01T16769;FGRAMPH1_01T14985;FGRAMPH1_01T13671;FGRAMPH1_01T15571;FGRAMPH1_01T17197;FGRAMPH1_01T26169;FGRAMPH1_01T09731;FGRAMPH1_01T23853;FGRAMPH1_01T09699;FGRAMPH1_01T05923;FGRAMPH1_01T02707;FGRAMPH1_01T15463;FGRAMPH1_01T22437;FGRAMPH1_01T00129;FGRAMPH1_01T09063;FGRAMPH1_01T00405;FGRAMPH1_01T27609;FGRAMPH1_01T09741;FGRAMPH1_01T09067;FGRAMPH1_01T01971;FGRAMPH1_01T05025;FGRAMPH1_01T07687;FGRAMPH1_01T25303;FGRAMPH1_01T16705;FGRAMPH1_01T17639;FGRAMPH1_01T17015;FGRAMPH1_01T00539;FGRAMPH1_01T00779;FGRAMPH1_01T09075;FGRAMPH1_01T24721;FGRAMPH1_01T08663;FGRAMPH1_01T07331;FGRAMPH1_01T27043;FGRAMPH1_01T12233;FGRAMPH1_01T10573;FGRAMPH1_01T17301;FGRAMPH1_01T18471;FGRAMPH1_01T18195;FGRAMPH1_01T20155;FGRAMPH1_01T03413;FGRAMPH1_01T23305;FGRAMPH1_01T00143;FGRAMPH1_01T22577;FGRAMPH1_01T08305;FGRAMPH1_01T09879;FGRAMPH1_01T07619;FGRAMPH1_01T11835;FGRAMPH1_01T13859;FGRAMPH1_01T23815;FGRAMPH1_01T14285;FGRAMPH1_01T24349;FGRAMPH1_01T23375;FGRAMPH1_01T06783;FGRAMPH1_01T07113;FGRAMPH1_01T06811;FGRAMPH1_01T27185;FGRAMPH1_01T09927;FGRAMPH1_01T15407;FGRAMPH1_01T19201;FGRAMPH1_01T27061</t>
  </si>
  <si>
    <t>FGRAMPH1_01T06029;FGRAMPH1_01T10751;FGRAMPH1_01T26989;FGRAMPH1_01T00981</t>
  </si>
  <si>
    <t>FGRAMPH1_01T02771;FGRAMPH1_01T18897;FGRAMPH1_01T09879;FGRAMPH1_01T00539;FGRAMPH1_01T17529;FGRAMPH1_01T22893;FGRAMPH1_01T06011;FGRAMPH1_01T07331;FGRAMPH1_01T03169</t>
  </si>
  <si>
    <t>proteasome core complex, alpha-subunit complex</t>
  </si>
  <si>
    <t>acetyl-CoA metabolic process</t>
  </si>
  <si>
    <t>nucleoside bisphosphate biosynthetic process</t>
  </si>
  <si>
    <t>ribonucleoside bisphosphate biosynthetic process</t>
  </si>
  <si>
    <t>purine nucleoside bisphosphate biosynthetic process</t>
  </si>
  <si>
    <t>DNA helicase complex</t>
  </si>
  <si>
    <t>INO80-type complex</t>
  </si>
  <si>
    <t>Ino80 complex</t>
  </si>
  <si>
    <t>regulation of GTPase activity</t>
  </si>
  <si>
    <t>nonribosomal peptide biosynthetic process</t>
  </si>
  <si>
    <t>folic acid-containing compound biosynthetic process</t>
  </si>
  <si>
    <t>IMP metabolic process</t>
  </si>
  <si>
    <t>IMP biosynthetic process</t>
  </si>
  <si>
    <t>import into cell</t>
  </si>
  <si>
    <t>catalase activity</t>
  </si>
  <si>
    <t>lytic vacuole membrane</t>
  </si>
  <si>
    <t>fungal-type vacuole membrane</t>
  </si>
  <si>
    <t>kynurenine metabolic process</t>
  </si>
  <si>
    <t>regulation of protein serine/threonine kinase activity</t>
  </si>
  <si>
    <t>regulation of cyclin-dependent protein serine/threonine kinase activity</t>
  </si>
  <si>
    <t>protein processing</t>
  </si>
  <si>
    <t>catalytic complex</t>
  </si>
  <si>
    <t>FGRAMPH1_01T03321;FGRAMPH1_01T04893;FGRAMPH1_01T00281;FGRAMPH1_01T26727;FGRAMPH1_01T02889;FGRAMPH1_01T12467;FGRAMPH1_01T02797;FGRAMPH1_01T01433;FGRAMPH1_01T03059</t>
  </si>
  <si>
    <t>FGRAMPH1_01T03737;FGRAMPH1_01T14985;FGRAMPH1_01T19369;FGRAMPH1_01T23269</t>
  </si>
  <si>
    <t>FGRAMPH1_01T06029;FGRAMPH1_01T23387;FGRAMPH1_01T26989;FGRAMPH1_01T00981;FGRAMPH1_01T23721</t>
  </si>
  <si>
    <t>FGRAMPH1_01T10751;FGRAMPH1_01T23387;FGRAMPH1_01T23721</t>
  </si>
  <si>
    <t>proton-transporting two-sector ATPase complex</t>
  </si>
  <si>
    <t>transferase activity, transferring sulfur-containing groups</t>
  </si>
  <si>
    <t>oxidoreductase activity, acting on NAD(P)H, heme protein as acceptor</t>
  </si>
  <si>
    <t>tRNA binding</t>
  </si>
  <si>
    <t>lipid glycosylation</t>
  </si>
  <si>
    <t>kinase regulator activity</t>
  </si>
  <si>
    <t>protein kinase regulator activity</t>
  </si>
  <si>
    <t>pteridine-containing compound biosynthetic process</t>
  </si>
  <si>
    <t>hydroxymethyl-, formyl- and related transferase activity</t>
  </si>
  <si>
    <t>glycosyl compound biosynthetic process</t>
  </si>
  <si>
    <t>cellular ion homeostasis</t>
  </si>
  <si>
    <t>cation homeostasis</t>
  </si>
  <si>
    <t>RNA 3'-end processing</t>
  </si>
  <si>
    <t>cellular biogenic amine catabolic process</t>
  </si>
  <si>
    <t>indole-containing compound catabolic process</t>
  </si>
  <si>
    <t>indolalkylamine catabolic process</t>
  </si>
  <si>
    <t>tryptophan catabolic process</t>
  </si>
  <si>
    <t>NADH dehydrogenase activity</t>
  </si>
  <si>
    <t>NADH dehydrogenase (quinone) activity</t>
  </si>
  <si>
    <t>NADH dehydrogenase (ubiquinone) activity</t>
  </si>
  <si>
    <t>respiratory electron transport chain</t>
  </si>
  <si>
    <t>regulation of protein kinase activity</t>
  </si>
  <si>
    <t>regulation of cyclin-dependent protein kinase activity</t>
  </si>
  <si>
    <t>proton-transporting ATP synthase complex</t>
  </si>
  <si>
    <t>lipid transporter activity</t>
  </si>
  <si>
    <t>FGRAMPH1_01T10581;FGRAMPH1_01T05043;FGRAMPH1_01T26989;FGRAMPH1_01T17545</t>
  </si>
  <si>
    <t>FGRAMPH1_01T15165;FGRAMPH1_01T22955;FGRAMPH1_01T00747;FGRAMPH1_01T02889;FGRAMPH1_01T23387;FGRAMPH1_01T05025;FGRAMPH1_01T07687;FGRAMPH1_01T03321;FGRAMPH1_01T04893;FGRAMPH1_01T10007;FGRAMPH1_01T16409;FGRAMPH1_01T27253;FGRAMPH1_01T17235;FGRAMPH1_01T15571;FGRAMPH1_01T03209;FGRAMPH1_01T24721;FGRAMPH1_01T07131;FGRAMPH1_01T08663;FGRAMPH1_01T02753;FGRAMPH1_01T07113;FGRAMPH1_01T04069;FGRAMPH1_01T03353;FGRAMPH1_01T10755;FGRAMPH1_01T05923;FGRAMPH1_01T27043;FGRAMPH1_01T15407;FGRAMPH1_01T19045;FGRAMPH1_01T16933;FGRAMPH1_01T19883;FGRAMPH1_01T18899;FGRAMPH1_01T14555</t>
  </si>
  <si>
    <t>FGRAMPH1_01T02707;FGRAMPH1_01T15463;FGRAMPH1_01T22437;FGRAMPH1_01T19749;FGRAMPH1_01T27409;FGRAMPH1_01T00129;FGRAMPH1_01T18253;FGRAMPH1_01T00405;FGRAMPH1_01T27609;FGRAMPH1_01T09741;FGRAMPH1_01T09067;FGRAMPH1_01T21781;FGRAMPH1_01T23287;FGRAMPH1_01T05025;FGRAMPH1_01T01651;FGRAMPH1_01T25303;FGRAMPH1_01T03321;FGRAMPH1_01T27253;FGRAMPH1_01T16705;FGRAMPH1_01T14187;FGRAMPH1_01T17015;FGRAMPH1_01T00779;FGRAMPH1_01T03209;FGRAMPH1_01T22507;FGRAMPH1_01T08663;FGRAMPH1_01T07331;FGRAMPH1_01T20565;FGRAMPH1_01T10657;FGRAMPH1_01T12233;FGRAMPH1_01T17845;FGRAMPH1_01T10573;FGRAMPH1_01T20639;FGRAMPH1_01T18471;FGRAMPH1_01T22893;FGRAMPH1_01T23305;FGRAMPH1_01T27027;FGRAMPH1_01T22577;FGRAMPH1_01T03179;FGRAMPH1_01T08305;FGRAMPH1_01T10707;FGRAMPH1_01T26981;FGRAMPH1_01T07619;FGRAMPH1_01T11835;FGRAMPH1_01T13859;FGRAMPH1_01T16647;FGRAMPH1_01T23815;FGRAMPH1_01T13671;FGRAMPH1_01T23375;FGRAMPH1_01T06783;FGRAMPH1_01T26169;FGRAMPH1_01T07113;FGRAMPH1_01T23853;FGRAMPH1_01T09699;FGRAMPH1_01T27185;FGRAMPH1_01T05923;FGRAMPH1_01T09927;FGRAMPH1_01T15407;FGRAMPH1_01T19201;FGRAMPH1_01T27061</t>
  </si>
  <si>
    <t>active ion transmembrane transporter activity</t>
  </si>
  <si>
    <t>ATPase coupled ion transmembrane transporter activity</t>
  </si>
  <si>
    <t>cation-transporting ATPase activity</t>
  </si>
  <si>
    <t>proton transmembrane transport</t>
  </si>
  <si>
    <t>FGRAMPH1_01T17301;FGRAMPH1_01T02707;FGRAMPH1_01T09879;FGRAMPH1_01T20513;FGRAMPH1_01T12835;FGRAMPH1_01T00539;FGRAMPH1_01T17197;FGRAMPH1_01T16769;FGRAMPH1_01T07543;FGRAMPH1_01T20475</t>
  </si>
  <si>
    <t>FGRAMPH1_01T02551;FGRAMPH1_01T26067;FGRAMPH1_01T22437;FGRAMPH1_01T27185;FGRAMPH1_01T27409;FGRAMPH1_01T00999;FGRAMPH1_01T22507;FGRAMPH1_01T02733;FGRAMPH1_01T01433;FGRAMPH1_01T03059;FGRAMPH1_01T09699;FGRAMPH1_01T26425</t>
  </si>
  <si>
    <t>protein modification by small protein removal</t>
  </si>
  <si>
    <t>protein deubiquitination</t>
  </si>
  <si>
    <t>positive regulation of catalytic activity</t>
  </si>
  <si>
    <t>phosphotransferase activity, phosphate group as acceptor</t>
  </si>
  <si>
    <t>amine catabolic process</t>
  </si>
  <si>
    <t>regulation of protein phosphorylation</t>
  </si>
  <si>
    <t>energy coupled proton transport, down electrochemical gradient</t>
  </si>
  <si>
    <t>ATP synthesis coupled proton transport</t>
  </si>
  <si>
    <t>protein maturation</t>
  </si>
  <si>
    <t>FGRAMPH1_01T06029;FGRAMPH1_01T10751;FGRAMPH1_01T23387;FGRAMPH1_01T26989;FGRAMPH1_01T00981;FGRAMPH1_01T23721</t>
  </si>
  <si>
    <t>FGRAMPH1_01T02551;FGRAMPH1_01T26067;FGRAMPH1_01T22437;FGRAMPH1_01T27409;FGRAMPH1_01T00999;FGRAMPH1_01T22507;FGRAMPH1_01T02733;FGRAMPH1_01T01433;FGRAMPH1_01T03059;FGRAMPH1_01T09699;FGRAMPH1_01T26425</t>
  </si>
  <si>
    <t>proteasomal protein catabolic process</t>
  </si>
  <si>
    <t>proteasome-mediated ubiquitin-dependent protein catabolic process</t>
  </si>
  <si>
    <t>SWI/SNF superfamily-type complex</t>
  </si>
  <si>
    <t>phosphotransferase activity, for other substituted phosphate groups</t>
  </si>
  <si>
    <t>ion homeostasis</t>
  </si>
  <si>
    <t>serine family amino acid biosynthetic process</t>
  </si>
  <si>
    <t>regulation of kinase activity</t>
  </si>
  <si>
    <t>meiotic cell cycle process</t>
  </si>
  <si>
    <t>protein targeting</t>
  </si>
  <si>
    <t>phospholipid biosynthetic process</t>
  </si>
  <si>
    <t>FGRAMPH1_01T06879;FGRAMPH1_01T10621</t>
  </si>
  <si>
    <t>NAD binding</t>
  </si>
  <si>
    <t>FGRAMPH1_01T17529;FGRAMPH1_01T22893;FGRAMPH1_01T19883</t>
  </si>
  <si>
    <t>establishment of protein localization to organelle</t>
  </si>
  <si>
    <t>ubiquitin-like protein-specific protease activity</t>
  </si>
  <si>
    <t>ubiquitinyl hydrolase activity</t>
  </si>
  <si>
    <t>thiol-dependent ubiquitinyl hydrolase activity</t>
  </si>
  <si>
    <t>ATPase complex</t>
  </si>
  <si>
    <t>L-serine metabolic process</t>
  </si>
  <si>
    <t>purine nucleoside metabolic process</t>
  </si>
  <si>
    <t>purine ribonucleoside metabolic process</t>
  </si>
  <si>
    <t>electron transport chain</t>
  </si>
  <si>
    <t>regulation of phosphorylation</t>
  </si>
  <si>
    <t>meiotic cell cycle</t>
  </si>
  <si>
    <t>prenyltransferase activity</t>
  </si>
  <si>
    <t>regulation of organelle organization</t>
  </si>
  <si>
    <t>negative regulation of RNA metabolic process</t>
  </si>
  <si>
    <t>negative regulation of RNA biosynthetic process</t>
  </si>
  <si>
    <t>negative regulation of nucleic acid-templated transcription</t>
  </si>
  <si>
    <t>negative regulation of transcription, DNA-templated</t>
  </si>
  <si>
    <t>cellular developmental process</t>
  </si>
  <si>
    <t>regulation of transferase activity</t>
  </si>
  <si>
    <t>microbody part</t>
  </si>
  <si>
    <t>peroxisomal part</t>
  </si>
  <si>
    <t>FGRAMPH1_01T17343;FGRAMPH1_01T09927</t>
  </si>
  <si>
    <t>FGRAMPH1_01T15165;FGRAMPH1_01T22955;FGRAMPH1_01T03209;FGRAMPH1_01T24721;FGRAMPH1_01T08663;FGRAMPH1_01T23387;FGRAMPH1_01T07113;FGRAMPH1_01T05025;FGRAMPH1_01T03321;FGRAMPH1_01T04893;FGRAMPH1_01T10007;FGRAMPH1_01T16409;FGRAMPH1_01T27253;FGRAMPH1_01T27043;FGRAMPH1_01T15407;FGRAMPH1_01T19883;FGRAMPH1_01T18899</t>
  </si>
  <si>
    <t>chromatin remodeling</t>
  </si>
  <si>
    <t>cell division site</t>
  </si>
  <si>
    <t>FGRAMPH1_01T10007;FGRAMPH1_01T03737;FGRAMPH1_01T14985;FGRAMPH1_01T19369;FGRAMPH1_01T23269</t>
  </si>
  <si>
    <t>FGRAMPH1_01T02707;FGRAMPH1_01T09781;FGRAMPH1_01T09063;FGRAMPH1_01T11061;FGRAMPH1_01T27609;FGRAMPH1_01T01971;FGRAMPH1_01T03831;FGRAMPH1_01T23721;FGRAMPH1_01T06159;FGRAMPH1_01T07687;FGRAMPH1_01T04893;FGRAMPH1_01T17639;FGRAMPH1_01T14449;FGRAMPH1_01T16123;FGRAMPH1_01T17057;FGRAMPH1_01T03729;FGRAMPH1_01T00539;FGRAMPH1_01T00779;FGRAMPH1_01T03209;FGRAMPH1_01T09075;FGRAMPH1_01T18141;FGRAMPH1_01T24721;FGRAMPH1_01T08663;FGRAMPH1_01T03447;FGRAMPH1_01T02753;FGRAMPH1_01T03169;FGRAMPH1_01T26425;FGRAMPH1_01T12835;FGRAMPH1_01T26395;FGRAMPH1_01T27043;FGRAMPH1_01T17529;FGRAMPH1_01T19225;FGRAMPH1_01T10573;FGRAMPH1_01T17301;FGRAMPH1_01T20513;FGRAMPH1_01T18195;FGRAMPH1_01T22893;FGRAMPH1_01T03413;FGRAMPH1_01T07543;FGRAMPH1_01T00143;FGRAMPH1_01T04665;FGRAMPH1_01T20475;FGRAMPH1_01T22577;FGRAMPH1_01T09879;FGRAMPH1_01T12449;FGRAMPH1_01T16409;FGRAMPH1_01T02091;FGRAMPH1_01T11997;FGRAMPH1_01T16769;FGRAMPH1_01T13671;FGRAMPH1_01T15571;FGRAMPH1_01T17197;FGRAMPH1_01T24349;FGRAMPH1_01T26169;FGRAMPH1_01T09731;FGRAMPH1_01T06811;FGRAMPH1_01T19883</t>
  </si>
  <si>
    <t>negative regulation of macromolecule biosynthetic process</t>
  </si>
  <si>
    <t>negative regulation of nucleobase-containing compound metabolic process</t>
  </si>
  <si>
    <t>negative regulation of cellular macromolecule biosynthetic process</t>
  </si>
  <si>
    <t>protein tyrosine phosphatase activity</t>
  </si>
  <si>
    <t>regulation of phosphorus metabolic process</t>
  </si>
  <si>
    <t>regulation of phosphate metabolic process</t>
  </si>
  <si>
    <t>proton-transporting V-type ATPase complex</t>
  </si>
  <si>
    <t>reproductive process</t>
  </si>
  <si>
    <t>FGRAMPH1_01T15571;FGRAMPH1_01T02753</t>
  </si>
  <si>
    <t>FGRAMPH1_01T07305;FGRAMPH1_01T02791;FGRAMPH1_01T02859;FGRAMPH1_01T20565;FGRAMPH1_01T09731</t>
  </si>
  <si>
    <t>protein localization to organelle</t>
  </si>
  <si>
    <t>regulation of cellular component organization</t>
  </si>
  <si>
    <t>nuclear chromatin</t>
  </si>
  <si>
    <t>regulation of protein modification process</t>
  </si>
  <si>
    <t>FGRAMPH1_01T11061;FGRAMPH1_01T01679;FGRAMPH1_01T04769;FGRAMPH1_01T22893;FGRAMPH1_01T05043;FGRAMPH1_01T01433;FGRAMPH1_01T03321;FGRAMPH1_01T00131;FGRAMPH1_01T02551;FGRAMPH1_01T26981;FGRAMPH1_01T10007;FGRAMPH1_01T14949;FGRAMPH1_01T16409;FGRAMPH1_01T10663;FGRAMPH1_01T14449;FGRAMPH1_01T23815;FGRAMPH1_01T23319;FGRAMPH1_01T15571;FGRAMPH1_01T26705;FGRAMPH1_01T26727;FGRAMPH1_01T22507;FGRAMPH1_01T03029;FGRAMPH1_01T07331;FGRAMPH1_01T07793;FGRAMPH1_01T02753;FGRAMPH1_01T06783;FGRAMPH1_01T07157;FGRAMPH1_01T23755;FGRAMPH1_01T26425;FGRAMPH1_01T10639;FGRAMPH1_01T03033;FGRAMPH1_01T02261;FGRAMPH1_01T05923;FGRAMPH1_01T10657;FGRAMPH1_01T09927;FGRAMPH1_01T27043;FGRAMPH1_01T10751</t>
  </si>
  <si>
    <t>negative regulation of biosynthetic process</t>
  </si>
  <si>
    <t>negative regulation of cellular biosynthetic process</t>
  </si>
  <si>
    <t>supramolecular fiber organization</t>
  </si>
  <si>
    <t>vesicle</t>
  </si>
  <si>
    <t>intracellular vesicle</t>
  </si>
  <si>
    <t>cytoplasmic vesicle</t>
  </si>
  <si>
    <t>energy coupled proton transmembrane transport, against electrochemical gradient</t>
  </si>
  <si>
    <t>ATP hydrolysis coupled transmembrane transport</t>
  </si>
  <si>
    <t>ATP hydrolysis coupled ion transmembrane transport</t>
  </si>
  <si>
    <t>ATP hydrolysis coupled proton transport</t>
  </si>
  <si>
    <t>FGRAMPH1_01T01867;FGRAMPH1_01T00779;FGRAMPH1_01T03209;FGRAMPH1_01T11061;FGRAMPH1_01T27043;FGRAMPH1_01T24349;FGRAMPH1_01T14449;FGRAMPH1_01T01971;FGRAMPH1_01T24003;FGRAMPH1_01T14555</t>
  </si>
  <si>
    <t>FGRAMPH1_01T15165;FGRAMPH1_01T22955;FGRAMPH1_01T17343;FGRAMPH1_01T00747;FGRAMPH1_01T02889;FGRAMPH1_01T23387;FGRAMPH1_01T05025;FGRAMPH1_01T23721;FGRAMPH1_01T07687;FGRAMPH1_01T24357;FGRAMPH1_01T02771;FGRAMPH1_01T03321;FGRAMPH1_01T04893;FGRAMPH1_01T10007;FGRAMPH1_01T16409;FGRAMPH1_01T27253;FGRAMPH1_01T10663;FGRAMPH1_01T11453;FGRAMPH1_01T17235;FGRAMPH1_01T15571;FGRAMPH1_01T03209;FGRAMPH1_01T24721;FGRAMPH1_01T24469;FGRAMPH1_01T08663;FGRAMPH1_01T01501;FGRAMPH1_01T02753;FGRAMPH1_01T07113;FGRAMPH1_01T09731;FGRAMPH1_01T04069;FGRAMPH1_01T03353;FGRAMPH1_01T10755;FGRAMPH1_01T05923;FGRAMPH1_01T11989;FGRAMPH1_01T27043;FGRAMPH1_01T10993;FGRAMPH1_01T15407;FGRAMPH1_01T16933;FGRAMPH1_01T19883;FGRAMPH1_01T18899;FGRAMPH1_01T14555</t>
  </si>
  <si>
    <t>oxidoreductase activity, acting on the CH-NH2 group of donors</t>
  </si>
  <si>
    <t>nuclear division</t>
  </si>
  <si>
    <t>FGRAMPH1_01T13671;FGRAMPH1_01T00129;FGRAMPH1_01T11835;FGRAMPH1_01T09067;FGRAMPH1_01T23853;FGRAMPH1_01T03179;FGRAMPH1_01T25303</t>
  </si>
  <si>
    <t>FGRAMPH1_01T17301;FGRAMPH1_01T10657</t>
  </si>
  <si>
    <t>FGRAMPH1_01T00129;FGRAMPH1_01T11835;FGRAMPH1_01T13859;FGRAMPH1_01T17639;FGRAMPH1_01T09067;FGRAMPH1_01T03179;FGRAMPH1_01T25303</t>
  </si>
  <si>
    <t>FGRAMPH1_01T02183;FGRAMPH1_01T11061;FGRAMPH1_01T18471</t>
  </si>
  <si>
    <t>4 iron, 4 sulfur cluster binding</t>
  </si>
  <si>
    <t>FGRAMPH1_01T07305;FGRAMPH1_01T02791;FGRAMPH1_01T02859;FGRAMPH1_01T20565</t>
  </si>
  <si>
    <t>FGRAMPH1_01T11061;FGRAMPH1_01T18195;FGRAMPH1_01T01971;FGRAMPH1_01T03413;FGRAMPH1_01T03831;FGRAMPH1_01T04665;FGRAMPH1_01T23721;FGRAMPH1_01T07687;FGRAMPH1_01T04893;FGRAMPH1_01T16409;FGRAMPH1_01T11997;FGRAMPH1_01T14449;FGRAMPH1_01T16123;FGRAMPH1_01T03729;FGRAMPH1_01T15571;FGRAMPH1_01T00779;FGRAMPH1_01T03209;FGRAMPH1_01T09075;FGRAMPH1_01T18141;FGRAMPH1_01T24721;FGRAMPH1_01T08663;FGRAMPH1_01T24349;FGRAMPH1_01T02753;FGRAMPH1_01T09731;FGRAMPH1_01T26425;FGRAMPH1_01T26395;FGRAMPH1_01T27043;FGRAMPH1_01T19225;FGRAMPH1_01T10573</t>
  </si>
  <si>
    <t>FGRAMPH1_01T26067;FGRAMPH1_01T26425</t>
  </si>
  <si>
    <t>organelle organization</t>
  </si>
  <si>
    <t>FGRAMPH1_01T23815;FGRAMPH1_01T04893;FGRAMPH1_01T03033;FGRAMPH1_01T17057;FGRAMPH1_01T01679;FGRAMPH1_01T20155;FGRAMPH1_01T05043;FGRAMPH1_01T26425</t>
  </si>
  <si>
    <t>FGRAMPH1_01T26067;FGRAMPH1_01T02733;FGRAMPH1_01T26425</t>
  </si>
  <si>
    <t>ATP hydrolysis coupled cation transmembrane transport</t>
  </si>
  <si>
    <t>FGRAMPH1_01T13671;FGRAMPH1_01T12835;FGRAMPH1_01T00129;FGRAMPH1_01T11835;FGRAMPH1_01T09067;FGRAMPH1_01T03179;FGRAMPH1_01T25303</t>
  </si>
  <si>
    <t>FGRAMPH1_01T23319;FGRAMPH1_01T06811</t>
  </si>
  <si>
    <t>intracellular transport</t>
  </si>
  <si>
    <t>FGRAMPH1_01T02261;FGRAMPH1_01T26705;FGRAMPH1_01T01679;FGRAMPH1_01T20155;FGRAMPH1_01T26425</t>
  </si>
  <si>
    <t>FGRAMPH1_01T15165;FGRAMPH1_01T22955;FGRAMPH1_01T17343;FGRAMPH1_01T00747;FGRAMPH1_01T02889;FGRAMPH1_01T23387;FGRAMPH1_01T05025;FGRAMPH1_01T23721;FGRAMPH1_01T07687;FGRAMPH1_01T24357;FGRAMPH1_01T02771;FGRAMPH1_01T03321;FGRAMPH1_01T04893;FGRAMPH1_01T10007;FGRAMPH1_01T16409;FGRAMPH1_01T27253;FGRAMPH1_01T10663;FGRAMPH1_01T11453;FGRAMPH1_01T17235;FGRAMPH1_01T15571;FGRAMPH1_01T03209;FGRAMPH1_01T09751;FGRAMPH1_01T24721;FGRAMPH1_01T24469;FGRAMPH1_01T08663;FGRAMPH1_01T01501;FGRAMPH1_01T02753;FGRAMPH1_01T07113;FGRAMPH1_01T09731;FGRAMPH1_01T04069;FGRAMPH1_01T03353;FGRAMPH1_01T10755;FGRAMPH1_01T05923;FGRAMPH1_01T11989;FGRAMPH1_01T27043;FGRAMPH1_01T10993;FGRAMPH1_01T15407;FGRAMPH1_01T16933;FGRAMPH1_01T19883;FGRAMPH1_01T18899;FGRAMPH1_01T14555</t>
  </si>
  <si>
    <t>GTPase activity</t>
  </si>
  <si>
    <t>FGRAMPH1_01T17057;FGRAMPH1_01T06159</t>
  </si>
  <si>
    <t>FGRAMPH1_01T23815;FGRAMPH1_01T05043</t>
  </si>
  <si>
    <t>organelle fission</t>
  </si>
  <si>
    <t>establishment of localization in cell</t>
  </si>
  <si>
    <t>FGRAMPH1_01T04893;FGRAMPH1_01T03729;FGRAMPH1_01T23387;FGRAMPH1_01T03413;FGRAMPH1_01T23721;FGRAMPH1_01T26425</t>
  </si>
  <si>
    <t>FGRAMPH1_01T03729;FGRAMPH1_01T23387;FGRAMPH1_01T23721</t>
  </si>
  <si>
    <t>negative regulation of gene expression</t>
  </si>
  <si>
    <t>FGRAMPH1_01T01867;FGRAMPH1_01T00779;FGRAMPH1_01T03209;FGRAMPH1_01T11061;FGRAMPH1_01T18471;FGRAMPH1_01T24349;FGRAMPH1_01T01971;FGRAMPH1_01T24003;FGRAMPH1_01T02183;FGRAMPH1_01T27043;FGRAMPH1_01T10621;FGRAMPH1_01T14449;FGRAMPH1_01T14555</t>
  </si>
  <si>
    <t>FGRAMPH1_01T06029;FGRAMPH1_01T23387;FGRAMPH1_01T03029;FGRAMPH1_01T26989;FGRAMPH1_01T00981;FGRAMPH1_01T23721</t>
  </si>
  <si>
    <t>FGRAMPH1_01T14491;FGRAMPH1_01T01867;FGRAMPH1_01T00779;FGRAMPH1_01T20155;FGRAMPH1_01T05043</t>
  </si>
  <si>
    <t>N,N-dimethylaniline monooxygenase activity</t>
  </si>
  <si>
    <t>cell redox homeostasis</t>
  </si>
  <si>
    <t>FGRAMPH1_01T01867;FGRAMPH1_01T00779;FGRAMPH1_01T11061;FGRAMPH1_01T27043;FGRAMPH1_01T24349;FGRAMPH1_01T14449;FGRAMPH1_01T01971;FGRAMPH1_01T24003</t>
  </si>
  <si>
    <t>cellular amide metabolic process</t>
  </si>
  <si>
    <t>FGRAMPH1_01T17301;FGRAMPH1_01T26981;FGRAMPH1_01T00747;FGRAMPH1_01T15571;FGRAMPH1_01T03209;FGRAMPH1_01T07131;FGRAMPH1_01T02753;FGRAMPH1_01T09731;FGRAMPH1_01T11453;FGRAMPH1_01T07687</t>
  </si>
  <si>
    <t>peptidyl-amino acid modification</t>
  </si>
  <si>
    <t>mitochondrion organization</t>
  </si>
  <si>
    <t>Golgi vesicle transport</t>
  </si>
  <si>
    <t>FGRAMPH1_01T00131;FGRAMPH1_01T06879;FGRAMPH1_01T10621</t>
  </si>
  <si>
    <t>cell cycle</t>
  </si>
  <si>
    <t>chromatin</t>
  </si>
  <si>
    <t>hydrolase activity, acting on carbon-nitrogen (but not peptide) bonds</t>
  </si>
  <si>
    <t>FGRAMPH1_01T24721;FGRAMPH1_01T04129;FGRAMPH1_01T14555</t>
  </si>
  <si>
    <t>FGRAMPH1_01T09073;FGRAMPH1_01T04271;FGRAMPH1_01T25185</t>
  </si>
  <si>
    <t>homeostatic process</t>
  </si>
  <si>
    <t>FGRAMPH1_01T26067;FGRAMPH1_01T01433;FGRAMPH1_01T03059;FGRAMPH1_01T26425</t>
  </si>
  <si>
    <t>protein transport</t>
  </si>
  <si>
    <t>FGRAMPH1_01T02261;FGRAMPH1_01T26705;FGRAMPH1_01T01679;FGRAMPH1_01T26425</t>
  </si>
  <si>
    <t>glycosylation</t>
  </si>
  <si>
    <t>mitotic cell cycle process</t>
  </si>
  <si>
    <t>oxidoreductase activity, acting on paired donors, with incorporation or reduction of molecular oxygen, NAD(P)H as one donor, and incorporation of one atom of oxygen</t>
  </si>
  <si>
    <t>cellular component organization</t>
  </si>
  <si>
    <t>FGRAMPH1_01T23815;FGRAMPH1_01T04893;FGRAMPH1_01T03033;FGRAMPH1_01T17057;FGRAMPH1_01T10657;FGRAMPH1_01T01679;FGRAMPH1_01T20155;FGRAMPH1_01T05043;FGRAMPH1_01T26307;FGRAMPH1_01T26425</t>
  </si>
  <si>
    <t>mitotic cell cycle</t>
  </si>
  <si>
    <t>S-adenosylmethionine-dependent methyltransferase activity</t>
  </si>
  <si>
    <t>FGRAMPH1_01T15165;FGRAMPH1_01T22955;FGRAMPH1_01T17343;FGRAMPH1_01T23387;FGRAMPH1_01T05025;FGRAMPH1_01T23721;FGRAMPH1_01T07687;FGRAMPH1_01T02771;FGRAMPH1_01T03321;FGRAMPH1_01T04893;FGRAMPH1_01T10007;FGRAMPH1_01T16409;FGRAMPH1_01T27253;FGRAMPH1_01T10663;FGRAMPH1_01T11453;FGRAMPH1_01T17235;FGRAMPH1_01T15571;FGRAMPH1_01T03209;FGRAMPH1_01T09751;FGRAMPH1_01T24721;FGRAMPH1_01T24469;FGRAMPH1_01T08663;FGRAMPH1_01T01501;FGRAMPH1_01T02753;FGRAMPH1_01T07113;FGRAMPH1_01T09731;FGRAMPH1_01T04069;FGRAMPH1_01T03353;FGRAMPH1_01T10755;FGRAMPH1_01T05923;FGRAMPH1_01T27043;FGRAMPH1_01T10993;FGRAMPH1_01T15407;FGRAMPH1_01T16933;FGRAMPH1_01T19883;FGRAMPH1_01T18899;FGRAMPH1_01T14555</t>
  </si>
  <si>
    <t>FGRAMPH1_01T23815;FGRAMPH1_01T14285;FGRAMPH1_01T17015;FGRAMPH1_01T00999;FGRAMPH1_01T01953;FGRAMPH1_01T23981;FGRAMPH1_01T24349;FGRAMPH1_01T01971</t>
  </si>
  <si>
    <t>establishment of protein localization</t>
  </si>
  <si>
    <t>FGRAMPH1_01T03729;FGRAMPH1_01T10751;FGRAMPH1_01T23387;FGRAMPH1_01T23721</t>
  </si>
  <si>
    <t>whole membrane</t>
  </si>
  <si>
    <t>FGRAMPH1_01T04893;FGRAMPH1_01T18521;FGRAMPH1_01T07095;FGRAMPH1_01T05923;FGRAMPH1_01T10657;FGRAMPH1_01T00779;FGRAMPH1_01T13859;FGRAMPH1_01T10993</t>
  </si>
  <si>
    <t>peptide transport</t>
  </si>
  <si>
    <t>FGRAMPH1_01T03729;FGRAMPH1_01T23387;FGRAMPH1_01T23721;FGRAMPH1_01T26425</t>
  </si>
  <si>
    <t>FGRAMPH1_01T09955;FGRAMPH1_01T12835;FGRAMPH1_01T00129</t>
  </si>
  <si>
    <t>amide transport</t>
  </si>
  <si>
    <t>intracellular protein transport</t>
  </si>
  <si>
    <t>FGRAMPH1_01T02261;FGRAMPH1_01T01679;FGRAMPH1_01T26425</t>
  </si>
  <si>
    <t>Golgi apparatus</t>
  </si>
  <si>
    <t>mitochondrion</t>
  </si>
  <si>
    <t>FGRAMPH1_01T23319;FGRAMPH1_01T10657;FGRAMPH1_01T09927;FGRAMPH1_01T07331;FGRAMPH1_01T23755</t>
  </si>
  <si>
    <t>FGRAMPH1_01T06029;FGRAMPH1_01T10751;FGRAMPH1_01T23387;FGRAMPH1_01T26989;FGRAMPH1_01T00981;FGRAMPH1_01T23721;FGRAMPH1_01T17479</t>
  </si>
  <si>
    <t>FGRAMPH1_01T04971;FGRAMPH1_01T14285;FGRAMPH1_01T26211;FGRAMPH1_01T15463;FGRAMPH1_01T07619;FGRAMPH1_01T07793;FGRAMPH1_01T14613;FGRAMPH1_01T23755;FGRAMPH1_01T11453</t>
  </si>
  <si>
    <t>cellular response to stress</t>
  </si>
  <si>
    <t>FGRAMPH1_01T04893;FGRAMPH1_01T18521;FGRAMPH1_01T10657;FGRAMPH1_01T00779;FGRAMPH1_01T10993</t>
  </si>
  <si>
    <t>cellular localization</t>
  </si>
  <si>
    <t>FGRAMPH1_01T03729;FGRAMPH1_01T15571;FGRAMPH1_01T00779;FGRAMPH1_01T03209;FGRAMPH1_01T11061;FGRAMPH1_01T18141;FGRAMPH1_01T24721;FGRAMPH1_01T08663;FGRAMPH1_01T24349;FGRAMPH1_01T01971;FGRAMPH1_01T02753;FGRAMPH1_01T03413;FGRAMPH1_01T04665;FGRAMPH1_01T23721;FGRAMPH1_01T07687;FGRAMPH1_01T26425;FGRAMPH1_01T04893;FGRAMPH1_01T06811;FGRAMPH1_01T27043;FGRAMPH1_01T14449;FGRAMPH1_01T19225;FGRAMPH1_01T10573</t>
  </si>
  <si>
    <t>FGRAMPH1_01T17301;FGRAMPH1_01T02707;FGRAMPH1_01T20513;FGRAMPH1_01T09781;FGRAMPH1_01T09063;FGRAMPH1_01T11061;FGRAMPH1_01T27609;FGRAMPH1_01T22893;FGRAMPH1_01T01971;FGRAMPH1_01T03413;FGRAMPH1_01T07543;FGRAMPH1_01T04665;FGRAMPH1_01T20475;FGRAMPH1_01T23721;FGRAMPH1_01T06159;FGRAMPH1_01T07687;FGRAMPH1_01T04893;FGRAMPH1_01T09879;FGRAMPH1_01T12449;FGRAMPH1_01T02091;FGRAMPH1_01T17639;FGRAMPH1_01T14449;FGRAMPH1_01T16769;FGRAMPH1_01T17057;FGRAMPH1_01T03729;FGRAMPH1_01T00539;FGRAMPH1_01T15571;FGRAMPH1_01T17197;FGRAMPH1_01T00779;FGRAMPH1_01T03209;FGRAMPH1_01T18141;FGRAMPH1_01T24721;FGRAMPH1_01T08663;FGRAMPH1_01T24349;FGRAMPH1_01T03447;FGRAMPH1_01T02753;FGRAMPH1_01T03169;FGRAMPH1_01T26425;FGRAMPH1_01T06811;FGRAMPH1_01T12835;FGRAMPH1_01T27043;FGRAMPH1_01T17529;FGRAMPH1_01T19883;FGRAMPH1_01T19225;FGRAMPH1_01T10573</t>
  </si>
  <si>
    <t>FGRAMPH1_01T01867;FGRAMPH1_01T20155;FGRAMPH1_01T05043</t>
  </si>
  <si>
    <t>FGRAMPH1_01T00131;FGRAMPH1_01T06879;FGRAMPH1_01T03737;FGRAMPH1_01T10621</t>
  </si>
  <si>
    <t>regulation of cell cycle</t>
  </si>
  <si>
    <t>FGRAMPH1_01T03729;FGRAMPH1_01T15571;FGRAMPH1_01T00779;FGRAMPH1_01T03209;FGRAMPH1_01T11061;FGRAMPH1_01T18141;FGRAMPH1_01T24721;FGRAMPH1_01T08663;FGRAMPH1_01T24349;FGRAMPH1_01T01971;FGRAMPH1_01T02753;FGRAMPH1_01T03413;FGRAMPH1_01T04665;FGRAMPH1_01T23721;FGRAMPH1_01T07687;FGRAMPH1_01T26425;FGRAMPH1_01T04893;FGRAMPH1_01T27043;FGRAMPH1_01T14449;FGRAMPH1_01T19225;FGRAMPH1_01T10573</t>
  </si>
  <si>
    <t>FGRAMPH1_01T09073;FGRAMPH1_01T25185</t>
  </si>
  <si>
    <t>FGRAMPH1_01T04893;FGRAMPH1_01T18521;FGRAMPH1_01T14491;FGRAMPH1_01T10657;FGRAMPH1_01T01867;FGRAMPH1_01T00779;FGRAMPH1_01T13859;FGRAMPH1_01T10993;FGRAMPH1_01T20155;FGRAMPH1_01T05043</t>
  </si>
  <si>
    <t>protein localization</t>
  </si>
  <si>
    <t>bounding membrane of organelle</t>
  </si>
  <si>
    <t>FGRAMPH1_01T17301;FGRAMPH1_01T15165;FGRAMPH1_01T22955;FGRAMPH1_01T17343;FGRAMPH1_01T00747;FGRAMPH1_01T02889;FGRAMPH1_01T23387;FGRAMPH1_01T05025;FGRAMPH1_01T23721;FGRAMPH1_01T07687;FGRAMPH1_01T02771;FGRAMPH1_01T03321;FGRAMPH1_01T04893;FGRAMPH1_01T26981;FGRAMPH1_01T10007;FGRAMPH1_01T16409;FGRAMPH1_01T27253;FGRAMPH1_01T10663;FGRAMPH1_01T11453;FGRAMPH1_01T17235;FGRAMPH1_01T15571;FGRAMPH1_01T03209;FGRAMPH1_01T24721;FGRAMPH1_01T07131;FGRAMPH1_01T24469;FGRAMPH1_01T08663;FGRAMPH1_01T01501;FGRAMPH1_01T02753;FGRAMPH1_01T07113;FGRAMPH1_01T09731;FGRAMPH1_01T04069;FGRAMPH1_01T03353;FGRAMPH1_01T10755;FGRAMPH1_01T05923;FGRAMPH1_01T27043;FGRAMPH1_01T10993;FGRAMPH1_01T15407;FGRAMPH1_01T19045;FGRAMPH1_01T16933;FGRAMPH1_01T19883;FGRAMPH1_01T18899;FGRAMPH1_01T14555</t>
  </si>
  <si>
    <t>nuclear chromosome part</t>
  </si>
  <si>
    <t>FGRAMPH1_01T24349;FGRAMPH1_01T01971</t>
  </si>
  <si>
    <t>FGRAMPH1_01T18399;FGRAMPH1_01T22917;FGRAMPH1_01T18371;FGRAMPH1_01T23883;FGRAMPH1_01T05043;FGRAMPH1_01T20031;FGRAMPH1_01T21781;FGRAMPH1_01T23987;FGRAMPH1_01T03187;FGRAMPH1_01T04053;FGRAMPH1_01T14627;FGRAMPH1_01T16705;FGRAMPH1_01T15557;FGRAMPH1_01T11371;FGRAMPH1_01T00815;FGRAMPH1_01T20821;FGRAMPH1_01T15471;FGRAMPH1_01T02859;FGRAMPH1_01T01867;FGRAMPH1_01T01923;FGRAMPH1_01T03721;FGRAMPH1_01T23731;FGRAMPH1_01T10319;FGRAMPH1_01T11109;FGRAMPH1_01T03091;FGRAMPH1_01T18859;FGRAMPH1_01T06919;FGRAMPH1_01T19149</t>
  </si>
  <si>
    <t>FGRAMPH1_01T09063;FGRAMPH1_01T11061;FGRAMPH1_01T01971;FGRAMPH1_01T03413;FGRAMPH1_01T04665;FGRAMPH1_01T23721;FGRAMPH1_01T06159;FGRAMPH1_01T07687;FGRAMPH1_01T04893;FGRAMPH1_01T12449;FGRAMPH1_01T17639;FGRAMPH1_01T14449;FGRAMPH1_01T17057;FGRAMPH1_01T03729;FGRAMPH1_01T15571;FGRAMPH1_01T00779;FGRAMPH1_01T03209;FGRAMPH1_01T18141;FGRAMPH1_01T24721;FGRAMPH1_01T08663;FGRAMPH1_01T24349;FGRAMPH1_01T03447;FGRAMPH1_01T02753;FGRAMPH1_01T26425;FGRAMPH1_01T06811;FGRAMPH1_01T27043;FGRAMPH1_01T19225;FGRAMPH1_01T10573</t>
  </si>
  <si>
    <t>FGRAMPH1_01T26705;FGRAMPH1_01T23387;FGRAMPH1_01T23721</t>
  </si>
  <si>
    <t>FGRAMPH1_01T09063;FGRAMPH1_01T11061;FGRAMPH1_01T04769;FGRAMPH1_01T01971;FGRAMPH1_01T03413;FGRAMPH1_01T04665;FGRAMPH1_01T23721;FGRAMPH1_01T06159;FGRAMPH1_01T07687;FGRAMPH1_01T04893;FGRAMPH1_01T12449;FGRAMPH1_01T17639;FGRAMPH1_01T14449;FGRAMPH1_01T17057;FGRAMPH1_01T03729;FGRAMPH1_01T15571;FGRAMPH1_01T00779;FGRAMPH1_01T03209;FGRAMPH1_01T18141;FGRAMPH1_01T24721;FGRAMPH1_01T08663;FGRAMPH1_01T24349;FGRAMPH1_01T03447;FGRAMPH1_01T02753;FGRAMPH1_01T26425;FGRAMPH1_01T06811;FGRAMPH1_01T27043;FGRAMPH1_01T19225;FGRAMPH1_01T10573</t>
  </si>
  <si>
    <t>nuclear chromosome</t>
  </si>
  <si>
    <t>mRNA processing</t>
  </si>
  <si>
    <t>FGRAMPH1_01T02261;FGRAMPH1_01T26705;FGRAMPH1_01T01679;FGRAMPH1_01T03029;FGRAMPH1_01T26425</t>
  </si>
  <si>
    <t>FGRAMPH1_01T04893;FGRAMPH1_01T17057;FGRAMPH1_01T03729;FGRAMPH1_01T23387;FGRAMPH1_01T03413;FGRAMPH1_01T23721;FGRAMPH1_01T06159;FGRAMPH1_01T26425</t>
  </si>
  <si>
    <t>small GTPase mediated signal transduction</t>
  </si>
  <si>
    <t>mitochondrial envelope</t>
  </si>
  <si>
    <t>FGRAMPH1_01T10657;FGRAMPH1_01T09927</t>
  </si>
  <si>
    <t>cellular macromolecule localization</t>
  </si>
  <si>
    <t>cellular protein localization</t>
  </si>
  <si>
    <t>chromatin organization</t>
  </si>
  <si>
    <t>FGRAMPH1_01T23815;FGRAMPH1_01T23319;FGRAMPH1_01T26705;FGRAMPH1_01T26727;FGRAMPH1_01T22507;FGRAMPH1_01T01679;FGRAMPH1_01T05043;FGRAMPH1_01T03029;FGRAMPH1_01T07331;FGRAMPH1_01T01433;FGRAMPH1_01T23755;FGRAMPH1_01T26425;FGRAMPH1_01T03321;FGRAMPH1_01T00131;FGRAMPH1_01T10639;FGRAMPH1_01T26981;FGRAMPH1_01T02261;FGRAMPH1_01T05923;FGRAMPH1_01T10657;FGRAMPH1_01T14949;FGRAMPH1_01T09927;FGRAMPH1_01T10751</t>
  </si>
  <si>
    <t>mitochondrial inner membrane</t>
  </si>
  <si>
    <t>FGRAMPH1_01T01867;FGRAMPH1_01T24349;FGRAMPH1_01T01971;FGRAMPH1_01T24003</t>
  </si>
  <si>
    <t>organelle inner membrane</t>
  </si>
  <si>
    <t>RNA binding</t>
  </si>
  <si>
    <t>FGRAMPH1_01T18521;FGRAMPH1_01T27609;FGRAMPH1_01T02753;FGRAMPH1_01T17845;FGRAMPH1_01T01433</t>
  </si>
  <si>
    <t>chromosomal part</t>
  </si>
  <si>
    <t>FGRAMPH1_01T23815;FGRAMPH1_01T04893</t>
  </si>
  <si>
    <t>mRNA metabolic process</t>
  </si>
  <si>
    <t>FGRAMPH1_01T17057;FGRAMPH1_01T03729;FGRAMPH1_01T15571;FGRAMPH1_01T00779;FGRAMPH1_01T03209;FGRAMPH1_01T11061;FGRAMPH1_01T18141;FGRAMPH1_01T24721;FGRAMPH1_01T08663;FGRAMPH1_01T24349;FGRAMPH1_01T01971;FGRAMPH1_01T02753;FGRAMPH1_01T03413;FGRAMPH1_01T04665;FGRAMPH1_01T23721;FGRAMPH1_01T06159;FGRAMPH1_01T07687;FGRAMPH1_01T26425;FGRAMPH1_01T04893;FGRAMPH1_01T06811;FGRAMPH1_01T27043;FGRAMPH1_01T14449;FGRAMPH1_01T19225;FGRAMPH1_01T10573</t>
  </si>
  <si>
    <t>catalytic activity, acting on DNA</t>
  </si>
  <si>
    <t>FGRAMPH1_01T04893;FGRAMPH1_01T15165;FGRAMPH1_01T10657;FGRAMPH1_01T26425</t>
  </si>
  <si>
    <t>amide biosynthetic process</t>
  </si>
  <si>
    <t>FGRAMPH1_01T00747;FGRAMPH1_01T15571;FGRAMPH1_01T03209;FGRAMPH1_01T07131;FGRAMPH1_01T02753;FGRAMPH1_01T07687</t>
  </si>
  <si>
    <t>envelope</t>
  </si>
  <si>
    <t>organelle envelope</t>
  </si>
  <si>
    <t>FGRAMPH1_01T17057;FGRAMPH1_01T03729;FGRAMPH1_01T15571;FGRAMPH1_01T00779;FGRAMPH1_01T03209;FGRAMPH1_01T11061;FGRAMPH1_01T18141;FGRAMPH1_01T24721;FGRAMPH1_01T08663;FGRAMPH1_01T24349;FGRAMPH1_01T01971;FGRAMPH1_01T02753;FGRAMPH1_01T03413;FGRAMPH1_01T04665;FGRAMPH1_01T23721;FGRAMPH1_01T06159;FGRAMPH1_01T07687;FGRAMPH1_01T26425;FGRAMPH1_01T04893;FGRAMPH1_01T27043;FGRAMPH1_01T14449;FGRAMPH1_01T19225;FGRAMPH1_01T10573</t>
  </si>
  <si>
    <t>FGRAMPH1_01T23815;FGRAMPH1_01T14285;FGRAMPH1_01T17015;FGRAMPH1_01T15571;FGRAMPH1_01T00999;FGRAMPH1_01T01953;FGRAMPH1_01T23981;FGRAMPH1_01T24349;FGRAMPH1_01T01971;FGRAMPH1_01T02753;FGRAMPH1_01T02797;FGRAMPH1_01T01433;FGRAMPH1_01T03005;FGRAMPH1_01T03059;FGRAMPH1_01T26425</t>
  </si>
  <si>
    <t>chromosome</t>
  </si>
  <si>
    <t>mitochondrial part</t>
  </si>
  <si>
    <t>metallopeptidase activity</t>
  </si>
  <si>
    <t>organelle membrane</t>
  </si>
  <si>
    <t>FGRAMPH1_01T14949;FGRAMPH1_01T09927;FGRAMPH1_01T03029</t>
  </si>
  <si>
    <t>FGRAMPH1_01T22437;FGRAMPH1_01T19749;FGRAMPH1_01T20639;FGRAMPH1_01T27409;FGRAMPH1_01T00129;FGRAMPH1_01T00405;FGRAMPH1_01T27609;FGRAMPH1_01T18471;FGRAMPH1_01T09067;FGRAMPH1_01T21781;FGRAMPH1_01T23287;FGRAMPH1_01T27027;FGRAMPH1_01T05025;FGRAMPH1_01T01651;FGRAMPH1_01T03179;FGRAMPH1_01T25303;FGRAMPH1_01T26981;FGRAMPH1_01T11835;FGRAMPH1_01T27253;FGRAMPH1_01T16705;FGRAMPH1_01T16647;FGRAMPH1_01T23815;FGRAMPH1_01T13671;FGRAMPH1_01T20565;FGRAMPH1_01T07113;FGRAMPH1_01T23853;FGRAMPH1_01T09699;FGRAMPH1_01T15407;FGRAMPH1_01T27061;FGRAMPH1_01T12233;FGRAMPH1_01T17845</t>
  </si>
  <si>
    <t>ncRNA metabolic process</t>
  </si>
  <si>
    <t>peptide metabolic process</t>
  </si>
  <si>
    <t>FGRAMPH1_01T17301;FGRAMPH1_01T26981;FGRAMPH1_01T15571;FGRAMPH1_01T07131;FGRAMPH1_01T02753</t>
  </si>
  <si>
    <t>FGRAMPH1_01T06029;FGRAMPH1_01T14067;FGRAMPH1_01T03729;FGRAMPH1_01T00215;FGRAMPH1_01T10751;FGRAMPH1_01T23387;FGRAMPH1_01T26989;FGRAMPH1_01T00981;FGRAMPH1_01T23721;FGRAMPH1_01T17479</t>
  </si>
  <si>
    <t>purine nucleoside binding</t>
  </si>
  <si>
    <t>purine ribonucleoside binding</t>
  </si>
  <si>
    <t>guanyl nucleotide binding</t>
  </si>
  <si>
    <t>guanyl ribonucleotide binding</t>
  </si>
  <si>
    <t>GTP binding</t>
  </si>
  <si>
    <t>FGRAMPH1_01T15165;FGRAMPH1_01T22955;FGRAMPH1_01T17343;FGRAMPH1_01T23387;FGRAMPH1_01T05025;FGRAMPH1_01T23721;FGRAMPH1_01T02771;FGRAMPH1_01T03321;FGRAMPH1_01T04893;FGRAMPH1_01T10007;FGRAMPH1_01T16409;FGRAMPH1_01T27253;FGRAMPH1_01T10663;FGRAMPH1_01T11453;FGRAMPH1_01T17235;FGRAMPH1_01T15571;FGRAMPH1_01T03209;FGRAMPH1_01T24721;FGRAMPH1_01T08663;FGRAMPH1_01T01501;FGRAMPH1_01T02753;FGRAMPH1_01T07113;FGRAMPH1_01T27043;FGRAMPH1_01T10993;FGRAMPH1_01T15407;FGRAMPH1_01T19883;FGRAMPH1_01T18899</t>
  </si>
  <si>
    <t>endomembrane system</t>
  </si>
  <si>
    <t>FGRAMPH1_01T02261;FGRAMPH1_01T14949;FGRAMPH1_01T26705</t>
  </si>
  <si>
    <t>DNA repair</t>
  </si>
  <si>
    <t>FGRAMPH1_01T04893;FGRAMPH1_01T10993</t>
  </si>
  <si>
    <t>ribonucleoside binding</t>
  </si>
  <si>
    <t>mitochondrial membrane</t>
  </si>
  <si>
    <t>FGRAMPH1_01T23815;FGRAMPH1_01T14285;FGRAMPH1_01T17015;FGRAMPH1_01T22437;FGRAMPH1_01T15571;FGRAMPH1_01T00999;FGRAMPH1_01T01953;FGRAMPH1_01T23981;FGRAMPH1_01T24349;FGRAMPH1_01T01971;FGRAMPH1_01T02753;FGRAMPH1_01T02797;FGRAMPH1_01T01433;FGRAMPH1_01T03005;FGRAMPH1_01T03059;FGRAMPH1_01T09699;FGRAMPH1_01T26425;FGRAMPH1_01T02551</t>
  </si>
  <si>
    <t>nucleoside binding</t>
  </si>
  <si>
    <t>zinc ion binding</t>
  </si>
  <si>
    <t>FGRAMPH1_01T23815;FGRAMPH1_01T19749;FGRAMPH1_01T20639;FGRAMPH1_01T00405;FGRAMPH1_01T27609;FGRAMPH1_01T18471;FGRAMPH1_01T21781;FGRAMPH1_01T23287;FGRAMPH1_01T20565;FGRAMPH1_01T07113;FGRAMPH1_01T27027;FGRAMPH1_01T05025;FGRAMPH1_01T01651;FGRAMPH1_01T09699;FGRAMPH1_01T26981;FGRAMPH1_01T27253;FGRAMPH1_01T15407;FGRAMPH1_01T16705;FGRAMPH1_01T16647;FGRAMPH1_01T27061;FGRAMPH1_01T12233</t>
  </si>
  <si>
    <t>regulation of transcription by RNA polymerase II</t>
  </si>
  <si>
    <t>FGRAMPH1_01T10657;FGRAMPH1_01T05025</t>
  </si>
  <si>
    <t>cellular response to DNA damage stimulus</t>
  </si>
  <si>
    <t>FGRAMPH1_01T04893;FGRAMPH1_01T15165</t>
  </si>
  <si>
    <t>endoplasmic reticulum</t>
  </si>
  <si>
    <t>cellular component assembly</t>
  </si>
  <si>
    <t>FGRAMPH1_01T12097;FGRAMPH1_01T00821;FGRAMPH1_01T01679;FGRAMPH1_01T20155;FGRAMPH1_01T23387;FGRAMPH1_01T00981;FGRAMPH1_01T03435;FGRAMPH1_01T23721;FGRAMPH1_01T06029;FGRAMPH1_01T10201;FGRAMPH1_01T10061;FGRAMPH1_01T14067;FGRAMPH1_01T09077;FGRAMPH1_01T26705;FGRAMPH1_01T00215;FGRAMPH1_01T21155;FGRAMPH1_01T03029;FGRAMPH1_01T07111;FGRAMPH1_01T26989;FGRAMPH1_01T22347;FGRAMPH1_01T23731;FGRAMPH1_01T26425;FGRAMPH1_01T03495;FGRAMPH1_01T06855;FGRAMPH1_01T02261;FGRAMPH1_01T11109;FGRAMPH1_01T19201</t>
  </si>
  <si>
    <t>FGRAMPH1_01T04893;FGRAMPH1_01T15165;FGRAMPH1_01T27253;FGRAMPH1_01T07113;FGRAMPH1_01T05025</t>
  </si>
  <si>
    <t>peptide biosynthetic process</t>
  </si>
  <si>
    <t>FGRAMPH1_01T15571;FGRAMPH1_01T07131;FGRAMPH1_01T02753</t>
  </si>
  <si>
    <t>FGRAMPH1_01T12097;FGRAMPH1_01T14067;FGRAMPH1_01T09077;FGRAMPH1_01T00215;FGRAMPH1_01T21155;FGRAMPH1_01T01679;FGRAMPH1_01T23387;FGRAMPH1_01T07111;FGRAMPH1_01T26989;FGRAMPH1_01T00981;FGRAMPH1_01T22347;FGRAMPH1_01T23721;FGRAMPH1_01T26425;FGRAMPH1_01T19201</t>
  </si>
  <si>
    <t>FGRAMPH1_01T17301;FGRAMPH1_01T14491;FGRAMPH1_01T01867;FGRAMPH1_01T00779;FGRAMPH1_01T18371;FGRAMPH1_01T20155;FGRAMPH1_01T24469;FGRAMPH1_01T05043;FGRAMPH1_01T26307;FGRAMPH1_01T03447;FGRAMPH1_01T05025;FGRAMPH1_01T27733;FGRAMPH1_01T03033;FGRAMPH1_01T10657</t>
  </si>
  <si>
    <t>translation</t>
  </si>
  <si>
    <t>FGRAMPH1_01T02707;FGRAMPH1_01T09781;FGRAMPH1_01T00129;FGRAMPH1_01T09063;FGRAMPH1_01T11061;FGRAMPH1_01T27609;FGRAMPH1_01T09067;FGRAMPH1_01T01971;FGRAMPH1_01T03831;FGRAMPH1_01T05025;FGRAMPH1_01T23721;FGRAMPH1_01T06159;FGRAMPH1_01T07687;FGRAMPH1_01T25303;FGRAMPH1_01T04893;FGRAMPH1_01T27253;FGRAMPH1_01T17639;FGRAMPH1_01T14449;FGRAMPH1_01T16123;FGRAMPH1_01T17057;FGRAMPH1_01T03729;FGRAMPH1_01T00539;FGRAMPH1_01T00779;FGRAMPH1_01T03209;FGRAMPH1_01T09075;FGRAMPH1_01T18141;FGRAMPH1_01T24721;FGRAMPH1_01T08663;FGRAMPH1_01T03447;FGRAMPH1_01T02753;FGRAMPH1_01T03169;FGRAMPH1_01T26425;FGRAMPH1_01T12835;FGRAMPH1_01T26395;FGRAMPH1_01T27043;FGRAMPH1_01T17529;FGRAMPH1_01T17845;FGRAMPH1_01T19225;FGRAMPH1_01T10573;FGRAMPH1_01T17301;FGRAMPH1_01T20513;FGRAMPH1_01T07385;FGRAMPH1_01T18195;FGRAMPH1_01T22893;FGRAMPH1_01T03413;FGRAMPH1_01T07543;FGRAMPH1_01T01433;FGRAMPH1_01T04665;FGRAMPH1_01T20475;FGRAMPH1_01T22577;FGRAMPH1_01T03179;FGRAMPH1_01T09879;FGRAMPH1_01T12449;FGRAMPH1_01T11835;FGRAMPH1_01T16409;FGRAMPH1_01T13859;FGRAMPH1_01T02091;FGRAMPH1_01T11997;FGRAMPH1_01T16769;FGRAMPH1_01T18521;FGRAMPH1_01T15571;FGRAMPH1_01T17197;FGRAMPH1_01T24349;FGRAMPH1_01T23375;FGRAMPH1_01T26169;FGRAMPH1_01T07113;FGRAMPH1_01T09731;FGRAMPH1_01T06811;FGRAMPH1_01T19883</t>
  </si>
  <si>
    <t>cellular component biogenesis</t>
  </si>
  <si>
    <t>FGRAMPH1_01T15165;FGRAMPH1_01T01953;FGRAMPH1_01T23981;FGRAMPH1_01T01971;FGRAMPH1_01T01433;FGRAMPH1_01T03059;FGRAMPH1_01T05025;FGRAMPH1_01T23269;FGRAMPH1_01T04893;FGRAMPH1_01T27253;FGRAMPH1_01T14985;FGRAMPH1_01T23815;FGRAMPH1_01T14285;FGRAMPH1_01T17015;FGRAMPH1_01T11251;FGRAMPH1_01T14001;FGRAMPH1_01T15571;FGRAMPH1_01T00999;FGRAMPH1_01T24349;FGRAMPH1_01T02753;FGRAMPH1_01T02797;FGRAMPH1_01T03005;FGRAMPH1_01T07113;FGRAMPH1_01T26425;FGRAMPH1_01T06317;FGRAMPH1_01T10993</t>
  </si>
  <si>
    <t>RNA processing</t>
  </si>
  <si>
    <t>nuclear part</t>
  </si>
  <si>
    <t>FGRAMPH1_01T12097;FGRAMPH1_01T18431;FGRAMPH1_01T00821;FGRAMPH1_01T01679;FGRAMPH1_01T03435;FGRAMPH1_01T27545;FGRAMPH1_01T01035;FGRAMPH1_01T06029;FGRAMPH1_01T26067;FGRAMPH1_01T12709;FGRAMPH1_01T16707;FGRAMPH1_01T10201;FGRAMPH1_01T11693;FGRAMPH1_01T19015;FGRAMPH1_01T19439;FGRAMPH1_01T14067;FGRAMPH1_01T03729;FGRAMPH1_01T07095;FGRAMPH1_01T09077;FGRAMPH1_01T18881;FGRAMPH1_01T20805;FGRAMPH1_01T00215;FGRAMPH1_01T21155;FGRAMPH1_01T21893;FGRAMPH1_01T03029;FGRAMPH1_01T07111;FGRAMPH1_01T26989;FGRAMPH1_01T22347;FGRAMPH1_01T24003;FGRAMPH1_01T07577;FGRAMPH1_01T09435;FGRAMPH1_01T02583;FGRAMPH1_01T03495;FGRAMPH1_01T10755;FGRAMPH1_01T25061;FGRAMPH1_01T02261;FGRAMPH1_01T10751;FGRAMPH1_01T12019</t>
  </si>
  <si>
    <t>FGRAMPH1_01T10657;FGRAMPH1_01T18371;FGRAMPH1_01T24469;FGRAMPH1_01T03447;FGRAMPH1_01T05025;FGRAMPH1_01T27733</t>
  </si>
  <si>
    <t>FGRAMPH1_01T12097;FGRAMPH1_01T18431;FGRAMPH1_01T00821;FGRAMPH1_01T01679;FGRAMPH1_01T23387;FGRAMPH1_01T03435;FGRAMPH1_01T27545;FGRAMPH1_01T23721;FGRAMPH1_01T01035;FGRAMPH1_01T06029;FGRAMPH1_01T26067;FGRAMPH1_01T12709;FGRAMPH1_01T16707;FGRAMPH1_01T10201;FGRAMPH1_01T11693;FGRAMPH1_01T19015;FGRAMPH1_01T19439;FGRAMPH1_01T14067;FGRAMPH1_01T03729;FGRAMPH1_01T07095;FGRAMPH1_01T09077;FGRAMPH1_01T18881;FGRAMPH1_01T20805;FGRAMPH1_01T26705;FGRAMPH1_01T00215;FGRAMPH1_01T21155;FGRAMPH1_01T21893;FGRAMPH1_01T03029;FGRAMPH1_01T07111;FGRAMPH1_01T26989;FGRAMPH1_01T22347;FGRAMPH1_01T24003;FGRAMPH1_01T07577;FGRAMPH1_01T09435;FGRAMPH1_01T02583;FGRAMPH1_01T03495;FGRAMPH1_01T10755;FGRAMPH1_01T25061;FGRAMPH1_01T02261;FGRAMPH1_01T10751;FGRAMPH1_01T12019</t>
  </si>
  <si>
    <t>FGRAMPH1_01T17121;FGRAMPH1_01T11061;FGRAMPH1_01T04769;FGRAMPH1_01T05025;FGRAMPH1_01T03321;FGRAMPH1_01T00131;FGRAMPH1_01T02551;FGRAMPH1_01T04893;FGRAMPH1_01T10007;FGRAMPH1_01T27253;FGRAMPH1_01T14449;FGRAMPH1_01T10061;FGRAMPH1_01T23319;FGRAMPH1_01T10581;FGRAMPH1_01T26705;FGRAMPH1_01T03209;FGRAMPH1_01T22507;FGRAMPH1_01T26307;FGRAMPH1_01T07331;FGRAMPH1_01T26989;FGRAMPH1_01T02753;FGRAMPH1_01T02797;FGRAMPH1_01T23755;FGRAMPH1_01T24003;FGRAMPH1_01T26425;FGRAMPH1_01T10657;FGRAMPH1_01T27043;FGRAMPH1_01T15165;FGRAMPH1_01T02889;FGRAMPH1_01T01679;FGRAMPH1_01T20155;FGRAMPH1_01T22893;FGRAMPH1_01T05043;FGRAMPH1_01T23387;FGRAMPH1_01T01433;FGRAMPH1_01T03059;FGRAMPH1_01T26981;FGRAMPH1_01T14949;FGRAMPH1_01T16409;FGRAMPH1_01T10663;FGRAMPH1_01T23815;FGRAMPH1_01T15571;FGRAMPH1_01T26727;FGRAMPH1_01T03029;FGRAMPH1_01T07793;FGRAMPH1_01T06783;FGRAMPH1_01T07113;FGRAMPH1_01T07157;FGRAMPH1_01T10639;FGRAMPH1_01T03033;FGRAMPH1_01T06811;FGRAMPH1_01T02261;FGRAMPH1_01T05923;FGRAMPH1_01T09927;FGRAMPH1_01T10751;FGRAMPH1_01T17545</t>
  </si>
  <si>
    <t>FGRAMPH1_01T10657;FGRAMPH1_01T18371;FGRAMPH1_01T24469;FGRAMPH1_01T03447;FGRAMPH1_01T05025</t>
  </si>
  <si>
    <t>FGRAMPH1_01T15165;FGRAMPH1_01T17121;FGRAMPH1_01T11061;FGRAMPH1_01T01679;FGRAMPH1_01T04769;FGRAMPH1_01T20155;FGRAMPH1_01T22893;FGRAMPH1_01T05043;FGRAMPH1_01T23387;FGRAMPH1_01T01433;FGRAMPH1_01T03059;FGRAMPH1_01T05025;FGRAMPH1_01T03321;FGRAMPH1_01T00131;FGRAMPH1_01T02551;FGRAMPH1_01T04893;FGRAMPH1_01T26981;FGRAMPH1_01T10007;FGRAMPH1_01T14949;FGRAMPH1_01T16409;FGRAMPH1_01T27253;FGRAMPH1_01T10663;FGRAMPH1_01T14449;FGRAMPH1_01T23815;FGRAMPH1_01T23319;FGRAMPH1_01T15571;FGRAMPH1_01T26705;FGRAMPH1_01T26727;FGRAMPH1_01T22507;FGRAMPH1_01T03029;FGRAMPH1_01T07331;FGRAMPH1_01T07793;FGRAMPH1_01T02753;FGRAMPH1_01T02797;FGRAMPH1_01T06783;FGRAMPH1_01T07113;FGRAMPH1_01T07157;FGRAMPH1_01T23755;FGRAMPH1_01T26425;FGRAMPH1_01T10639;FGRAMPH1_01T03033;FGRAMPH1_01T06811;FGRAMPH1_01T02261;FGRAMPH1_01T05923;FGRAMPH1_01T10657;FGRAMPH1_01T09927;FGRAMPH1_01T27043;FGRAMPH1_01T10751</t>
  </si>
  <si>
    <t>FGRAMPH1_01T10657;FGRAMPH1_01T24469;FGRAMPH1_01T03447;FGRAMPH1_01T05025</t>
  </si>
  <si>
    <t>FGRAMPH1_01T17121;FGRAMPH1_01T11061;FGRAMPH1_01T04769;FGRAMPH1_01T05025;FGRAMPH1_01T03321;FGRAMPH1_01T00131;FGRAMPH1_01T02551;FGRAMPH1_01T04893;FGRAMPH1_01T10007;FGRAMPH1_01T27253;FGRAMPH1_01T14449;FGRAMPH1_01T10061;FGRAMPH1_01T23319;FGRAMPH1_01T26705;FGRAMPH1_01T03209;FGRAMPH1_01T22507;FGRAMPH1_01T26307;FGRAMPH1_01T07331;FGRAMPH1_01T02753;FGRAMPH1_01T02797;FGRAMPH1_01T23755;FGRAMPH1_01T24003;FGRAMPH1_01T26425;FGRAMPH1_01T10657;FGRAMPH1_01T27043;FGRAMPH1_01T15165;FGRAMPH1_01T01679;FGRAMPH1_01T20155;FGRAMPH1_01T22893;FGRAMPH1_01T05043;FGRAMPH1_01T23387;FGRAMPH1_01T01433;FGRAMPH1_01T03059;FGRAMPH1_01T26981;FGRAMPH1_01T14949;FGRAMPH1_01T16409;FGRAMPH1_01T10663;FGRAMPH1_01T23815;FGRAMPH1_01T15571;FGRAMPH1_01T26727;FGRAMPH1_01T03029;FGRAMPH1_01T07793;FGRAMPH1_01T06783;FGRAMPH1_01T07113;FGRAMPH1_01T07157;FGRAMPH1_01T10639;FGRAMPH1_01T03033;FGRAMPH1_01T06811;FGRAMPH1_01T02261;FGRAMPH1_01T05923;FGRAMPH1_01T09927;FGRAMPH1_01T10751</t>
  </si>
  <si>
    <t>non-membrane-bounded organelle</t>
  </si>
  <si>
    <t>FGRAMPH1_01T23815;FGRAMPH1_01T04893;FGRAMPH1_01T03033</t>
  </si>
  <si>
    <t>intracellular non-membrane-bounded organelle</t>
  </si>
  <si>
    <t>FGRAMPH1_01T04893;FGRAMPH1_01T15165;FGRAMPH1_01T15571;FGRAMPH1_01T27253;FGRAMPH1_01T02753;FGRAMPH1_01T07113;FGRAMPH1_01T05025</t>
  </si>
  <si>
    <t>organelle part</t>
  </si>
  <si>
    <t>FGRAMPH1_01T23815;FGRAMPH1_01T04893;FGRAMPH1_01T03033;FGRAMPH1_01T15165;FGRAMPH1_01T10657;FGRAMPH1_01T14949;FGRAMPH1_01T09927;FGRAMPH1_01T03029;FGRAMPH1_01T26425</t>
  </si>
  <si>
    <t>intracellular organelle part</t>
  </si>
  <si>
    <t>FGRAMPH1_01T10657;FGRAMPH1_01T03447;FGRAMPH1_01T05025</t>
  </si>
  <si>
    <t>FGRAMPH1_01T04893;FGRAMPH1_01T15165;FGRAMPH1_01T15571;FGRAMPH1_01T27253;FGRAMPH1_01T02753;FGRAMPH1_01T07113;FGRAMPH1_01T14985;FGRAMPH1_01T05025;FGRAMPH1_01T23269</t>
  </si>
  <si>
    <t>FGRAMPH1_01T10657;FGRAMPH1_01T18371;FGRAMPH1_01T03447;FGRAMPH1_01T05025</t>
  </si>
  <si>
    <t>FGRAMPH1_01T15165;FGRAMPH1_01T22437;FGRAMPH1_01T01953;FGRAMPH1_01T23981;FGRAMPH1_01T01971;FGRAMPH1_01T01433;FGRAMPH1_01T03059;FGRAMPH1_01T05025;FGRAMPH1_01T23269;FGRAMPH1_01T02551;FGRAMPH1_01T04893;FGRAMPH1_01T27253;FGRAMPH1_01T14985;FGRAMPH1_01T23815;FGRAMPH1_01T14285;FGRAMPH1_01T17015;FGRAMPH1_01T11251;FGRAMPH1_01T14001;FGRAMPH1_01T15571;FGRAMPH1_01T00999;FGRAMPH1_01T20847;FGRAMPH1_01T24349;FGRAMPH1_01T02753;FGRAMPH1_01T02797;FGRAMPH1_01T03005;FGRAMPH1_01T07113;FGRAMPH1_01T09699;FGRAMPH1_01T26425;FGRAMPH1_01T06317;FGRAMPH1_01T10993</t>
  </si>
  <si>
    <t>FGRAMPH1_01T04893;FGRAMPH1_01T27253;FGRAMPH1_01T07385;FGRAMPH1_01T07113;FGRAMPH1_01T05025</t>
  </si>
  <si>
    <t>DNA-binding transcription factor activity, RNA polymerase II-specific</t>
  </si>
  <si>
    <t>FGRAMPH1_01T07113;FGRAMPH1_01T05025</t>
  </si>
  <si>
    <t>FGRAMPH1_01T07385;FGRAMPH1_01T07113;FGRAMPH1_01T05025</t>
  </si>
  <si>
    <t>FGRAMPH1_01T04893;FGRAMPH1_01T15165;FGRAMPH1_01T15571;FGRAMPH1_01T27253;FGRAMPH1_01T02753;FGRAMPH1_01T07113;FGRAMPH1_01T05025;FGRAMPH1_01T26425</t>
  </si>
  <si>
    <t>FGRAMPH1_01T04893;FGRAMPH1_01T15165;FGRAMPH1_01T15571;FGRAMPH1_01T27253;FGRAMPH1_01T10993;FGRAMPH1_01T02753;FGRAMPH1_01T07113;FGRAMPH1_01T05025</t>
  </si>
  <si>
    <t>FGRAMPH1_01T23815;FGRAMPH1_01T23319;FGRAMPH1_01T15165;FGRAMPH1_01T17121;FGRAMPH1_01T22507;FGRAMPH1_01T01679;FGRAMPH1_01T03029;FGRAMPH1_01T07331;FGRAMPH1_01T07113;FGRAMPH1_01T23755;FGRAMPH1_01T05025;FGRAMPH1_01T26425;FGRAMPH1_01T04893;FGRAMPH1_01T26981;FGRAMPH1_01T10007;FGRAMPH1_01T02261;FGRAMPH1_01T05923;FGRAMPH1_01T10657;FGRAMPH1_01T14949;FGRAMPH1_01T27253;FGRAMPH1_01T09927;FGRAMPH1_01T10751</t>
  </si>
  <si>
    <t>FGRAMPH1_01T18521;FGRAMPH1_01T09781;FGRAMPH1_01T27609;FGRAMPH1_01T07385;FGRAMPH1_01T23375;FGRAMPH1_01T02753;FGRAMPH1_01T01433;FGRAMPH1_01T07113;FGRAMPH1_01T05025;FGRAMPH1_01T04893;FGRAMPH1_01T27253;FGRAMPH1_01T02091;FGRAMPH1_01T17845</t>
  </si>
  <si>
    <t>FGRAMPH1_01T23815;FGRAMPH1_01T04893;FGRAMPH1_01T15165;FGRAMPH1_01T26981;FGRAMPH1_01T10007;FGRAMPH1_01T05923;FGRAMPH1_01T10657;FGRAMPH1_01T17121;FGRAMPH1_01T27253;FGRAMPH1_01T07113;FGRAMPH1_01T05025</t>
  </si>
  <si>
    <t>FGRAMPH1_01T23815;FGRAMPH1_01T23319;FGRAMPH1_01T15165;FGRAMPH1_01T17121;FGRAMPH1_01T22507;FGRAMPH1_01T01679;FGRAMPH1_01T03029;FGRAMPH1_01T07331;FGRAMPH1_01T07113;FGRAMPH1_01T23755;FGRAMPH1_01T05025;FGRAMPH1_01T26425;FGRAMPH1_01T04893;FGRAMPH1_01T03033;FGRAMPH1_01T26981;FGRAMPH1_01T10007;FGRAMPH1_01T02261;FGRAMPH1_01T05923;FGRAMPH1_01T10657;FGRAMPH1_01T14949;FGRAMPH1_01T27253;FGRAMPH1_01T09927;FGRAMPH1_01T10751</t>
  </si>
  <si>
    <t>Addditional file 6: Gene Ontology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</si>
</sst>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%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0" fillId="0" borderId="0" xfId="0" applyBorder="1"/>
    <xf numFmtId="0" fontId="4" fillId="0" borderId="0" xfId="2"/>
    <xf numFmtId="11" fontId="0" fillId="0" borderId="0" xfId="0" applyNumberFormat="1"/>
    <xf numFmtId="0" fontId="2" fillId="0" borderId="0" xfId="0" applyFont="1"/>
    <xf numFmtId="0" fontId="3" fillId="0" borderId="0" xfId="0" applyFont="1"/>
    <xf numFmtId="9" fontId="3" fillId="0" borderId="0" xfId="1" applyFont="1" applyAlignment="1">
      <alignment horizontal="left"/>
    </xf>
    <xf numFmtId="10" fontId="3" fillId="0" borderId="0" xfId="1" applyNumberFormat="1" applyFont="1" applyAlignment="1">
      <alignment horizontal="left"/>
    </xf>
    <xf numFmtId="10" fontId="2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9" fontId="2" fillId="0" borderId="0" xfId="1" applyFont="1" applyAlignment="1">
      <alignment horizontal="left"/>
    </xf>
    <xf numFmtId="0" fontId="0" fillId="0" borderId="0" xfId="0" quotePrefix="1"/>
    <xf numFmtId="0" fontId="3" fillId="0" borderId="0" xfId="0" applyFont="1" applyBorder="1"/>
    <xf numFmtId="0" fontId="0" fillId="2" borderId="0" xfId="0" applyFill="1"/>
    <xf numFmtId="0" fontId="2" fillId="0" borderId="0" xfId="0" applyFont="1" applyAlignment="1">
      <alignment horizontal="left"/>
    </xf>
    <xf numFmtId="165" fontId="3" fillId="0" borderId="0" xfId="1" applyNumberFormat="1" applyFont="1" applyAlignment="1">
      <alignment horizontal="left"/>
    </xf>
    <xf numFmtId="0" fontId="2" fillId="0" borderId="0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171450</xdr:colOff>
      <xdr:row>0</xdr:row>
      <xdr:rowOff>38100</xdr:rowOff>
    </xdr:from>
    <xdr:to>
      <xdr:col>17</xdr:col>
      <xdr:colOff>76200</xdr:colOff>
      <xdr:row>11</xdr:row>
      <xdr:rowOff>161925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0" y="38100"/>
          <a:ext cx="234315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609599</xdr:colOff>
      <xdr:row>0</xdr:row>
      <xdr:rowOff>0</xdr:rowOff>
    </xdr:from>
    <xdr:to>
      <xdr:col>13</xdr:col>
      <xdr:colOff>562899</xdr:colOff>
      <xdr:row>11</xdr:row>
      <xdr:rowOff>119162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pSpPr/>
      </xdr:nvGrpSpPr>
      <xdr:grpSpPr>
        <a:xfrm>
          <a:off x="9277349" y="0"/>
          <a:ext cx="2391700" cy="2281337"/>
          <a:chOff x="1076821" y="547304"/>
          <a:chExt cx="2257543" cy="2028214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GrpSpPr/>
        </xdr:nvGrpSpPr>
        <xdr:grpSpPr>
          <a:xfrm>
            <a:off x="1326634" y="624673"/>
            <a:ext cx="1839661" cy="1653635"/>
            <a:chOff x="1981200" y="1512216"/>
            <a:chExt cx="2819400" cy="2831184"/>
          </a:xfrm>
        </xdr:grpSpPr>
        <xdr:sp macro="" textlink="">
          <xdr:nvSpPr>
            <xdr:cNvPr id="14" name="Oval 13">
              <a:extLst>
                <a:ext uri="{FF2B5EF4-FFF2-40B4-BE49-F238E27FC236}">
                  <a16:creationId xmlns:a16="http://schemas.microsoft.com/office/drawing/2014/main" xmlns="" id="{00000000-0008-0000-0100-00000E000000}"/>
                </a:ext>
              </a:extLst>
            </xdr:cNvPr>
            <xdr:cNvSpPr/>
          </xdr:nvSpPr>
          <xdr:spPr>
            <a:xfrm>
              <a:off x="2438400" y="2286000"/>
              <a:ext cx="1981200" cy="2057400"/>
            </a:xfrm>
            <a:prstGeom prst="ellipse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12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" name="Oval 14">
              <a:extLst>
                <a:ext uri="{FF2B5EF4-FFF2-40B4-BE49-F238E27FC236}">
                  <a16:creationId xmlns:a16="http://schemas.microsoft.com/office/drawing/2014/main" xmlns="" id="{00000000-0008-0000-0100-00000F000000}"/>
                </a:ext>
              </a:extLst>
            </xdr:cNvPr>
            <xdr:cNvSpPr/>
          </xdr:nvSpPr>
          <xdr:spPr>
            <a:xfrm>
              <a:off x="2819400" y="1524000"/>
              <a:ext cx="1981200" cy="2057400"/>
            </a:xfrm>
            <a:prstGeom prst="ellipse">
              <a:avLst/>
            </a:prstGeom>
            <a:solidFill>
              <a:srgbClr val="4F81BD">
                <a:alpha val="10196"/>
              </a:srgbClr>
            </a:solidFill>
            <a:ln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12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" name="Oval 15">
              <a:extLst>
                <a:ext uri="{FF2B5EF4-FFF2-40B4-BE49-F238E27FC236}">
                  <a16:creationId xmlns:a16="http://schemas.microsoft.com/office/drawing/2014/main" xmlns="" id="{00000000-0008-0000-0100-000010000000}"/>
                </a:ext>
              </a:extLst>
            </xdr:cNvPr>
            <xdr:cNvSpPr/>
          </xdr:nvSpPr>
          <xdr:spPr>
            <a:xfrm>
              <a:off x="1981200" y="1512216"/>
              <a:ext cx="1981200" cy="2057400"/>
            </a:xfrm>
            <a:prstGeom prst="ellipse">
              <a:avLst/>
            </a:prstGeom>
            <a:solidFill>
              <a:srgbClr val="4F81BD">
                <a:alpha val="50196"/>
              </a:srgbClr>
            </a:solidFill>
            <a:ln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12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4" name="TextBox 23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SpPr txBox="1"/>
        </xdr:nvSpPr>
        <xdr:spPr>
          <a:xfrm>
            <a:off x="1076821" y="554883"/>
            <a:ext cx="1362305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ABA</a:t>
            </a:r>
          </a:p>
        </xdr:txBody>
      </xdr:sp>
      <xdr:sp macro="" textlink="">
        <xdr:nvSpPr>
          <xdr:cNvPr id="5" name="TextBox 24">
            <a:extLst>
              <a:ext uri="{FF2B5EF4-FFF2-40B4-BE49-F238E27FC236}">
                <a16:creationId xmlns:a16="http://schemas.microsoft.com/office/drawing/2014/main" xmlns="" id="{00000000-0008-0000-0100-000005000000}"/>
              </a:ext>
            </a:extLst>
          </xdr:cNvPr>
          <xdr:cNvSpPr txBox="1"/>
        </xdr:nvSpPr>
        <xdr:spPr>
          <a:xfrm>
            <a:off x="2333532" y="547304"/>
            <a:ext cx="1000832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GA</a:t>
            </a:r>
          </a:p>
        </xdr:txBody>
      </xdr:sp>
      <xdr:sp macro="" textlink="">
        <xdr:nvSpPr>
          <xdr:cNvPr id="6" name="TextBox 25">
            <a:extLst>
              <a:ext uri="{FF2B5EF4-FFF2-40B4-BE49-F238E27FC236}">
                <a16:creationId xmlns:a16="http://schemas.microsoft.com/office/drawing/2014/main" xmlns="" id="{00000000-0008-0000-0100-000006000000}"/>
              </a:ext>
            </a:extLst>
          </xdr:cNvPr>
          <xdr:cNvSpPr txBox="1"/>
        </xdr:nvSpPr>
        <xdr:spPr>
          <a:xfrm>
            <a:off x="2185207" y="2329253"/>
            <a:ext cx="941977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Fg</a:t>
            </a:r>
          </a:p>
        </xdr:txBody>
      </xdr:sp>
      <xdr:sp macro="" textlink="">
        <xdr:nvSpPr>
          <xdr:cNvPr id="7" name="TextBox 26">
            <a:extLst>
              <a:ext uri="{FF2B5EF4-FFF2-40B4-BE49-F238E27FC236}">
                <a16:creationId xmlns:a16="http://schemas.microsoft.com/office/drawing/2014/main" xmlns="" id="{00000000-0008-0000-0100-000007000000}"/>
              </a:ext>
            </a:extLst>
          </xdr:cNvPr>
          <xdr:cNvSpPr txBox="1"/>
        </xdr:nvSpPr>
        <xdr:spPr>
          <a:xfrm>
            <a:off x="1987462" y="1225435"/>
            <a:ext cx="487093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rgbClr val="FFFF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1127</a:t>
            </a:r>
          </a:p>
        </xdr:txBody>
      </xdr:sp>
      <xdr:sp macro="" textlink="">
        <xdr:nvSpPr>
          <xdr:cNvPr id="8" name="TextBox 27">
            <a:extLst>
              <a:ext uri="{FF2B5EF4-FFF2-40B4-BE49-F238E27FC236}">
                <a16:creationId xmlns:a16="http://schemas.microsoft.com/office/drawing/2014/main" xmlns="" id="{00000000-0008-0000-0100-000008000000}"/>
              </a:ext>
            </a:extLst>
          </xdr:cNvPr>
          <xdr:cNvSpPr txBox="1"/>
        </xdr:nvSpPr>
        <xdr:spPr>
          <a:xfrm>
            <a:off x="1414535" y="925920"/>
            <a:ext cx="414889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456</a:t>
            </a:r>
          </a:p>
        </xdr:txBody>
      </xdr:sp>
      <xdr:sp macro="" textlink="">
        <xdr:nvSpPr>
          <xdr:cNvPr id="9" name="TextBox 28">
            <a:extLst>
              <a:ext uri="{FF2B5EF4-FFF2-40B4-BE49-F238E27FC236}">
                <a16:creationId xmlns:a16="http://schemas.microsoft.com/office/drawing/2014/main" xmlns="" id="{00000000-0008-0000-0100-000009000000}"/>
              </a:ext>
            </a:extLst>
          </xdr:cNvPr>
          <xdr:cNvSpPr txBox="1"/>
        </xdr:nvSpPr>
        <xdr:spPr>
          <a:xfrm>
            <a:off x="2037780" y="800177"/>
            <a:ext cx="414889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563</a:t>
            </a:r>
          </a:p>
        </xdr:txBody>
      </xdr:sp>
      <xdr:sp macro="" textlink="">
        <xdr:nvSpPr>
          <xdr:cNvPr id="10" name="TextBox 29">
            <a:extLst>
              <a:ext uri="{FF2B5EF4-FFF2-40B4-BE49-F238E27FC236}">
                <a16:creationId xmlns:a16="http://schemas.microsoft.com/office/drawing/2014/main" xmlns="" id="{00000000-0008-0000-0100-00000A000000}"/>
              </a:ext>
            </a:extLst>
          </xdr:cNvPr>
          <xdr:cNvSpPr txBox="1"/>
        </xdr:nvSpPr>
        <xdr:spPr>
          <a:xfrm>
            <a:off x="2586408" y="950351"/>
            <a:ext cx="495082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2095</a:t>
            </a:r>
          </a:p>
        </xdr:txBody>
      </xdr:sp>
      <xdr:sp macro="" textlink="">
        <xdr:nvSpPr>
          <xdr:cNvPr id="11" name="TextBox 30">
            <a:extLst>
              <a:ext uri="{FF2B5EF4-FFF2-40B4-BE49-F238E27FC236}">
                <a16:creationId xmlns:a16="http://schemas.microsoft.com/office/drawing/2014/main" xmlns="" id="{00000000-0008-0000-0100-00000B000000}"/>
              </a:ext>
            </a:extLst>
          </xdr:cNvPr>
          <xdr:cNvSpPr txBox="1"/>
        </xdr:nvSpPr>
        <xdr:spPr>
          <a:xfrm>
            <a:off x="2075393" y="1887162"/>
            <a:ext cx="495082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3333</a:t>
            </a:r>
          </a:p>
        </xdr:txBody>
      </xdr:sp>
      <xdr:sp macro="" textlink="">
        <xdr:nvSpPr>
          <xdr:cNvPr id="12" name="TextBox 31">
            <a:extLst>
              <a:ext uri="{FF2B5EF4-FFF2-40B4-BE49-F238E27FC236}">
                <a16:creationId xmlns:a16="http://schemas.microsoft.com/office/drawing/2014/main" xmlns="" id="{00000000-0008-0000-0100-00000C000000}"/>
              </a:ext>
            </a:extLst>
          </xdr:cNvPr>
          <xdr:cNvSpPr txBox="1"/>
        </xdr:nvSpPr>
        <xdr:spPr>
          <a:xfrm>
            <a:off x="1601017" y="1508323"/>
            <a:ext cx="495082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rgbClr val="FFFF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1952</a:t>
            </a:r>
          </a:p>
        </xdr:txBody>
      </xdr:sp>
      <xdr:sp macro="" textlink="">
        <xdr:nvSpPr>
          <xdr:cNvPr id="13" name="TextBox 32">
            <a:extLst>
              <a:ext uri="{FF2B5EF4-FFF2-40B4-BE49-F238E27FC236}">
                <a16:creationId xmlns:a16="http://schemas.microsoft.com/office/drawing/2014/main" xmlns="" id="{00000000-0008-0000-0100-00000D000000}"/>
              </a:ext>
            </a:extLst>
          </xdr:cNvPr>
          <xdr:cNvSpPr txBox="1"/>
        </xdr:nvSpPr>
        <xdr:spPr>
          <a:xfrm>
            <a:off x="2453995" y="1499989"/>
            <a:ext cx="414889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688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609599</xdr:colOff>
      <xdr:row>0</xdr:row>
      <xdr:rowOff>0</xdr:rowOff>
    </xdr:from>
    <xdr:to>
      <xdr:col>13</xdr:col>
      <xdr:colOff>562899</xdr:colOff>
      <xdr:row>11</xdr:row>
      <xdr:rowOff>119162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pSpPr/>
      </xdr:nvGrpSpPr>
      <xdr:grpSpPr>
        <a:xfrm>
          <a:off x="8839199" y="0"/>
          <a:ext cx="2391700" cy="2281337"/>
          <a:chOff x="1076821" y="547304"/>
          <a:chExt cx="2257543" cy="2028214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xmlns="" id="{00000000-0008-0000-0200-000003000000}"/>
              </a:ext>
            </a:extLst>
          </xdr:cNvPr>
          <xdr:cNvGrpSpPr/>
        </xdr:nvGrpSpPr>
        <xdr:grpSpPr>
          <a:xfrm>
            <a:off x="1326634" y="624673"/>
            <a:ext cx="1839661" cy="1653635"/>
            <a:chOff x="1981200" y="1512216"/>
            <a:chExt cx="2819400" cy="2831184"/>
          </a:xfrm>
        </xdr:grpSpPr>
        <xdr:sp macro="" textlink="">
          <xdr:nvSpPr>
            <xdr:cNvPr id="14" name="Oval 13">
              <a:extLst>
                <a:ext uri="{FF2B5EF4-FFF2-40B4-BE49-F238E27FC236}">
                  <a16:creationId xmlns:a16="http://schemas.microsoft.com/office/drawing/2014/main" xmlns="" id="{00000000-0008-0000-0200-00000E000000}"/>
                </a:ext>
              </a:extLst>
            </xdr:cNvPr>
            <xdr:cNvSpPr/>
          </xdr:nvSpPr>
          <xdr:spPr>
            <a:xfrm>
              <a:off x="2438400" y="2286000"/>
              <a:ext cx="1981200" cy="2057400"/>
            </a:xfrm>
            <a:prstGeom prst="ellipse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12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" name="Oval 14">
              <a:extLst>
                <a:ext uri="{FF2B5EF4-FFF2-40B4-BE49-F238E27FC236}">
                  <a16:creationId xmlns:a16="http://schemas.microsoft.com/office/drawing/2014/main" xmlns="" id="{00000000-0008-0000-0200-00000F000000}"/>
                </a:ext>
              </a:extLst>
            </xdr:cNvPr>
            <xdr:cNvSpPr/>
          </xdr:nvSpPr>
          <xdr:spPr>
            <a:xfrm>
              <a:off x="2819400" y="1524000"/>
              <a:ext cx="1981200" cy="2057400"/>
            </a:xfrm>
            <a:prstGeom prst="ellipse">
              <a:avLst/>
            </a:prstGeom>
            <a:solidFill>
              <a:srgbClr val="4F81BD">
                <a:alpha val="10196"/>
              </a:srgbClr>
            </a:solidFill>
            <a:ln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12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" name="Oval 15">
              <a:extLst>
                <a:ext uri="{FF2B5EF4-FFF2-40B4-BE49-F238E27FC236}">
                  <a16:creationId xmlns:a16="http://schemas.microsoft.com/office/drawing/2014/main" xmlns="" id="{00000000-0008-0000-0200-000010000000}"/>
                </a:ext>
              </a:extLst>
            </xdr:cNvPr>
            <xdr:cNvSpPr/>
          </xdr:nvSpPr>
          <xdr:spPr>
            <a:xfrm>
              <a:off x="1981200" y="1512216"/>
              <a:ext cx="1981200" cy="2057400"/>
            </a:xfrm>
            <a:prstGeom prst="ellipse">
              <a:avLst/>
            </a:prstGeom>
            <a:solidFill>
              <a:srgbClr val="4F81BD">
                <a:alpha val="50196"/>
              </a:srgbClr>
            </a:solidFill>
            <a:ln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 sz="12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4" name="TextBox 23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SpPr txBox="1"/>
        </xdr:nvSpPr>
        <xdr:spPr>
          <a:xfrm>
            <a:off x="1076821" y="554883"/>
            <a:ext cx="1362305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ABA</a:t>
            </a:r>
          </a:p>
        </xdr:txBody>
      </xdr:sp>
      <xdr:sp macro="" textlink="">
        <xdr:nvSpPr>
          <xdr:cNvPr id="5" name="TextBox 24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SpPr txBox="1"/>
        </xdr:nvSpPr>
        <xdr:spPr>
          <a:xfrm>
            <a:off x="2333532" y="547304"/>
            <a:ext cx="1000832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GA</a:t>
            </a:r>
          </a:p>
        </xdr:txBody>
      </xdr:sp>
      <xdr:sp macro="" textlink="">
        <xdr:nvSpPr>
          <xdr:cNvPr id="6" name="TextBox 25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 txBox="1"/>
        </xdr:nvSpPr>
        <xdr:spPr>
          <a:xfrm>
            <a:off x="2185207" y="2329253"/>
            <a:ext cx="941977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Fg</a:t>
            </a:r>
          </a:p>
        </xdr:txBody>
      </xdr:sp>
      <xdr:sp macro="" textlink="">
        <xdr:nvSpPr>
          <xdr:cNvPr id="7" name="TextBox 26">
            <a:extLst>
              <a:ext uri="{FF2B5EF4-FFF2-40B4-BE49-F238E27FC236}">
                <a16:creationId xmlns:a16="http://schemas.microsoft.com/office/drawing/2014/main" xmlns="" id="{00000000-0008-0000-0200-000007000000}"/>
              </a:ext>
            </a:extLst>
          </xdr:cNvPr>
          <xdr:cNvSpPr txBox="1"/>
        </xdr:nvSpPr>
        <xdr:spPr>
          <a:xfrm>
            <a:off x="1987462" y="1225435"/>
            <a:ext cx="487093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rgbClr val="FFFF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1127</a:t>
            </a:r>
          </a:p>
        </xdr:txBody>
      </xdr:sp>
      <xdr:sp macro="" textlink="">
        <xdr:nvSpPr>
          <xdr:cNvPr id="8" name="TextBox 27">
            <a:extLst>
              <a:ext uri="{FF2B5EF4-FFF2-40B4-BE49-F238E27FC236}">
                <a16:creationId xmlns:a16="http://schemas.microsoft.com/office/drawing/2014/main" xmlns="" id="{00000000-0008-0000-0200-000008000000}"/>
              </a:ext>
            </a:extLst>
          </xdr:cNvPr>
          <xdr:cNvSpPr txBox="1"/>
        </xdr:nvSpPr>
        <xdr:spPr>
          <a:xfrm>
            <a:off x="1414535" y="925920"/>
            <a:ext cx="414889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456</a:t>
            </a:r>
          </a:p>
        </xdr:txBody>
      </xdr:sp>
      <xdr:sp macro="" textlink="">
        <xdr:nvSpPr>
          <xdr:cNvPr id="9" name="TextBox 28">
            <a:extLst>
              <a:ext uri="{FF2B5EF4-FFF2-40B4-BE49-F238E27FC236}">
                <a16:creationId xmlns:a16="http://schemas.microsoft.com/office/drawing/2014/main" xmlns="" id="{00000000-0008-0000-0200-000009000000}"/>
              </a:ext>
            </a:extLst>
          </xdr:cNvPr>
          <xdr:cNvSpPr txBox="1"/>
        </xdr:nvSpPr>
        <xdr:spPr>
          <a:xfrm>
            <a:off x="2037780" y="800177"/>
            <a:ext cx="414889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563</a:t>
            </a:r>
          </a:p>
        </xdr:txBody>
      </xdr:sp>
      <xdr:sp macro="" textlink="">
        <xdr:nvSpPr>
          <xdr:cNvPr id="10" name="TextBox 29">
            <a:extLst>
              <a:ext uri="{FF2B5EF4-FFF2-40B4-BE49-F238E27FC236}">
                <a16:creationId xmlns:a16="http://schemas.microsoft.com/office/drawing/2014/main" xmlns="" id="{00000000-0008-0000-0200-00000A000000}"/>
              </a:ext>
            </a:extLst>
          </xdr:cNvPr>
          <xdr:cNvSpPr txBox="1"/>
        </xdr:nvSpPr>
        <xdr:spPr>
          <a:xfrm>
            <a:off x="2586408" y="950351"/>
            <a:ext cx="495082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2095</a:t>
            </a:r>
          </a:p>
        </xdr:txBody>
      </xdr:sp>
      <xdr:sp macro="" textlink="">
        <xdr:nvSpPr>
          <xdr:cNvPr id="11" name="TextBox 30">
            <a:extLst>
              <a:ext uri="{FF2B5EF4-FFF2-40B4-BE49-F238E27FC236}">
                <a16:creationId xmlns:a16="http://schemas.microsoft.com/office/drawing/2014/main" xmlns="" id="{00000000-0008-0000-0200-00000B000000}"/>
              </a:ext>
            </a:extLst>
          </xdr:cNvPr>
          <xdr:cNvSpPr txBox="1"/>
        </xdr:nvSpPr>
        <xdr:spPr>
          <a:xfrm>
            <a:off x="2075393" y="1887162"/>
            <a:ext cx="495082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3333</a:t>
            </a:r>
          </a:p>
        </xdr:txBody>
      </xdr:sp>
      <xdr:sp macro="" textlink="">
        <xdr:nvSpPr>
          <xdr:cNvPr id="12" name="TextBox 31">
            <a:extLst>
              <a:ext uri="{FF2B5EF4-FFF2-40B4-BE49-F238E27FC236}">
                <a16:creationId xmlns:a16="http://schemas.microsoft.com/office/drawing/2014/main" xmlns="" id="{00000000-0008-0000-0200-00000C000000}"/>
              </a:ext>
            </a:extLst>
          </xdr:cNvPr>
          <xdr:cNvSpPr txBox="1"/>
        </xdr:nvSpPr>
        <xdr:spPr>
          <a:xfrm>
            <a:off x="1601017" y="1508323"/>
            <a:ext cx="495082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1952</a:t>
            </a:r>
          </a:p>
        </xdr:txBody>
      </xdr:sp>
      <xdr:sp macro="" textlink="">
        <xdr:nvSpPr>
          <xdr:cNvPr id="13" name="TextBox 32">
            <a:extLst>
              <a:ext uri="{FF2B5EF4-FFF2-40B4-BE49-F238E27FC236}">
                <a16:creationId xmlns:a16="http://schemas.microsoft.com/office/drawing/2014/main" xmlns="" id="{00000000-0008-0000-0200-00000D000000}"/>
              </a:ext>
            </a:extLst>
          </xdr:cNvPr>
          <xdr:cNvSpPr txBox="1"/>
        </xdr:nvSpPr>
        <xdr:spPr>
          <a:xfrm>
            <a:off x="2453995" y="1499989"/>
            <a:ext cx="414889" cy="2462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solidFill>
                  <a:srgbClr val="FFFF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688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13</xdr:col>
      <xdr:colOff>514350</xdr:colOff>
      <xdr:row>11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0"/>
          <a:ext cx="234315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14</xdr:col>
      <xdr:colOff>447675</xdr:colOff>
      <xdr:row>11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0"/>
          <a:ext cx="2276475" cy="230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13</xdr:col>
      <xdr:colOff>476250</xdr:colOff>
      <xdr:row>11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0"/>
          <a:ext cx="2305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13</xdr:col>
      <xdr:colOff>447675</xdr:colOff>
      <xdr:row>11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0"/>
          <a:ext cx="2276475" cy="230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15</xdr:col>
      <xdr:colOff>476250</xdr:colOff>
      <xdr:row>11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0"/>
          <a:ext cx="2305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14</xdr:col>
      <xdr:colOff>474487</xdr:colOff>
      <xdr:row>10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0"/>
          <a:ext cx="2303287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A39" sqref="A39:XFD39"/>
    </sheetView>
  </sheetViews>
  <sheetFormatPr defaultRowHeight="15" x14ac:dyDescent="0.25"/>
  <cols>
    <col min="1" max="1" width="15.42578125" customWidth="1"/>
  </cols>
  <sheetData>
    <row r="1" spans="1:3" ht="26.25" x14ac:dyDescent="0.4">
      <c r="A1" s="22" t="s">
        <v>15156</v>
      </c>
    </row>
    <row r="2" spans="1:3" ht="26.25" x14ac:dyDescent="0.4">
      <c r="A2" s="22"/>
    </row>
    <row r="3" spans="1:3" ht="20.25" x14ac:dyDescent="0.3">
      <c r="A3" s="12" t="s">
        <v>13230</v>
      </c>
    </row>
    <row r="5" spans="1:3" s="12" customFormat="1" ht="20.25" x14ac:dyDescent="0.3">
      <c r="A5" s="12" t="s">
        <v>13231</v>
      </c>
      <c r="B5" s="12" t="s">
        <v>13232</v>
      </c>
    </row>
    <row r="6" spans="1:3" x14ac:dyDescent="0.25">
      <c r="A6" t="s">
        <v>13233</v>
      </c>
      <c r="B6" s="20" t="s">
        <v>0</v>
      </c>
      <c r="C6" s="21"/>
    </row>
    <row r="7" spans="1:3" x14ac:dyDescent="0.25">
      <c r="A7" t="s">
        <v>13234</v>
      </c>
      <c r="B7" s="20" t="s">
        <v>159</v>
      </c>
      <c r="C7" s="21"/>
    </row>
    <row r="8" spans="1:3" x14ac:dyDescent="0.25">
      <c r="A8" t="s">
        <v>13235</v>
      </c>
      <c r="B8" s="20" t="s">
        <v>4093</v>
      </c>
      <c r="C8" s="21"/>
    </row>
    <row r="9" spans="1:3" x14ac:dyDescent="0.25">
      <c r="A9" t="s">
        <v>13236</v>
      </c>
      <c r="B9" s="20" t="s">
        <v>5043</v>
      </c>
      <c r="C9" s="21"/>
    </row>
    <row r="10" spans="1:3" x14ac:dyDescent="0.25">
      <c r="A10" t="s">
        <v>13237</v>
      </c>
      <c r="B10" s="20" t="s">
        <v>5441</v>
      </c>
      <c r="C10" s="21"/>
    </row>
    <row r="11" spans="1:3" x14ac:dyDescent="0.25">
      <c r="A11" t="s">
        <v>13238</v>
      </c>
      <c r="B11" s="20" t="s">
        <v>5857</v>
      </c>
      <c r="C11" s="21"/>
    </row>
    <row r="12" spans="1:3" x14ac:dyDescent="0.25">
      <c r="A12" t="s">
        <v>13239</v>
      </c>
      <c r="B12" s="20" t="s">
        <v>6035</v>
      </c>
      <c r="C12" s="21"/>
    </row>
    <row r="13" spans="1:3" x14ac:dyDescent="0.25">
      <c r="A13" t="s">
        <v>13240</v>
      </c>
      <c r="B13" s="20" t="s">
        <v>6657</v>
      </c>
      <c r="C13" s="21"/>
    </row>
    <row r="14" spans="1:3" x14ac:dyDescent="0.25">
      <c r="A14" t="s">
        <v>13241</v>
      </c>
      <c r="B14" s="20" t="s">
        <v>6695</v>
      </c>
      <c r="C14" s="21"/>
    </row>
    <row r="15" spans="1:3" x14ac:dyDescent="0.25">
      <c r="A15" t="s">
        <v>13242</v>
      </c>
      <c r="B15" s="20" t="s">
        <v>6810</v>
      </c>
      <c r="C15" s="21"/>
    </row>
    <row r="18" spans="1:3" ht="20.25" x14ac:dyDescent="0.3">
      <c r="A18" s="12" t="s">
        <v>13243</v>
      </c>
      <c r="B18" s="12" t="s">
        <v>13244</v>
      </c>
    </row>
    <row r="19" spans="1:3" x14ac:dyDescent="0.25">
      <c r="A19" t="s">
        <v>13245</v>
      </c>
      <c r="B19" s="20" t="s">
        <v>6875</v>
      </c>
      <c r="C19" s="21"/>
    </row>
    <row r="20" spans="1:3" x14ac:dyDescent="0.25">
      <c r="A20" t="s">
        <v>13246</v>
      </c>
      <c r="B20" s="20" t="s">
        <v>8692</v>
      </c>
      <c r="C20" s="21"/>
    </row>
    <row r="21" spans="1:3" x14ac:dyDescent="0.25">
      <c r="A21" t="s">
        <v>13247</v>
      </c>
      <c r="B21" s="20" t="s">
        <v>8850</v>
      </c>
      <c r="C21" s="21"/>
    </row>
    <row r="22" spans="1:3" x14ac:dyDescent="0.25">
      <c r="A22" t="s">
        <v>13248</v>
      </c>
      <c r="B22" s="20" t="s">
        <v>9555</v>
      </c>
      <c r="C22" s="21"/>
    </row>
    <row r="23" spans="1:3" x14ac:dyDescent="0.25">
      <c r="A23" t="s">
        <v>13249</v>
      </c>
      <c r="B23" s="20" t="s">
        <v>9765</v>
      </c>
      <c r="C23" s="21"/>
    </row>
    <row r="24" spans="1:3" x14ac:dyDescent="0.25">
      <c r="A24" t="s">
        <v>13250</v>
      </c>
      <c r="B24" s="20" t="s">
        <v>9882</v>
      </c>
      <c r="C24" s="21"/>
    </row>
    <row r="25" spans="1:3" x14ac:dyDescent="0.25">
      <c r="A25" t="s">
        <v>13251</v>
      </c>
      <c r="B25" s="20" t="s">
        <v>10002</v>
      </c>
      <c r="C25" s="21"/>
    </row>
    <row r="26" spans="1:3" x14ac:dyDescent="0.25">
      <c r="A26" t="s">
        <v>13252</v>
      </c>
      <c r="B26" s="20" t="s">
        <v>10391</v>
      </c>
      <c r="C26" s="21"/>
    </row>
    <row r="27" spans="1:3" x14ac:dyDescent="0.25">
      <c r="A27" t="s">
        <v>13253</v>
      </c>
      <c r="B27" s="20" t="s">
        <v>12904</v>
      </c>
      <c r="C27" s="21"/>
    </row>
    <row r="28" spans="1:3" x14ac:dyDescent="0.25">
      <c r="A28" t="s">
        <v>13254</v>
      </c>
      <c r="B28" s="20" t="s">
        <v>12957</v>
      </c>
      <c r="C28" s="21"/>
    </row>
    <row r="29" spans="1:3" x14ac:dyDescent="0.25">
      <c r="A29" t="s">
        <v>13255</v>
      </c>
      <c r="B29" s="20" t="s">
        <v>13142</v>
      </c>
      <c r="C29" s="21"/>
    </row>
    <row r="30" spans="1:3" x14ac:dyDescent="0.25">
      <c r="A30" t="s">
        <v>13256</v>
      </c>
      <c r="B30" s="20" t="s">
        <v>13152</v>
      </c>
      <c r="C30" s="21"/>
    </row>
    <row r="31" spans="1:3" x14ac:dyDescent="0.25">
      <c r="A31" t="s">
        <v>13257</v>
      </c>
      <c r="B31" s="20" t="s">
        <v>13190</v>
      </c>
      <c r="C31" s="21"/>
    </row>
    <row r="32" spans="1:3" x14ac:dyDescent="0.25">
      <c r="A32" t="s">
        <v>13258</v>
      </c>
      <c r="B32" s="20" t="s">
        <v>13259</v>
      </c>
      <c r="C32" s="21"/>
    </row>
    <row r="33" spans="1:3" x14ac:dyDescent="0.25">
      <c r="A33" t="s">
        <v>13260</v>
      </c>
      <c r="B33" s="20" t="s">
        <v>13261</v>
      </c>
      <c r="C33" s="21"/>
    </row>
    <row r="34" spans="1:3" x14ac:dyDescent="0.25">
      <c r="A34" t="s">
        <v>13262</v>
      </c>
      <c r="B34" s="20" t="s">
        <v>13263</v>
      </c>
      <c r="C34" s="21"/>
    </row>
    <row r="35" spans="1:3" x14ac:dyDescent="0.25">
      <c r="A35" t="s">
        <v>13264</v>
      </c>
      <c r="B35" s="20" t="s">
        <v>13265</v>
      </c>
      <c r="C35" s="21"/>
    </row>
    <row r="36" spans="1:3" x14ac:dyDescent="0.25">
      <c r="A36" t="s">
        <v>13266</v>
      </c>
      <c r="B36" s="20" t="s">
        <v>13267</v>
      </c>
      <c r="C36" s="21"/>
    </row>
    <row r="37" spans="1:3" x14ac:dyDescent="0.25">
      <c r="A37" t="s">
        <v>13268</v>
      </c>
      <c r="B37" s="20" t="s">
        <v>13269</v>
      </c>
      <c r="C37" s="21"/>
    </row>
    <row r="38" spans="1:3" x14ac:dyDescent="0.25">
      <c r="B38" s="20"/>
      <c r="C38" s="21"/>
    </row>
    <row r="39" spans="1:3" x14ac:dyDescent="0.25">
      <c r="B39" s="21"/>
      <c r="C39" s="21"/>
    </row>
    <row r="40" spans="1:3" ht="20.25" x14ac:dyDescent="0.3">
      <c r="A40" s="12" t="s">
        <v>13270</v>
      </c>
      <c r="B40" s="12" t="s">
        <v>13271</v>
      </c>
      <c r="C40" s="21"/>
    </row>
    <row r="41" spans="1:3" x14ac:dyDescent="0.25">
      <c r="A41" t="s">
        <v>13272</v>
      </c>
      <c r="B41" s="20" t="s">
        <v>13273</v>
      </c>
      <c r="C41" s="21"/>
    </row>
    <row r="42" spans="1:3" x14ac:dyDescent="0.25">
      <c r="A42" t="s">
        <v>13274</v>
      </c>
      <c r="B42" s="20" t="s">
        <v>13275</v>
      </c>
      <c r="C42" s="21"/>
    </row>
    <row r="43" spans="1:3" x14ac:dyDescent="0.25">
      <c r="A43" t="s">
        <v>13276</v>
      </c>
      <c r="B43" s="20" t="s">
        <v>13277</v>
      </c>
      <c r="C43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pane ySplit="11" topLeftCell="A12" activePane="bottomLeft" state="frozen"/>
      <selection pane="bottomLeft"/>
    </sheetView>
  </sheetViews>
  <sheetFormatPr defaultRowHeight="15" x14ac:dyDescent="0.25"/>
  <cols>
    <col min="1" max="1" width="25.7109375" customWidth="1"/>
    <col min="3" max="3" width="15.28515625" customWidth="1"/>
    <col min="4" max="4" width="35.28515625" customWidth="1"/>
  </cols>
  <sheetData>
    <row r="1" spans="1:9" ht="20.25" x14ac:dyDescent="0.3">
      <c r="A1" s="12" t="s">
        <v>0</v>
      </c>
    </row>
    <row r="2" spans="1:9" x14ac:dyDescent="0.25">
      <c r="A2" s="6" t="s">
        <v>1</v>
      </c>
      <c r="B2" s="8">
        <f>62/7100</f>
        <v>8.7323943661971829E-3</v>
      </c>
      <c r="C2" t="s">
        <v>2</v>
      </c>
      <c r="D2">
        <v>44</v>
      </c>
    </row>
    <row r="3" spans="1:9" x14ac:dyDescent="0.25">
      <c r="A3" t="s">
        <v>3</v>
      </c>
      <c r="C3" t="s">
        <v>4</v>
      </c>
      <c r="D3">
        <v>77079</v>
      </c>
    </row>
    <row r="4" spans="1:9" x14ac:dyDescent="0.25">
      <c r="A4" t="s">
        <v>5</v>
      </c>
      <c r="C4" t="s">
        <v>6</v>
      </c>
      <c r="D4" t="s">
        <v>7</v>
      </c>
    </row>
    <row r="5" spans="1:9" x14ac:dyDescent="0.25">
      <c r="A5" t="s">
        <v>8</v>
      </c>
      <c r="C5" t="s">
        <v>9</v>
      </c>
      <c r="D5" t="s">
        <v>10</v>
      </c>
    </row>
    <row r="6" spans="1:9" x14ac:dyDescent="0.25">
      <c r="A6" t="s">
        <v>11</v>
      </c>
      <c r="C6" t="s">
        <v>12</v>
      </c>
      <c r="D6" t="s">
        <v>13</v>
      </c>
    </row>
    <row r="7" spans="1:9" x14ac:dyDescent="0.25">
      <c r="A7" t="s">
        <v>14</v>
      </c>
      <c r="C7" t="s">
        <v>15</v>
      </c>
      <c r="D7" t="s">
        <v>16</v>
      </c>
    </row>
    <row r="8" spans="1:9" x14ac:dyDescent="0.25">
      <c r="A8" t="s">
        <v>17</v>
      </c>
      <c r="C8" t="s">
        <v>18</v>
      </c>
      <c r="D8" t="s">
        <v>19</v>
      </c>
    </row>
    <row r="9" spans="1:9" x14ac:dyDescent="0.25">
      <c r="A9" t="s">
        <v>20</v>
      </c>
      <c r="C9" t="s">
        <v>21</v>
      </c>
      <c r="D9">
        <v>3</v>
      </c>
    </row>
    <row r="10" spans="1:9" x14ac:dyDescent="0.25">
      <c r="A10" t="s">
        <v>22</v>
      </c>
    </row>
    <row r="11" spans="1:9" x14ac:dyDescent="0.25">
      <c r="A11" t="s">
        <v>23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31</v>
      </c>
      <c r="C12" s="3" t="str">
        <f>HYPERLINK("http://amigo.geneontology.org/amigo/term/GO:0008083","GO:0008083")</f>
        <v>GO:0008083</v>
      </c>
      <c r="D12" t="s">
        <v>32</v>
      </c>
      <c r="E12">
        <v>12</v>
      </c>
      <c r="F12">
        <v>2</v>
      </c>
      <c r="G12" s="4">
        <v>2.0942129978777999E-5</v>
      </c>
      <c r="H12">
        <v>9.4553716854182804E-2</v>
      </c>
      <c r="I12" t="s">
        <v>33</v>
      </c>
    </row>
    <row r="13" spans="1:9" x14ac:dyDescent="0.25">
      <c r="A13" t="s">
        <v>34</v>
      </c>
      <c r="C13" s="3" t="str">
        <f>HYPERLINK("http://amigo.geneontology.org/amigo/term/GO:0030545","GO:0030545")</f>
        <v>GO:0030545</v>
      </c>
      <c r="D13" t="s">
        <v>35</v>
      </c>
      <c r="E13">
        <v>16</v>
      </c>
      <c r="F13">
        <v>2</v>
      </c>
      <c r="G13" s="4">
        <v>3.8021323997058397E-5</v>
      </c>
      <c r="H13">
        <v>5.7222092615572998E-2</v>
      </c>
      <c r="I13" t="s">
        <v>33</v>
      </c>
    </row>
    <row r="14" spans="1:9" x14ac:dyDescent="0.25">
      <c r="A14" t="s">
        <v>36</v>
      </c>
      <c r="C14" s="3" t="str">
        <f>HYPERLINK("http://amigo.geneontology.org/amigo/term/GO:0048018","GO:0048018")</f>
        <v>GO:0048018</v>
      </c>
      <c r="D14" t="s">
        <v>37</v>
      </c>
      <c r="E14">
        <v>16</v>
      </c>
      <c r="F14">
        <v>2</v>
      </c>
      <c r="G14" s="4">
        <v>3.8021323997058397E-5</v>
      </c>
      <c r="H14">
        <v>8.5814128261361006E-2</v>
      </c>
      <c r="I14" t="s">
        <v>33</v>
      </c>
    </row>
    <row r="15" spans="1:9" x14ac:dyDescent="0.25">
      <c r="A15" t="s">
        <v>38</v>
      </c>
      <c r="C15" s="3" t="str">
        <f>HYPERLINK("http://amigo.geneontology.org/amigo/term/GO:0005102","GO:0005102")</f>
        <v>GO:0005102</v>
      </c>
      <c r="D15" t="s">
        <v>39</v>
      </c>
      <c r="E15">
        <v>21</v>
      </c>
      <c r="F15">
        <v>2</v>
      </c>
      <c r="G15" s="4">
        <v>6.6416617684108596E-5</v>
      </c>
      <c r="H15">
        <v>7.4917944747674506E-2</v>
      </c>
      <c r="I15" t="s">
        <v>33</v>
      </c>
    </row>
    <row r="16" spans="1:9" x14ac:dyDescent="0.25">
      <c r="A16" t="s">
        <v>40</v>
      </c>
      <c r="C16" s="3" t="str">
        <f>HYPERLINK("http://amigo.geneontology.org/amigo/term/GO:0032958","GO:0032958")</f>
        <v>GO:0032958</v>
      </c>
      <c r="D16" t="s">
        <v>41</v>
      </c>
      <c r="E16">
        <v>53</v>
      </c>
      <c r="F16">
        <v>2</v>
      </c>
      <c r="G16" s="4">
        <v>4.3078784098105202E-4</v>
      </c>
      <c r="H16">
        <v>0.27785815743277797</v>
      </c>
      <c r="I16" t="s">
        <v>42</v>
      </c>
    </row>
    <row r="17" spans="1:9" x14ac:dyDescent="0.25">
      <c r="A17" t="s">
        <v>43</v>
      </c>
      <c r="C17" s="3" t="str">
        <f>HYPERLINK("http://amigo.geneontology.org/amigo/term/GO:0033517","GO:0033517")</f>
        <v>GO:0033517</v>
      </c>
      <c r="D17" t="s">
        <v>44</v>
      </c>
      <c r="E17">
        <v>53</v>
      </c>
      <c r="F17">
        <v>2</v>
      </c>
      <c r="G17" s="4">
        <v>4.3078784098105202E-4</v>
      </c>
      <c r="H17">
        <v>0.323952456417751</v>
      </c>
      <c r="I17" t="s">
        <v>42</v>
      </c>
    </row>
    <row r="18" spans="1:9" x14ac:dyDescent="0.25">
      <c r="A18" t="s">
        <v>45</v>
      </c>
      <c r="C18" s="3" t="str">
        <f>HYPERLINK("http://amigo.geneontology.org/amigo/term/GO:0010264","GO:0010264")</f>
        <v>GO:0010264</v>
      </c>
      <c r="D18" t="s">
        <v>46</v>
      </c>
      <c r="E18">
        <v>53</v>
      </c>
      <c r="F18">
        <v>2</v>
      </c>
      <c r="G18" s="4">
        <v>4.3078784098105202E-4</v>
      </c>
      <c r="H18">
        <v>0.38900142040588997</v>
      </c>
      <c r="I18" t="s">
        <v>42</v>
      </c>
    </row>
    <row r="19" spans="1:9" x14ac:dyDescent="0.25">
      <c r="A19" t="s">
        <v>47</v>
      </c>
      <c r="C19" s="3" t="str">
        <f>HYPERLINK("http://amigo.geneontology.org/amigo/term/GO:0046173","GO:0046173")</f>
        <v>GO:0046173</v>
      </c>
      <c r="D19" t="s">
        <v>48</v>
      </c>
      <c r="E19">
        <v>69</v>
      </c>
      <c r="F19">
        <v>2</v>
      </c>
      <c r="G19" s="4">
        <v>7.2915991214892297E-4</v>
      </c>
      <c r="H19">
        <v>0.41124619045199201</v>
      </c>
      <c r="I19" t="s">
        <v>42</v>
      </c>
    </row>
    <row r="20" spans="1:9" x14ac:dyDescent="0.25">
      <c r="A20" t="s">
        <v>49</v>
      </c>
      <c r="C20" s="3" t="str">
        <f>HYPERLINK("http://amigo.geneontology.org/amigo/term/GO:0043647","GO:0043647")</f>
        <v>GO:0043647</v>
      </c>
      <c r="D20" t="s">
        <v>50</v>
      </c>
      <c r="E20">
        <v>73</v>
      </c>
      <c r="F20">
        <v>2</v>
      </c>
      <c r="G20" s="4">
        <v>8.1562495231905503E-4</v>
      </c>
      <c r="H20">
        <v>0.408628101111846</v>
      </c>
      <c r="I20" t="s">
        <v>42</v>
      </c>
    </row>
    <row r="21" spans="1:9" x14ac:dyDescent="0.25">
      <c r="A21" t="s">
        <v>51</v>
      </c>
      <c r="C21" s="3" t="str">
        <f>HYPERLINK("http://amigo.geneontology.org/amigo/term/GO:0106019","GO:0106019")</f>
        <v>GO:0106019</v>
      </c>
      <c r="D21" t="s">
        <v>52</v>
      </c>
      <c r="E21">
        <v>3</v>
      </c>
      <c r="F21">
        <v>1</v>
      </c>
      <c r="G21">
        <v>1.71157349839749E-3</v>
      </c>
      <c r="H21">
        <v>0.42789337459937299</v>
      </c>
      <c r="I21" t="s">
        <v>53</v>
      </c>
    </row>
    <row r="22" spans="1:9" x14ac:dyDescent="0.25">
      <c r="A22" t="s">
        <v>54</v>
      </c>
      <c r="C22" s="3" t="str">
        <f>HYPERLINK("http://amigo.geneontology.org/amigo/term/GO:0004439","GO:0004439")</f>
        <v>GO:0004439</v>
      </c>
      <c r="D22" t="s">
        <v>55</v>
      </c>
      <c r="E22">
        <v>3</v>
      </c>
      <c r="F22">
        <v>1</v>
      </c>
      <c r="G22">
        <v>1.71157349839749E-3</v>
      </c>
      <c r="H22">
        <v>0.453566977075335</v>
      </c>
      <c r="I22" t="s">
        <v>53</v>
      </c>
    </row>
    <row r="23" spans="1:9" x14ac:dyDescent="0.25">
      <c r="A23" t="s">
        <v>56</v>
      </c>
      <c r="C23" s="3" t="str">
        <f>HYPERLINK("http://amigo.geneontology.org/amigo/term/GO:0046030","GO:0046030")</f>
        <v>GO:0046030</v>
      </c>
      <c r="D23" t="s">
        <v>57</v>
      </c>
      <c r="E23">
        <v>3</v>
      </c>
      <c r="F23">
        <v>1</v>
      </c>
      <c r="G23">
        <v>1.71157349839749E-3</v>
      </c>
      <c r="H23">
        <v>0.48266372654809198</v>
      </c>
      <c r="I23" t="s">
        <v>53</v>
      </c>
    </row>
    <row r="24" spans="1:9" x14ac:dyDescent="0.25">
      <c r="A24" t="s">
        <v>58</v>
      </c>
      <c r="C24" s="3" t="str">
        <f>HYPERLINK("http://amigo.geneontology.org/amigo/term/GO:0004445","GO:0004445")</f>
        <v>GO:0004445</v>
      </c>
      <c r="D24" t="s">
        <v>59</v>
      </c>
      <c r="E24">
        <v>3</v>
      </c>
      <c r="F24">
        <v>1</v>
      </c>
      <c r="G24">
        <v>1.71157349839749E-3</v>
      </c>
      <c r="H24">
        <v>0.51518362301764498</v>
      </c>
      <c r="I24" t="s">
        <v>53</v>
      </c>
    </row>
    <row r="25" spans="1:9" x14ac:dyDescent="0.25">
      <c r="A25" t="s">
        <v>53</v>
      </c>
      <c r="C25" s="3" t="str">
        <f>HYPERLINK("http://amigo.geneontology.org/amigo/term/GO:0034594","GO:0034594")</f>
        <v>GO:0034594</v>
      </c>
      <c r="D25" t="s">
        <v>60</v>
      </c>
      <c r="E25">
        <v>3</v>
      </c>
      <c r="F25">
        <v>1</v>
      </c>
      <c r="G25">
        <v>1.71157349839749E-3</v>
      </c>
      <c r="H25">
        <v>0.551126666483992</v>
      </c>
      <c r="I25" t="s">
        <v>53</v>
      </c>
    </row>
    <row r="26" spans="1:9" x14ac:dyDescent="0.25">
      <c r="A26" t="s">
        <v>61</v>
      </c>
      <c r="C26" s="3" t="str">
        <f>HYPERLINK("http://amigo.geneontology.org/amigo/term/GO:0034485","GO:0034485")</f>
        <v>GO:0034485</v>
      </c>
      <c r="D26" t="s">
        <v>62</v>
      </c>
      <c r="E26">
        <v>3</v>
      </c>
      <c r="F26">
        <v>1</v>
      </c>
      <c r="G26">
        <v>1.71157349839749E-3</v>
      </c>
      <c r="H26">
        <v>0.59391600394392896</v>
      </c>
      <c r="I26" t="s">
        <v>53</v>
      </c>
    </row>
    <row r="27" spans="1:9" x14ac:dyDescent="0.25">
      <c r="A27" t="s">
        <v>63</v>
      </c>
      <c r="C27" s="3" t="str">
        <f>HYPERLINK("http://amigo.geneontology.org/amigo/term/GO:0052658","GO:0052658")</f>
        <v>GO:0052658</v>
      </c>
      <c r="D27" t="s">
        <v>64</v>
      </c>
      <c r="E27">
        <v>3</v>
      </c>
      <c r="F27">
        <v>1</v>
      </c>
      <c r="G27">
        <v>1.71157349839749E-3</v>
      </c>
      <c r="H27">
        <v>0.64355163539745697</v>
      </c>
      <c r="I27" t="s">
        <v>53</v>
      </c>
    </row>
    <row r="28" spans="1:9" x14ac:dyDescent="0.25">
      <c r="A28" t="s">
        <v>65</v>
      </c>
      <c r="C28" s="3" t="str">
        <f>HYPERLINK("http://amigo.geneontology.org/amigo/term/GO:0052743","GO:0052743")</f>
        <v>GO:0052743</v>
      </c>
      <c r="D28" t="s">
        <v>66</v>
      </c>
      <c r="E28">
        <v>3</v>
      </c>
      <c r="F28">
        <v>1</v>
      </c>
      <c r="G28">
        <v>1.71157349839749E-3</v>
      </c>
      <c r="H28">
        <v>0.70174513434297103</v>
      </c>
      <c r="I28" t="s">
        <v>53</v>
      </c>
    </row>
    <row r="29" spans="1:9" x14ac:dyDescent="0.25">
      <c r="A29" t="s">
        <v>67</v>
      </c>
      <c r="C29" s="3" t="str">
        <f>HYPERLINK("http://amigo.geneontology.org/amigo/term/GO:0052659","GO:0052659")</f>
        <v>GO:0052659</v>
      </c>
      <c r="D29" t="s">
        <v>68</v>
      </c>
      <c r="E29">
        <v>3</v>
      </c>
      <c r="F29">
        <v>1</v>
      </c>
      <c r="G29">
        <v>1.71157349839749E-3</v>
      </c>
      <c r="H29">
        <v>0.77191964777726896</v>
      </c>
      <c r="I29" t="s">
        <v>53</v>
      </c>
    </row>
    <row r="30" spans="1:9" x14ac:dyDescent="0.25">
      <c r="A30" t="s">
        <v>69</v>
      </c>
      <c r="C30" s="3" t="str">
        <f>HYPERLINK("http://amigo.geneontology.org/amigo/term/GO:0046165","GO:0046165")</f>
        <v>GO:0046165</v>
      </c>
      <c r="D30" t="s">
        <v>70</v>
      </c>
      <c r="E30">
        <v>112</v>
      </c>
      <c r="F30">
        <v>2</v>
      </c>
      <c r="G30">
        <v>1.9021379205170501E-3</v>
      </c>
      <c r="H30">
        <v>0.45080668716254002</v>
      </c>
      <c r="I30" t="s">
        <v>42</v>
      </c>
    </row>
    <row r="31" spans="1:9" x14ac:dyDescent="0.25">
      <c r="A31" t="s">
        <v>71</v>
      </c>
      <c r="C31" s="3" t="str">
        <f>HYPERLINK("http://amigo.geneontology.org/amigo/term/GO:0034595","GO:0034595")</f>
        <v>GO:0034595</v>
      </c>
      <c r="D31" t="s">
        <v>72</v>
      </c>
      <c r="E31">
        <v>4</v>
      </c>
      <c r="F31">
        <v>1</v>
      </c>
      <c r="G31">
        <v>2.28146154084144E-3</v>
      </c>
      <c r="H31">
        <v>0.44716646200492299</v>
      </c>
      <c r="I31" t="s">
        <v>53</v>
      </c>
    </row>
    <row r="32" spans="1:9" x14ac:dyDescent="0.25">
      <c r="A32" t="s">
        <v>73</v>
      </c>
      <c r="C32" s="3" t="str">
        <f>HYPERLINK("http://amigo.geneontology.org/amigo/term/GO:0034593","GO:0034593")</f>
        <v>GO:0034593</v>
      </c>
      <c r="D32" t="s">
        <v>74</v>
      </c>
      <c r="E32">
        <v>4</v>
      </c>
      <c r="F32">
        <v>1</v>
      </c>
      <c r="G32">
        <v>2.28146154084144E-3</v>
      </c>
      <c r="H32">
        <v>0.46769961587249598</v>
      </c>
      <c r="I32" t="s">
        <v>53</v>
      </c>
    </row>
    <row r="33" spans="1:9" x14ac:dyDescent="0.25">
      <c r="A33" t="s">
        <v>75</v>
      </c>
      <c r="C33" s="3" t="str">
        <f>HYPERLINK("http://amigo.geneontology.org/amigo/term/GO:0106018","GO:0106018")</f>
        <v>GO:0106018</v>
      </c>
      <c r="D33" t="s">
        <v>76</v>
      </c>
      <c r="E33">
        <v>4</v>
      </c>
      <c r="F33">
        <v>1</v>
      </c>
      <c r="G33">
        <v>2.28146154084144E-3</v>
      </c>
      <c r="H33">
        <v>0.49051423128091098</v>
      </c>
      <c r="I33" t="s">
        <v>53</v>
      </c>
    </row>
    <row r="34" spans="1:9" x14ac:dyDescent="0.25">
      <c r="A34" t="s">
        <v>77</v>
      </c>
      <c r="C34" s="3" t="str">
        <f>HYPERLINK("http://amigo.geneontology.org/amigo/term/GO:0043813","GO:0043813")</f>
        <v>GO:0043813</v>
      </c>
      <c r="D34" t="s">
        <v>78</v>
      </c>
      <c r="E34">
        <v>4</v>
      </c>
      <c r="F34">
        <v>1</v>
      </c>
      <c r="G34">
        <v>2.28146154084144E-3</v>
      </c>
      <c r="H34">
        <v>0.51332884668932499</v>
      </c>
      <c r="I34" t="s">
        <v>53</v>
      </c>
    </row>
    <row r="35" spans="1:9" x14ac:dyDescent="0.25">
      <c r="A35" t="s">
        <v>79</v>
      </c>
      <c r="C35" s="3" t="str">
        <f>HYPERLINK("http://amigo.geneontology.org/amigo/term/GO:0008643","GO:0008643")</f>
        <v>GO:0008643</v>
      </c>
      <c r="D35" t="s">
        <v>80</v>
      </c>
      <c r="E35">
        <v>124</v>
      </c>
      <c r="F35">
        <v>2</v>
      </c>
      <c r="G35">
        <v>2.3234970137047399E-3</v>
      </c>
      <c r="H35">
        <v>0.43681743857649102</v>
      </c>
      <c r="I35" t="s">
        <v>81</v>
      </c>
    </row>
    <row r="36" spans="1:9" x14ac:dyDescent="0.25">
      <c r="A36" t="s">
        <v>82</v>
      </c>
      <c r="C36" s="3" t="str">
        <f>HYPERLINK("http://amigo.geneontology.org/amigo/term/GO:0019751","GO:0019751")</f>
        <v>GO:0019751</v>
      </c>
      <c r="D36" t="s">
        <v>83</v>
      </c>
      <c r="E36">
        <v>142</v>
      </c>
      <c r="F36">
        <v>2</v>
      </c>
      <c r="G36">
        <v>3.0303710428550802E-3</v>
      </c>
      <c r="H36">
        <v>0.54546678771391399</v>
      </c>
      <c r="I36" t="s">
        <v>42</v>
      </c>
    </row>
    <row r="37" spans="1:9" x14ac:dyDescent="0.25">
      <c r="A37" t="s">
        <v>84</v>
      </c>
      <c r="C37" s="3" t="str">
        <f>HYPERLINK("http://amigo.geneontology.org/amigo/term/GO:0052745","GO:0052745")</f>
        <v>GO:0052745</v>
      </c>
      <c r="D37" t="s">
        <v>85</v>
      </c>
      <c r="E37">
        <v>9</v>
      </c>
      <c r="F37">
        <v>1</v>
      </c>
      <c r="G37">
        <v>5.1261361240700701E-3</v>
      </c>
      <c r="H37">
        <v>0.88682154946412295</v>
      </c>
      <c r="I37" t="s">
        <v>53</v>
      </c>
    </row>
    <row r="38" spans="1:9" x14ac:dyDescent="0.25">
      <c r="A38" t="s">
        <v>86</v>
      </c>
      <c r="C38" s="3" t="str">
        <f>HYPERLINK("http://amigo.geneontology.org/amigo/term/GO:0006066","GO:0006066")</f>
        <v>GO:0006066</v>
      </c>
      <c r="D38" t="s">
        <v>87</v>
      </c>
      <c r="E38">
        <v>207</v>
      </c>
      <c r="F38">
        <v>2</v>
      </c>
      <c r="G38">
        <v>6.30424303708079E-3</v>
      </c>
      <c r="H38">
        <v>1</v>
      </c>
      <c r="I38" t="s">
        <v>42</v>
      </c>
    </row>
    <row r="39" spans="1:9" x14ac:dyDescent="0.25">
      <c r="A39" t="s">
        <v>88</v>
      </c>
      <c r="C39" s="3" t="str">
        <f>HYPERLINK("http://amigo.geneontology.org/amigo/term/GO:0009415","GO:0009415")</f>
        <v>GO:0009415</v>
      </c>
      <c r="D39" t="s">
        <v>89</v>
      </c>
      <c r="E39">
        <v>209</v>
      </c>
      <c r="F39">
        <v>2</v>
      </c>
      <c r="G39">
        <v>6.4223173286684903E-3</v>
      </c>
      <c r="H39">
        <v>1</v>
      </c>
      <c r="I39" t="s">
        <v>90</v>
      </c>
    </row>
    <row r="40" spans="1:9" x14ac:dyDescent="0.25">
      <c r="A40" t="s">
        <v>91</v>
      </c>
      <c r="C40" s="3" t="str">
        <f>HYPERLINK("http://amigo.geneontology.org/amigo/term/GO:0008234","GO:0008234")</f>
        <v>GO:0008234</v>
      </c>
      <c r="D40" t="s">
        <v>92</v>
      </c>
      <c r="E40">
        <v>665</v>
      </c>
      <c r="F40">
        <v>3</v>
      </c>
      <c r="G40">
        <v>6.5110668264773E-3</v>
      </c>
      <c r="H40">
        <v>1</v>
      </c>
      <c r="I40" t="s">
        <v>93</v>
      </c>
    </row>
    <row r="41" spans="1:9" x14ac:dyDescent="0.25">
      <c r="A41" t="s">
        <v>94</v>
      </c>
      <c r="C41" s="3" t="str">
        <f>HYPERLINK("http://amigo.geneontology.org/amigo/term/GO:0008171","GO:0008171")</f>
        <v>GO:0008171</v>
      </c>
      <c r="D41" t="s">
        <v>95</v>
      </c>
      <c r="E41">
        <v>216</v>
      </c>
      <c r="F41">
        <v>2</v>
      </c>
      <c r="G41">
        <v>6.8434986395834998E-3</v>
      </c>
      <c r="H41">
        <v>1</v>
      </c>
      <c r="I41" t="s">
        <v>96</v>
      </c>
    </row>
    <row r="42" spans="1:9" x14ac:dyDescent="0.25">
      <c r="A42" t="s">
        <v>97</v>
      </c>
      <c r="C42" s="3" t="str">
        <f>HYPERLINK("http://amigo.geneontology.org/amigo/term/GO:0016787","GO:0016787")</f>
        <v>GO:0016787</v>
      </c>
      <c r="D42" t="s">
        <v>98</v>
      </c>
      <c r="E42">
        <v>9814</v>
      </c>
      <c r="F42">
        <v>12</v>
      </c>
      <c r="G42">
        <v>7.4368737769618699E-3</v>
      </c>
      <c r="H42">
        <v>1</v>
      </c>
      <c r="I42" t="s">
        <v>99</v>
      </c>
    </row>
    <row r="43" spans="1:9" x14ac:dyDescent="0.25">
      <c r="A43" t="s">
        <v>100</v>
      </c>
      <c r="C43" s="3" t="str">
        <f>HYPERLINK("http://amigo.geneontology.org/amigo/term/GO:0052866","GO:0052866")</f>
        <v>GO:0052866</v>
      </c>
      <c r="D43" t="s">
        <v>101</v>
      </c>
      <c r="E43">
        <v>15</v>
      </c>
      <c r="F43">
        <v>1</v>
      </c>
      <c r="G43">
        <v>8.52928407207907E-3</v>
      </c>
      <c r="H43">
        <v>1</v>
      </c>
      <c r="I43" t="s">
        <v>53</v>
      </c>
    </row>
    <row r="44" spans="1:9" x14ac:dyDescent="0.25">
      <c r="A44" t="s">
        <v>102</v>
      </c>
      <c r="C44" s="3" t="str">
        <f>HYPERLINK("http://amigo.geneontology.org/amigo/term/GO:0036092","GO:0036092")</f>
        <v>GO:0036092</v>
      </c>
      <c r="D44" t="s">
        <v>103</v>
      </c>
      <c r="E44">
        <v>15</v>
      </c>
      <c r="F44">
        <v>1</v>
      </c>
      <c r="G44">
        <v>8.52928407207907E-3</v>
      </c>
      <c r="H44">
        <v>1</v>
      </c>
      <c r="I44" t="s">
        <v>53</v>
      </c>
    </row>
    <row r="45" spans="1:9" x14ac:dyDescent="0.25">
      <c r="A45" t="s">
        <v>104</v>
      </c>
      <c r="C45" s="3" t="str">
        <f>HYPERLINK("http://amigo.geneontology.org/amigo/term/GO:1902680","GO:1902680")</f>
        <v>GO:1902680</v>
      </c>
      <c r="D45" t="s">
        <v>105</v>
      </c>
      <c r="E45">
        <v>264</v>
      </c>
      <c r="F45">
        <v>2</v>
      </c>
      <c r="G45">
        <v>1.00562664247369E-2</v>
      </c>
      <c r="H45">
        <v>1</v>
      </c>
      <c r="I45" t="s">
        <v>42</v>
      </c>
    </row>
    <row r="46" spans="1:9" x14ac:dyDescent="0.25">
      <c r="A46" t="s">
        <v>106</v>
      </c>
      <c r="C46" s="3" t="str">
        <f>HYPERLINK("http://amigo.geneontology.org/amigo/term/GO:1903508","GO:1903508")</f>
        <v>GO:1903508</v>
      </c>
      <c r="D46" t="s">
        <v>107</v>
      </c>
      <c r="E46">
        <v>264</v>
      </c>
      <c r="F46">
        <v>2</v>
      </c>
      <c r="G46">
        <v>1.00562664247369E-2</v>
      </c>
      <c r="H46">
        <v>1</v>
      </c>
      <c r="I46" t="s">
        <v>42</v>
      </c>
    </row>
    <row r="47" spans="1:9" x14ac:dyDescent="0.25">
      <c r="A47" t="s">
        <v>108</v>
      </c>
      <c r="C47" s="3" t="str">
        <f>HYPERLINK("http://amigo.geneontology.org/amigo/term/GO:0045893","GO:0045893")</f>
        <v>GO:0045893</v>
      </c>
      <c r="D47" t="s">
        <v>109</v>
      </c>
      <c r="E47">
        <v>264</v>
      </c>
      <c r="F47">
        <v>2</v>
      </c>
      <c r="G47">
        <v>1.00562664247369E-2</v>
      </c>
      <c r="H47">
        <v>1</v>
      </c>
      <c r="I47" t="s">
        <v>42</v>
      </c>
    </row>
    <row r="48" spans="1:9" x14ac:dyDescent="0.25">
      <c r="A48" t="s">
        <v>110</v>
      </c>
      <c r="C48" s="3" t="str">
        <f>HYPERLINK("http://amigo.geneontology.org/amigo/term/GO:0051254","GO:0051254")</f>
        <v>GO:0051254</v>
      </c>
      <c r="D48" t="s">
        <v>111</v>
      </c>
      <c r="E48">
        <v>268</v>
      </c>
      <c r="F48">
        <v>2</v>
      </c>
      <c r="G48">
        <v>1.0348991205123E-2</v>
      </c>
      <c r="H48">
        <v>1</v>
      </c>
      <c r="I48" t="s">
        <v>42</v>
      </c>
    </row>
    <row r="49" spans="1:9" x14ac:dyDescent="0.25">
      <c r="A49" t="s">
        <v>112</v>
      </c>
      <c r="C49" s="3" t="str">
        <f>HYPERLINK("http://amigo.geneontology.org/amigo/term/GO:0045935","GO:0045935")</f>
        <v>GO:0045935</v>
      </c>
      <c r="D49" t="s">
        <v>113</v>
      </c>
      <c r="E49">
        <v>278</v>
      </c>
      <c r="F49">
        <v>2</v>
      </c>
      <c r="G49">
        <v>1.10972176716603E-2</v>
      </c>
      <c r="H49">
        <v>1</v>
      </c>
      <c r="I49" t="s">
        <v>42</v>
      </c>
    </row>
    <row r="50" spans="1:9" x14ac:dyDescent="0.25">
      <c r="A50" t="s">
        <v>114</v>
      </c>
      <c r="C50" s="3" t="str">
        <f>HYPERLINK("http://amigo.geneontology.org/amigo/term/GO:0016788","GO:0016788")</f>
        <v>GO:0016788</v>
      </c>
      <c r="D50" t="s">
        <v>115</v>
      </c>
      <c r="E50">
        <v>2434</v>
      </c>
      <c r="F50">
        <v>5</v>
      </c>
      <c r="G50">
        <v>1.2226792712443899E-2</v>
      </c>
      <c r="H50">
        <v>1</v>
      </c>
      <c r="I50" t="s">
        <v>116</v>
      </c>
    </row>
    <row r="51" spans="1:9" x14ac:dyDescent="0.25">
      <c r="A51" t="s">
        <v>117</v>
      </c>
      <c r="C51" s="3" t="str">
        <f>HYPERLINK("http://amigo.geneontology.org/amigo/term/GO:0010557","GO:0010557")</f>
        <v>GO:0010557</v>
      </c>
      <c r="D51" t="s">
        <v>118</v>
      </c>
      <c r="E51">
        <v>297</v>
      </c>
      <c r="F51">
        <v>2</v>
      </c>
      <c r="G51">
        <v>1.2582609306974701E-2</v>
      </c>
      <c r="H51">
        <v>1</v>
      </c>
      <c r="I51" t="s">
        <v>42</v>
      </c>
    </row>
    <row r="52" spans="1:9" x14ac:dyDescent="0.25">
      <c r="A52" t="s">
        <v>119</v>
      </c>
      <c r="C52" s="3" t="str">
        <f>HYPERLINK("http://amigo.geneontology.org/amigo/term/GO:0009658","GO:0009658")</f>
        <v>GO:0009658</v>
      </c>
      <c r="D52" t="s">
        <v>120</v>
      </c>
      <c r="E52">
        <v>304</v>
      </c>
      <c r="F52">
        <v>2</v>
      </c>
      <c r="G52">
        <v>1.31506190413849E-2</v>
      </c>
      <c r="H52">
        <v>1</v>
      </c>
      <c r="I52" t="s">
        <v>42</v>
      </c>
    </row>
    <row r="53" spans="1:9" x14ac:dyDescent="0.25">
      <c r="A53" t="s">
        <v>121</v>
      </c>
      <c r="C53" s="3" t="str">
        <f>HYPERLINK("http://amigo.geneontology.org/amigo/term/GO:0031328","GO:0031328")</f>
        <v>GO:0031328</v>
      </c>
      <c r="D53" t="s">
        <v>122</v>
      </c>
      <c r="E53">
        <v>306</v>
      </c>
      <c r="F53">
        <v>2</v>
      </c>
      <c r="G53">
        <v>1.33149377900361E-2</v>
      </c>
      <c r="H53">
        <v>1</v>
      </c>
      <c r="I53" t="s">
        <v>42</v>
      </c>
    </row>
    <row r="54" spans="1:9" x14ac:dyDescent="0.25">
      <c r="A54" t="s">
        <v>123</v>
      </c>
      <c r="C54" s="3" t="str">
        <f>HYPERLINK("http://amigo.geneontology.org/amigo/term/GO:0010628","GO:0010628")</f>
        <v>GO:0010628</v>
      </c>
      <c r="D54" t="s">
        <v>124</v>
      </c>
      <c r="E54">
        <v>308</v>
      </c>
      <c r="F54">
        <v>2</v>
      </c>
      <c r="G54">
        <v>1.34801548901471E-2</v>
      </c>
      <c r="H54">
        <v>1</v>
      </c>
      <c r="I54" t="s">
        <v>42</v>
      </c>
    </row>
    <row r="55" spans="1:9" x14ac:dyDescent="0.25">
      <c r="A55" t="s">
        <v>125</v>
      </c>
      <c r="C55" s="3" t="str">
        <f>HYPERLINK("http://amigo.geneontology.org/amigo/term/GO:1901617","GO:1901617")</f>
        <v>GO:1901617</v>
      </c>
      <c r="D55" t="s">
        <v>126</v>
      </c>
      <c r="E55">
        <v>317</v>
      </c>
      <c r="F55">
        <v>2</v>
      </c>
      <c r="G55">
        <v>1.4234690930485501E-2</v>
      </c>
      <c r="H55">
        <v>1</v>
      </c>
      <c r="I55" t="s">
        <v>42</v>
      </c>
    </row>
    <row r="56" spans="1:9" x14ac:dyDescent="0.25">
      <c r="A56" t="s">
        <v>127</v>
      </c>
      <c r="C56" s="3" t="str">
        <f>HYPERLINK("http://amigo.geneontology.org/amigo/term/GO:0009891","GO:0009891")</f>
        <v>GO:0009891</v>
      </c>
      <c r="D56" t="s">
        <v>128</v>
      </c>
      <c r="E56">
        <v>324</v>
      </c>
      <c r="F56">
        <v>2</v>
      </c>
      <c r="G56">
        <v>1.48339730985947E-2</v>
      </c>
      <c r="H56">
        <v>1</v>
      </c>
      <c r="I56" t="s">
        <v>42</v>
      </c>
    </row>
    <row r="57" spans="1:9" x14ac:dyDescent="0.25">
      <c r="A57" t="s">
        <v>129</v>
      </c>
      <c r="C57" s="3" t="str">
        <f>HYPERLINK("http://amigo.geneontology.org/amigo/term/GO:0051173","GO:0051173")</f>
        <v>GO:0051173</v>
      </c>
      <c r="D57" t="s">
        <v>130</v>
      </c>
      <c r="E57">
        <v>362</v>
      </c>
      <c r="F57">
        <v>2</v>
      </c>
      <c r="G57">
        <v>1.82727609667999E-2</v>
      </c>
      <c r="H57">
        <v>1</v>
      </c>
      <c r="I57" t="s">
        <v>42</v>
      </c>
    </row>
    <row r="58" spans="1:9" x14ac:dyDescent="0.25">
      <c r="A58" t="s">
        <v>131</v>
      </c>
      <c r="C58" s="3" t="str">
        <f>HYPERLINK("http://amigo.geneontology.org/amigo/term/GO:0010604","GO:0010604")</f>
        <v>GO:0010604</v>
      </c>
      <c r="D58" t="s">
        <v>132</v>
      </c>
      <c r="E58">
        <v>368</v>
      </c>
      <c r="F58">
        <v>2</v>
      </c>
      <c r="G58">
        <v>1.8843782488855602E-2</v>
      </c>
      <c r="H58">
        <v>1</v>
      </c>
      <c r="I58" t="s">
        <v>42</v>
      </c>
    </row>
    <row r="59" spans="1:9" x14ac:dyDescent="0.25">
      <c r="A59" t="s">
        <v>133</v>
      </c>
      <c r="C59" s="3" t="str">
        <f>HYPERLINK("http://amigo.geneontology.org/amigo/term/GO:0008970","GO:0008970")</f>
        <v>GO:0008970</v>
      </c>
      <c r="D59" t="s">
        <v>134</v>
      </c>
      <c r="E59">
        <v>34</v>
      </c>
      <c r="F59">
        <v>1</v>
      </c>
      <c r="G59">
        <v>1.9231036842741502E-2</v>
      </c>
      <c r="H59">
        <v>1</v>
      </c>
      <c r="I59" t="s">
        <v>38</v>
      </c>
    </row>
    <row r="60" spans="1:9" x14ac:dyDescent="0.25">
      <c r="A60" t="s">
        <v>135</v>
      </c>
      <c r="C60" s="3" t="str">
        <f>HYPERLINK("http://amigo.geneontology.org/amigo/term/GO:0031325","GO:0031325")</f>
        <v>GO:0031325</v>
      </c>
      <c r="D60" t="s">
        <v>136</v>
      </c>
      <c r="E60">
        <v>392</v>
      </c>
      <c r="F60">
        <v>2</v>
      </c>
      <c r="G60">
        <v>2.1202269859546801E-2</v>
      </c>
      <c r="H60">
        <v>1</v>
      </c>
      <c r="I60" t="s">
        <v>42</v>
      </c>
    </row>
    <row r="61" spans="1:9" x14ac:dyDescent="0.25">
      <c r="A61" t="s">
        <v>137</v>
      </c>
      <c r="C61" s="3" t="str">
        <f>HYPERLINK("http://amigo.geneontology.org/amigo/term/GO:0080019","GO:0080019")</f>
        <v>GO:0080019</v>
      </c>
      <c r="D61" t="s">
        <v>138</v>
      </c>
      <c r="E61">
        <v>40</v>
      </c>
      <c r="F61">
        <v>1</v>
      </c>
      <c r="G61">
        <v>2.2587023496862101E-2</v>
      </c>
      <c r="H61">
        <v>1</v>
      </c>
      <c r="I61" t="s">
        <v>82</v>
      </c>
    </row>
    <row r="62" spans="1:9" x14ac:dyDescent="0.25">
      <c r="A62" t="s">
        <v>139</v>
      </c>
      <c r="C62" s="3" t="str">
        <f>HYPERLINK("http://amigo.geneontology.org/amigo/term/GO:0009893","GO:0009893")</f>
        <v>GO:0009893</v>
      </c>
      <c r="D62" t="s">
        <v>140</v>
      </c>
      <c r="E62">
        <v>426</v>
      </c>
      <c r="F62">
        <v>2</v>
      </c>
      <c r="G62">
        <v>2.4741906237312601E-2</v>
      </c>
      <c r="H62">
        <v>1</v>
      </c>
      <c r="I62" t="s">
        <v>42</v>
      </c>
    </row>
    <row r="63" spans="1:9" x14ac:dyDescent="0.25">
      <c r="A63" t="s">
        <v>141</v>
      </c>
      <c r="C63" s="3" t="str">
        <f>HYPERLINK("http://amigo.geneontology.org/amigo/term/GO:0009657","GO:0009657")</f>
        <v>GO:0009657</v>
      </c>
      <c r="D63" t="s">
        <v>142</v>
      </c>
      <c r="E63">
        <v>444</v>
      </c>
      <c r="F63">
        <v>2</v>
      </c>
      <c r="G63">
        <v>2.6707069032804301E-2</v>
      </c>
      <c r="H63">
        <v>1</v>
      </c>
      <c r="I63" t="s">
        <v>42</v>
      </c>
    </row>
    <row r="64" spans="1:9" x14ac:dyDescent="0.25">
      <c r="A64" t="s">
        <v>143</v>
      </c>
      <c r="C64" s="3" t="str">
        <f>HYPERLINK("http://amigo.geneontology.org/amigo/term/GO:0010035","GO:0010035")</f>
        <v>GO:0010035</v>
      </c>
      <c r="D64" t="s">
        <v>144</v>
      </c>
      <c r="E64">
        <v>479</v>
      </c>
      <c r="F64">
        <v>2</v>
      </c>
      <c r="G64">
        <v>3.0702490066764399E-2</v>
      </c>
      <c r="H64">
        <v>1</v>
      </c>
      <c r="I64" t="s">
        <v>90</v>
      </c>
    </row>
    <row r="65" spans="3:9" x14ac:dyDescent="0.25">
      <c r="C65" s="3" t="str">
        <f>HYPERLINK("http://amigo.geneontology.org/amigo/term/GO:0046839","GO:0046839")</f>
        <v>GO:0046839</v>
      </c>
      <c r="D65" t="s">
        <v>145</v>
      </c>
      <c r="E65">
        <v>57</v>
      </c>
      <c r="F65">
        <v>1</v>
      </c>
      <c r="G65">
        <v>3.2034824805530097E-2</v>
      </c>
      <c r="H65">
        <v>1</v>
      </c>
      <c r="I65" t="s">
        <v>53</v>
      </c>
    </row>
    <row r="66" spans="3:9" x14ac:dyDescent="0.25">
      <c r="C66" s="3" t="str">
        <f>HYPERLINK("http://amigo.geneontology.org/amigo/term/GO:0046856","GO:0046856")</f>
        <v>GO:0046856</v>
      </c>
      <c r="D66" t="s">
        <v>146</v>
      </c>
      <c r="E66">
        <v>57</v>
      </c>
      <c r="F66">
        <v>1</v>
      </c>
      <c r="G66">
        <v>3.2034824805530097E-2</v>
      </c>
      <c r="H66">
        <v>1</v>
      </c>
      <c r="I66" t="s">
        <v>53</v>
      </c>
    </row>
    <row r="67" spans="3:9" x14ac:dyDescent="0.25">
      <c r="C67" s="3" t="str">
        <f>HYPERLINK("http://amigo.geneontology.org/amigo/term/GO:1901615","GO:1901615")</f>
        <v>GO:1901615</v>
      </c>
      <c r="D67" t="s">
        <v>147</v>
      </c>
      <c r="E67">
        <v>516</v>
      </c>
      <c r="F67">
        <v>2</v>
      </c>
      <c r="G67">
        <v>3.5167018610535603E-2</v>
      </c>
      <c r="H67">
        <v>1</v>
      </c>
      <c r="I67" t="s">
        <v>42</v>
      </c>
    </row>
    <row r="68" spans="3:9" x14ac:dyDescent="0.25">
      <c r="C68" s="3" t="str">
        <f>HYPERLINK("http://amigo.geneontology.org/amigo/term/GO:0001101","GO:0001101")</f>
        <v>GO:0001101</v>
      </c>
      <c r="D68" t="s">
        <v>148</v>
      </c>
      <c r="E68">
        <v>529</v>
      </c>
      <c r="F68">
        <v>2</v>
      </c>
      <c r="G68">
        <v>3.6792253214124E-2</v>
      </c>
      <c r="H68">
        <v>1</v>
      </c>
      <c r="I68" t="s">
        <v>90</v>
      </c>
    </row>
    <row r="69" spans="3:9" x14ac:dyDescent="0.25">
      <c r="C69" s="3" t="str">
        <f>HYPERLINK("http://amigo.geneontology.org/amigo/term/GO:0046983","GO:0046983")</f>
        <v>GO:0046983</v>
      </c>
      <c r="D69" t="s">
        <v>149</v>
      </c>
      <c r="E69">
        <v>2218</v>
      </c>
      <c r="F69">
        <v>4</v>
      </c>
      <c r="G69">
        <v>3.7331032126510497E-2</v>
      </c>
      <c r="H69">
        <v>1</v>
      </c>
      <c r="I69" t="s">
        <v>150</v>
      </c>
    </row>
    <row r="70" spans="3:9" x14ac:dyDescent="0.25">
      <c r="C70" s="3" t="str">
        <f>HYPERLINK("http://amigo.geneontology.org/amigo/term/GO:0070011","GO:0070011")</f>
        <v>GO:0070011</v>
      </c>
      <c r="D70" t="s">
        <v>151</v>
      </c>
      <c r="E70">
        <v>2258</v>
      </c>
      <c r="F70">
        <v>4</v>
      </c>
      <c r="G70">
        <v>3.9452590781442698E-2</v>
      </c>
      <c r="H70">
        <v>1</v>
      </c>
      <c r="I70" t="s">
        <v>152</v>
      </c>
    </row>
    <row r="71" spans="3:9" x14ac:dyDescent="0.25">
      <c r="C71" s="3" t="str">
        <f>HYPERLINK("http://amigo.geneontology.org/amigo/term/GO:0048522","GO:0048522")</f>
        <v>GO:0048522</v>
      </c>
      <c r="D71" t="s">
        <v>153</v>
      </c>
      <c r="E71">
        <v>578</v>
      </c>
      <c r="F71">
        <v>2</v>
      </c>
      <c r="G71">
        <v>4.3171448003592003E-2</v>
      </c>
      <c r="H71">
        <v>1</v>
      </c>
      <c r="I71" t="s">
        <v>42</v>
      </c>
    </row>
    <row r="72" spans="3:9" x14ac:dyDescent="0.25">
      <c r="C72" s="3" t="str">
        <f>HYPERLINK("http://amigo.geneontology.org/amigo/term/GO:0008233","GO:0008233")</f>
        <v>GO:0008233</v>
      </c>
      <c r="D72" t="s">
        <v>154</v>
      </c>
      <c r="E72">
        <v>2332</v>
      </c>
      <c r="F72">
        <v>4</v>
      </c>
      <c r="G72">
        <v>4.3558202152669298E-2</v>
      </c>
      <c r="H72">
        <v>1</v>
      </c>
      <c r="I72" t="s">
        <v>152</v>
      </c>
    </row>
    <row r="73" spans="3:9" x14ac:dyDescent="0.25">
      <c r="C73" s="3" t="str">
        <f>HYPERLINK("http://amigo.geneontology.org/amigo/term/GO:0006952","GO:0006952")</f>
        <v>GO:0006952</v>
      </c>
      <c r="D73" t="s">
        <v>155</v>
      </c>
      <c r="E73">
        <v>1416</v>
      </c>
      <c r="F73">
        <v>3</v>
      </c>
      <c r="G73">
        <v>4.6959641949405703E-2</v>
      </c>
      <c r="H73">
        <v>1</v>
      </c>
      <c r="I73" t="s">
        <v>156</v>
      </c>
    </row>
    <row r="74" spans="3:9" x14ac:dyDescent="0.25">
      <c r="C74" s="3" t="str">
        <f>HYPERLINK("http://amigo.geneontology.org/amigo/term/GO:0009607","GO:0009607")</f>
        <v>GO:0009607</v>
      </c>
      <c r="D74" t="s">
        <v>157</v>
      </c>
      <c r="E74">
        <v>624</v>
      </c>
      <c r="F74">
        <v>2</v>
      </c>
      <c r="G74">
        <v>4.9507250537233601E-2</v>
      </c>
      <c r="H74">
        <v>1</v>
      </c>
      <c r="I74" t="s">
        <v>158</v>
      </c>
    </row>
  </sheetData>
  <sortState ref="C11:N73">
    <sortCondition ref="G11:G73"/>
  </sortState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81"/>
  <sheetViews>
    <sheetView workbookViewId="0">
      <pane xSplit="4" ySplit="11" topLeftCell="E12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21.42578125" customWidth="1"/>
    <col min="3" max="3" width="15.28515625" customWidth="1"/>
    <col min="4" max="4" width="38.42578125" customWidth="1"/>
  </cols>
  <sheetData>
    <row r="1" spans="1:9" ht="20.25" x14ac:dyDescent="0.3">
      <c r="A1" s="12" t="s">
        <v>159</v>
      </c>
    </row>
    <row r="2" spans="1:9" x14ac:dyDescent="0.25">
      <c r="A2" s="6" t="s">
        <v>160</v>
      </c>
      <c r="B2" s="7">
        <f>3079/7100</f>
        <v>0.43366197183098593</v>
      </c>
      <c r="C2" t="s">
        <v>2</v>
      </c>
      <c r="D2">
        <v>2374</v>
      </c>
    </row>
    <row r="3" spans="1:9" x14ac:dyDescent="0.25">
      <c r="A3" t="s">
        <v>161</v>
      </c>
      <c r="C3" t="s">
        <v>4</v>
      </c>
      <c r="D3">
        <v>77079</v>
      </c>
    </row>
    <row r="4" spans="1:9" x14ac:dyDescent="0.25">
      <c r="A4" t="s">
        <v>162</v>
      </c>
      <c r="C4" t="s">
        <v>6</v>
      </c>
      <c r="D4" t="s">
        <v>7</v>
      </c>
    </row>
    <row r="5" spans="1:9" x14ac:dyDescent="0.25">
      <c r="A5" t="s">
        <v>163</v>
      </c>
      <c r="C5" t="s">
        <v>9</v>
      </c>
      <c r="D5" t="s">
        <v>10</v>
      </c>
    </row>
    <row r="6" spans="1:9" x14ac:dyDescent="0.25">
      <c r="A6" t="s">
        <v>164</v>
      </c>
      <c r="C6" t="s">
        <v>12</v>
      </c>
      <c r="D6" t="s">
        <v>13</v>
      </c>
    </row>
    <row r="7" spans="1:9" x14ac:dyDescent="0.25">
      <c r="A7" t="s">
        <v>165</v>
      </c>
      <c r="C7" t="s">
        <v>15</v>
      </c>
      <c r="D7" t="s">
        <v>16</v>
      </c>
    </row>
    <row r="8" spans="1:9" x14ac:dyDescent="0.25">
      <c r="A8" t="s">
        <v>166</v>
      </c>
      <c r="C8" t="s">
        <v>18</v>
      </c>
      <c r="D8" t="s">
        <v>19</v>
      </c>
    </row>
    <row r="9" spans="1:9" x14ac:dyDescent="0.25">
      <c r="A9" t="s">
        <v>167</v>
      </c>
      <c r="C9" t="s">
        <v>21</v>
      </c>
      <c r="D9">
        <v>3</v>
      </c>
    </row>
    <row r="10" spans="1:9" x14ac:dyDescent="0.25">
      <c r="A10" t="s">
        <v>168</v>
      </c>
    </row>
    <row r="11" spans="1:9" x14ac:dyDescent="0.25">
      <c r="A11" t="s">
        <v>169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170</v>
      </c>
      <c r="C12" s="3" t="str">
        <f>HYPERLINK("http://amigo.geneontology.org/amigo/term/GO:0005975","GO:0005975")</f>
        <v>GO:0005975</v>
      </c>
      <c r="D12" t="s">
        <v>171</v>
      </c>
      <c r="E12">
        <v>2990</v>
      </c>
      <c r="F12">
        <v>238</v>
      </c>
      <c r="G12" s="4">
        <v>1.2649968137086099E-40</v>
      </c>
      <c r="H12" s="4">
        <v>5.7114606138943899E-37</v>
      </c>
      <c r="I12" t="s">
        <v>172</v>
      </c>
    </row>
    <row r="13" spans="1:9" x14ac:dyDescent="0.25">
      <c r="A13" t="s">
        <v>173</v>
      </c>
      <c r="C13" s="3" t="str">
        <f>HYPERLINK("http://amigo.geneontology.org/amigo/term/GO:0004553","GO:0004553")</f>
        <v>GO:0004553</v>
      </c>
      <c r="D13" t="s">
        <v>174</v>
      </c>
      <c r="E13">
        <v>1509</v>
      </c>
      <c r="F13">
        <v>149</v>
      </c>
      <c r="G13" s="4">
        <v>1.5964546380910901E-35</v>
      </c>
      <c r="H13" s="4">
        <v>3.6031981181716098E-32</v>
      </c>
      <c r="I13" t="s">
        <v>175</v>
      </c>
    </row>
    <row r="14" spans="1:9" x14ac:dyDescent="0.25">
      <c r="A14" t="s">
        <v>176</v>
      </c>
      <c r="C14" s="3" t="str">
        <f>HYPERLINK("http://amigo.geneontology.org/amigo/term/GO:0016798","GO:0016798")</f>
        <v>GO:0016798</v>
      </c>
      <c r="D14" t="s">
        <v>177</v>
      </c>
      <c r="E14">
        <v>1691</v>
      </c>
      <c r="F14">
        <v>153</v>
      </c>
      <c r="G14" s="4">
        <v>3.5332458140459103E-32</v>
      </c>
      <c r="H14" s="4">
        <v>5.3175349501390995E-29</v>
      </c>
      <c r="I14" t="s">
        <v>178</v>
      </c>
    </row>
    <row r="15" spans="1:9" x14ac:dyDescent="0.25">
      <c r="A15" t="s">
        <v>179</v>
      </c>
      <c r="C15" s="3" t="str">
        <f>HYPERLINK("http://amigo.geneontology.org/amigo/term/GO:0016787","GO:0016787")</f>
        <v>GO:0016787</v>
      </c>
      <c r="D15" t="s">
        <v>98</v>
      </c>
      <c r="E15">
        <v>9814</v>
      </c>
      <c r="F15">
        <v>479</v>
      </c>
      <c r="G15" s="4">
        <v>2.9258826496931401E-25</v>
      </c>
      <c r="H15" s="4">
        <v>3.3003956288538598E-22</v>
      </c>
      <c r="I15" t="s">
        <v>180</v>
      </c>
    </row>
    <row r="16" spans="1:9" x14ac:dyDescent="0.25">
      <c r="A16" t="s">
        <v>181</v>
      </c>
      <c r="C16" s="3" t="str">
        <f>HYPERLINK("http://amigo.geneontology.org/amigo/term/GO:0006629","GO:0006629")</f>
        <v>GO:0006629</v>
      </c>
      <c r="D16" t="s">
        <v>182</v>
      </c>
      <c r="E16">
        <v>2608</v>
      </c>
      <c r="F16">
        <v>178</v>
      </c>
      <c r="G16" s="4">
        <v>7.4178318970255405E-23</v>
      </c>
      <c r="H16" s="4">
        <v>6.69830220301406E-20</v>
      </c>
      <c r="I16" t="s">
        <v>183</v>
      </c>
    </row>
    <row r="17" spans="1:9" x14ac:dyDescent="0.25">
      <c r="A17" t="s">
        <v>184</v>
      </c>
      <c r="C17" s="3" t="str">
        <f>HYPERLINK("http://amigo.geneontology.org/amigo/term/GO:0030599","GO:0030599")</f>
        <v>GO:0030599</v>
      </c>
      <c r="D17" t="s">
        <v>185</v>
      </c>
      <c r="E17">
        <v>167</v>
      </c>
      <c r="F17">
        <v>38</v>
      </c>
      <c r="G17" s="4">
        <v>3.3271639450312002E-22</v>
      </c>
      <c r="H17" s="4">
        <v>2.5020272866634601E-19</v>
      </c>
      <c r="I17" t="s">
        <v>186</v>
      </c>
    </row>
    <row r="18" spans="1:9" x14ac:dyDescent="0.25">
      <c r="A18" t="s">
        <v>187</v>
      </c>
      <c r="C18" s="3" t="str">
        <f>HYPERLINK("http://amigo.geneontology.org/amigo/term/GO:0042545","GO:0042545")</f>
        <v>GO:0042545</v>
      </c>
      <c r="D18" t="s">
        <v>188</v>
      </c>
      <c r="E18">
        <v>168</v>
      </c>
      <c r="F18">
        <v>37</v>
      </c>
      <c r="G18" s="4">
        <v>3.8781018713055997E-21</v>
      </c>
      <c r="H18" s="4">
        <v>2.50137570699211E-18</v>
      </c>
      <c r="I18" t="s">
        <v>189</v>
      </c>
    </row>
    <row r="19" spans="1:9" x14ac:dyDescent="0.25">
      <c r="A19" t="s">
        <v>190</v>
      </c>
      <c r="C19" s="3" t="str">
        <f>HYPERLINK("http://amigo.geneontology.org/amigo/term/GO:0031224","GO:0031224")</f>
        <v>GO:0031224</v>
      </c>
      <c r="D19" t="s">
        <v>191</v>
      </c>
      <c r="E19">
        <v>7435</v>
      </c>
      <c r="F19">
        <v>367</v>
      </c>
      <c r="G19" s="4">
        <v>7.5556395936464406E-20</v>
      </c>
      <c r="H19" s="4">
        <v>4.2613807308165898E-17</v>
      </c>
      <c r="I19" t="s">
        <v>192</v>
      </c>
    </row>
    <row r="20" spans="1:9" x14ac:dyDescent="0.25">
      <c r="A20" t="s">
        <v>193</v>
      </c>
      <c r="C20" s="3" t="str">
        <f>HYPERLINK("http://amigo.geneontology.org/amigo/term/GO:0071555","GO:0071555")</f>
        <v>GO:0071555</v>
      </c>
      <c r="D20" t="s">
        <v>194</v>
      </c>
      <c r="E20">
        <v>577</v>
      </c>
      <c r="F20">
        <v>66</v>
      </c>
      <c r="G20" s="4">
        <v>1.05673651935266E-19</v>
      </c>
      <c r="H20" s="4">
        <v>5.2942499619568399E-17</v>
      </c>
      <c r="I20" t="s">
        <v>195</v>
      </c>
    </row>
    <row r="21" spans="1:9" x14ac:dyDescent="0.25">
      <c r="A21" t="s">
        <v>196</v>
      </c>
      <c r="C21" s="3" t="str">
        <f>HYPERLINK("http://amigo.geneontology.org/amigo/term/GO:0045229","GO:0045229")</f>
        <v>GO:0045229</v>
      </c>
      <c r="D21" t="s">
        <v>197</v>
      </c>
      <c r="E21">
        <v>609</v>
      </c>
      <c r="F21">
        <v>68</v>
      </c>
      <c r="G21" s="4">
        <v>1.08835230173014E-19</v>
      </c>
      <c r="H21" s="4">
        <v>4.9084688808029299E-17</v>
      </c>
      <c r="I21" t="s">
        <v>198</v>
      </c>
    </row>
    <row r="22" spans="1:9" x14ac:dyDescent="0.25">
      <c r="A22" t="s">
        <v>199</v>
      </c>
      <c r="C22" s="3" t="str">
        <f>HYPERLINK("http://amigo.geneontology.org/amigo/term/GO:0016984","GO:0016984")</f>
        <v>GO:0016984</v>
      </c>
      <c r="D22" t="s">
        <v>200</v>
      </c>
      <c r="E22">
        <v>28</v>
      </c>
      <c r="F22">
        <v>17</v>
      </c>
      <c r="G22" s="4">
        <v>2.9718808164350801E-19</v>
      </c>
      <c r="H22" s="4">
        <v>1.2184711347383799E-16</v>
      </c>
      <c r="I22" t="s">
        <v>201</v>
      </c>
    </row>
    <row r="23" spans="1:9" x14ac:dyDescent="0.25">
      <c r="A23" t="s">
        <v>202</v>
      </c>
      <c r="C23" s="3" t="str">
        <f>HYPERLINK("http://amigo.geneontology.org/amigo/term/GO:0016021","GO:0016021")</f>
        <v>GO:0016021</v>
      </c>
      <c r="D23" t="s">
        <v>203</v>
      </c>
      <c r="E23">
        <v>7362</v>
      </c>
      <c r="F23">
        <v>361</v>
      </c>
      <c r="G23" s="4">
        <v>4.5825349768194395E-19</v>
      </c>
      <c r="H23" s="4">
        <v>1.72303315128411E-16</v>
      </c>
      <c r="I23" t="s">
        <v>204</v>
      </c>
    </row>
    <row r="24" spans="1:9" x14ac:dyDescent="0.25">
      <c r="A24" t="s">
        <v>205</v>
      </c>
      <c r="C24" s="3" t="str">
        <f>HYPERLINK("http://amigo.geneontology.org/amigo/term/GO:0071554","GO:0071554")</f>
        <v>GO:0071554</v>
      </c>
      <c r="D24" t="s">
        <v>206</v>
      </c>
      <c r="E24">
        <v>1000</v>
      </c>
      <c r="F24">
        <v>88</v>
      </c>
      <c r="G24" s="4">
        <v>2.9992671055640199E-18</v>
      </c>
      <c r="H24" s="4">
        <v>1.0407456856307101E-15</v>
      </c>
      <c r="I24" t="s">
        <v>207</v>
      </c>
    </row>
    <row r="25" spans="1:9" x14ac:dyDescent="0.25">
      <c r="A25" t="s">
        <v>208</v>
      </c>
      <c r="C25" s="3" t="str">
        <f>HYPERLINK("http://amigo.geneontology.org/amigo/term/GO:0030312","GO:0030312")</f>
        <v>GO:0030312</v>
      </c>
      <c r="D25" t="s">
        <v>209</v>
      </c>
      <c r="E25">
        <v>450</v>
      </c>
      <c r="F25">
        <v>55</v>
      </c>
      <c r="G25" s="4">
        <v>6.0560868451004296E-18</v>
      </c>
      <c r="H25" s="4">
        <v>1.9500599641223299E-15</v>
      </c>
      <c r="I25" t="s">
        <v>210</v>
      </c>
    </row>
    <row r="26" spans="1:9" x14ac:dyDescent="0.25">
      <c r="A26" t="s">
        <v>211</v>
      </c>
      <c r="C26" s="3" t="str">
        <f>HYPERLINK("http://amigo.geneontology.org/amigo/term/GO:0006813","GO:0006813")</f>
        <v>GO:0006813</v>
      </c>
      <c r="D26" t="s">
        <v>212</v>
      </c>
      <c r="E26">
        <v>188</v>
      </c>
      <c r="F26">
        <v>35</v>
      </c>
      <c r="G26" s="4">
        <v>1.3130668419656201E-17</v>
      </c>
      <c r="H26" s="4">
        <v>3.9523311943165197E-15</v>
      </c>
      <c r="I26" t="s">
        <v>213</v>
      </c>
    </row>
    <row r="27" spans="1:9" x14ac:dyDescent="0.25">
      <c r="A27" t="s">
        <v>214</v>
      </c>
      <c r="C27" s="3" t="str">
        <f>HYPERLINK("http://amigo.geneontology.org/amigo/term/GO:0044425","GO:0044425")</f>
        <v>GO:0044425</v>
      </c>
      <c r="D27" t="s">
        <v>215</v>
      </c>
      <c r="E27">
        <v>8465</v>
      </c>
      <c r="F27">
        <v>396</v>
      </c>
      <c r="G27" s="4">
        <v>1.4125965335834401E-17</v>
      </c>
      <c r="H27" s="4">
        <v>3.98352222470531E-15</v>
      </c>
      <c r="I27" t="s">
        <v>216</v>
      </c>
    </row>
    <row r="28" spans="1:9" x14ac:dyDescent="0.25">
      <c r="A28" t="s">
        <v>217</v>
      </c>
      <c r="C28" s="3" t="str">
        <f>HYPERLINK("http://amigo.geneontology.org/amigo/term/GO:0005618","GO:0005618")</f>
        <v>GO:0005618</v>
      </c>
      <c r="D28" t="s">
        <v>218</v>
      </c>
      <c r="E28">
        <v>446</v>
      </c>
      <c r="F28">
        <v>54</v>
      </c>
      <c r="G28" s="4">
        <v>1.8292018285268899E-17</v>
      </c>
      <c r="H28" s="4">
        <v>4.8473848455962599E-15</v>
      </c>
      <c r="I28" t="s">
        <v>219</v>
      </c>
    </row>
    <row r="29" spans="1:9" x14ac:dyDescent="0.25">
      <c r="A29" t="s">
        <v>220</v>
      </c>
      <c r="C29" s="3" t="str">
        <f>HYPERLINK("http://amigo.geneontology.org/amigo/term/GO:0015298","GO:0015298")</f>
        <v>GO:0015298</v>
      </c>
      <c r="D29" t="s">
        <v>221</v>
      </c>
      <c r="E29">
        <v>107</v>
      </c>
      <c r="F29">
        <v>27</v>
      </c>
      <c r="G29" s="4">
        <v>1.9525017180862799E-17</v>
      </c>
      <c r="H29" s="4">
        <v>4.6274290718644803E-15</v>
      </c>
      <c r="I29" t="s">
        <v>222</v>
      </c>
    </row>
    <row r="30" spans="1:9" x14ac:dyDescent="0.25">
      <c r="A30" t="s">
        <v>223</v>
      </c>
      <c r="C30" s="3" t="str">
        <f>HYPERLINK("http://amigo.geneontology.org/amigo/term/GO:0015299","GO:0015299")</f>
        <v>GO:0015299</v>
      </c>
      <c r="D30" t="s">
        <v>224</v>
      </c>
      <c r="E30">
        <v>107</v>
      </c>
      <c r="F30">
        <v>27</v>
      </c>
      <c r="G30" s="4">
        <v>1.9525017180862799E-17</v>
      </c>
      <c r="H30" s="4">
        <v>4.8812542952157E-15</v>
      </c>
      <c r="I30" t="s">
        <v>222</v>
      </c>
    </row>
    <row r="31" spans="1:9" x14ac:dyDescent="0.25">
      <c r="A31" t="s">
        <v>225</v>
      </c>
      <c r="C31" s="3" t="str">
        <f>HYPERLINK("http://amigo.geneontology.org/amigo/term/GO:0016788","GO:0016788")</f>
        <v>GO:0016788</v>
      </c>
      <c r="D31" t="s">
        <v>115</v>
      </c>
      <c r="E31">
        <v>2434</v>
      </c>
      <c r="F31">
        <v>155</v>
      </c>
      <c r="G31" s="4">
        <v>2.6493534336593399E-17</v>
      </c>
      <c r="H31" s="4">
        <v>5.9610452257335201E-15</v>
      </c>
      <c r="I31" t="s">
        <v>226</v>
      </c>
    </row>
    <row r="32" spans="1:9" x14ac:dyDescent="0.25">
      <c r="A32" t="s">
        <v>227</v>
      </c>
      <c r="C32" s="3" t="str">
        <f>HYPERLINK("http://amigo.geneontology.org/amigo/term/GO:0015977","GO:0015977")</f>
        <v>GO:0015977</v>
      </c>
      <c r="D32" t="s">
        <v>228</v>
      </c>
      <c r="E32">
        <v>55</v>
      </c>
      <c r="F32">
        <v>20</v>
      </c>
      <c r="G32" s="4">
        <v>9.8195469702848694E-17</v>
      </c>
      <c r="H32" s="4">
        <v>2.11120259861124E-14</v>
      </c>
      <c r="I32" t="s">
        <v>229</v>
      </c>
    </row>
    <row r="33" spans="1:9" x14ac:dyDescent="0.25">
      <c r="A33" t="s">
        <v>230</v>
      </c>
      <c r="C33" s="3" t="str">
        <f>HYPERLINK("http://amigo.geneontology.org/amigo/term/GO:0015318","GO:0015318")</f>
        <v>GO:0015318</v>
      </c>
      <c r="D33" t="s">
        <v>231</v>
      </c>
      <c r="E33">
        <v>1323</v>
      </c>
      <c r="F33">
        <v>100</v>
      </c>
      <c r="G33" s="4">
        <v>4.25138603110294E-16</v>
      </c>
      <c r="H33" s="4">
        <v>8.7153413637610203E-14</v>
      </c>
      <c r="I33" t="s">
        <v>232</v>
      </c>
    </row>
    <row r="34" spans="1:9" x14ac:dyDescent="0.25">
      <c r="A34" t="s">
        <v>233</v>
      </c>
      <c r="C34" s="3" t="str">
        <f>HYPERLINK("http://amigo.geneontology.org/amigo/term/GO:0046527","GO:0046527")</f>
        <v>GO:0046527</v>
      </c>
      <c r="D34" t="s">
        <v>234</v>
      </c>
      <c r="E34">
        <v>380</v>
      </c>
      <c r="F34">
        <v>47</v>
      </c>
      <c r="G34" s="4">
        <v>9.4693267770915E-16</v>
      </c>
      <c r="H34" s="4">
        <v>1.8559880483099299E-13</v>
      </c>
      <c r="I34" t="s">
        <v>235</v>
      </c>
    </row>
    <row r="35" spans="1:9" x14ac:dyDescent="0.25">
      <c r="A35" t="s">
        <v>236</v>
      </c>
      <c r="C35" s="3" t="str">
        <f>HYPERLINK("http://amigo.geneontology.org/amigo/term/GO:0044262","GO:0044262")</f>
        <v>GO:0044262</v>
      </c>
      <c r="D35" t="s">
        <v>237</v>
      </c>
      <c r="E35">
        <v>1040</v>
      </c>
      <c r="F35">
        <v>83</v>
      </c>
      <c r="G35" s="4">
        <v>7.0764633090384101E-15</v>
      </c>
      <c r="H35" s="4">
        <v>1.33037510209922E-12</v>
      </c>
      <c r="I35" t="s">
        <v>238</v>
      </c>
    </row>
    <row r="36" spans="1:9" x14ac:dyDescent="0.25">
      <c r="A36" t="s">
        <v>239</v>
      </c>
      <c r="C36" s="3" t="str">
        <f>HYPERLINK("http://amigo.geneontology.org/amigo/term/GO:0055085","GO:0055085")</f>
        <v>GO:0055085</v>
      </c>
      <c r="D36" t="s">
        <v>240</v>
      </c>
      <c r="E36">
        <v>2653</v>
      </c>
      <c r="F36">
        <v>157</v>
      </c>
      <c r="G36" s="4">
        <v>8.7542463134631606E-15</v>
      </c>
      <c r="H36" s="4">
        <v>1.57576433642336E-12</v>
      </c>
      <c r="I36" t="s">
        <v>241</v>
      </c>
    </row>
    <row r="37" spans="1:9" x14ac:dyDescent="0.25">
      <c r="A37" t="s">
        <v>242</v>
      </c>
      <c r="C37" s="3" t="str">
        <f>HYPERLINK("http://amigo.geneontology.org/amigo/term/GO:0045330","GO:0045330")</f>
        <v>GO:0045330</v>
      </c>
      <c r="D37" t="s">
        <v>243</v>
      </c>
      <c r="E37">
        <v>61</v>
      </c>
      <c r="F37">
        <v>19</v>
      </c>
      <c r="G37" s="4">
        <v>1.54172122728085E-14</v>
      </c>
      <c r="H37" s="4">
        <v>2.6671777231958701E-12</v>
      </c>
      <c r="I37" t="s">
        <v>244</v>
      </c>
    </row>
    <row r="38" spans="1:9" x14ac:dyDescent="0.25">
      <c r="A38" t="s">
        <v>245</v>
      </c>
      <c r="C38" s="3" t="str">
        <f>HYPERLINK("http://amigo.geneontology.org/amigo/term/GO:0015075","GO:0015075")</f>
        <v>GO:0015075</v>
      </c>
      <c r="D38" t="s">
        <v>246</v>
      </c>
      <c r="E38">
        <v>1384</v>
      </c>
      <c r="F38">
        <v>99</v>
      </c>
      <c r="G38" s="4">
        <v>1.8617965280967999E-14</v>
      </c>
      <c r="H38" s="4">
        <v>3.1092002019216599E-12</v>
      </c>
      <c r="I38" t="s">
        <v>247</v>
      </c>
    </row>
    <row r="39" spans="1:9" x14ac:dyDescent="0.25">
      <c r="A39" t="s">
        <v>248</v>
      </c>
      <c r="C39" s="3" t="str">
        <f>HYPERLINK("http://amigo.geneontology.org/amigo/term/GO:0015077","GO:0015077")</f>
        <v>GO:0015077</v>
      </c>
      <c r="D39" t="s">
        <v>249</v>
      </c>
      <c r="E39">
        <v>614</v>
      </c>
      <c r="F39">
        <v>59</v>
      </c>
      <c r="G39" s="4">
        <v>2.46211630846458E-14</v>
      </c>
      <c r="H39" s="4">
        <v>3.96400725662798E-12</v>
      </c>
      <c r="I39" t="s">
        <v>250</v>
      </c>
    </row>
    <row r="40" spans="1:9" x14ac:dyDescent="0.25">
      <c r="A40" t="s">
        <v>251</v>
      </c>
      <c r="C40" s="3" t="str">
        <f>HYPERLINK("http://amigo.geneontology.org/amigo/term/GO:0022890","GO:0022890")</f>
        <v>GO:0022890</v>
      </c>
      <c r="D40" t="s">
        <v>252</v>
      </c>
      <c r="E40">
        <v>884</v>
      </c>
      <c r="F40">
        <v>73</v>
      </c>
      <c r="G40" s="4">
        <v>5.5325452430518E-14</v>
      </c>
      <c r="H40" s="4">
        <v>8.57544512673029E-12</v>
      </c>
      <c r="I40" t="s">
        <v>253</v>
      </c>
    </row>
    <row r="41" spans="1:9" x14ac:dyDescent="0.25">
      <c r="A41" t="s">
        <v>254</v>
      </c>
      <c r="C41" s="3" t="str">
        <f>HYPERLINK("http://amigo.geneontology.org/amigo/term/GO:0071944","GO:0071944")</f>
        <v>GO:0071944</v>
      </c>
      <c r="D41" t="s">
        <v>255</v>
      </c>
      <c r="E41">
        <v>1732</v>
      </c>
      <c r="F41">
        <v>114</v>
      </c>
      <c r="G41" s="4">
        <v>5.5800027837427601E-14</v>
      </c>
      <c r="H41" s="4">
        <v>8.3700041756141405E-12</v>
      </c>
      <c r="I41" t="s">
        <v>256</v>
      </c>
    </row>
    <row r="42" spans="1:9" x14ac:dyDescent="0.25">
      <c r="A42" t="s">
        <v>257</v>
      </c>
      <c r="C42" s="3" t="str">
        <f>HYPERLINK("http://amigo.geneontology.org/amigo/term/GO:0044255","GO:0044255")</f>
        <v>GO:0044255</v>
      </c>
      <c r="D42" t="s">
        <v>258</v>
      </c>
      <c r="E42">
        <v>1757</v>
      </c>
      <c r="F42">
        <v>115</v>
      </c>
      <c r="G42" s="4">
        <v>6.26335960329172E-14</v>
      </c>
      <c r="H42" s="4">
        <v>9.0818714247729999E-12</v>
      </c>
      <c r="I42" t="s">
        <v>259</v>
      </c>
    </row>
    <row r="43" spans="1:9" x14ac:dyDescent="0.25">
      <c r="A43" t="s">
        <v>260</v>
      </c>
      <c r="C43" s="3" t="str">
        <f>HYPERLINK("http://amigo.geneontology.org/amigo/term/GO:0022857","GO:0022857")</f>
        <v>GO:0022857</v>
      </c>
      <c r="D43" t="s">
        <v>261</v>
      </c>
      <c r="E43">
        <v>2485</v>
      </c>
      <c r="F43">
        <v>147</v>
      </c>
      <c r="G43" s="4">
        <v>6.6713173713473801E-14</v>
      </c>
      <c r="H43" s="4">
        <v>9.4065574935997995E-12</v>
      </c>
      <c r="I43" t="s">
        <v>262</v>
      </c>
    </row>
    <row r="44" spans="1:9" x14ac:dyDescent="0.25">
      <c r="A44" t="s">
        <v>263</v>
      </c>
      <c r="C44" s="3" t="str">
        <f>HYPERLINK("http://amigo.geneontology.org/amigo/term/GO:0015079","GO:0015079")</f>
        <v>GO:0015079</v>
      </c>
      <c r="D44" t="s">
        <v>264</v>
      </c>
      <c r="E44">
        <v>160</v>
      </c>
      <c r="F44">
        <v>28</v>
      </c>
      <c r="G44" s="4">
        <v>1.10983925474934E-13</v>
      </c>
      <c r="H44" s="4">
        <v>1.5093813864591E-11</v>
      </c>
      <c r="I44" t="s">
        <v>265</v>
      </c>
    </row>
    <row r="45" spans="1:9" x14ac:dyDescent="0.25">
      <c r="A45" t="s">
        <v>266</v>
      </c>
      <c r="C45" s="3" t="str">
        <f>HYPERLINK("http://amigo.geneontology.org/amigo/term/GO:0052689","GO:0052689")</f>
        <v>GO:0052689</v>
      </c>
      <c r="D45" t="s">
        <v>267</v>
      </c>
      <c r="E45">
        <v>389</v>
      </c>
      <c r="F45">
        <v>44</v>
      </c>
      <c r="G45" s="4">
        <v>1.85574752770373E-13</v>
      </c>
      <c r="H45" s="4">
        <v>2.4495867365689299E-11</v>
      </c>
      <c r="I45" t="s">
        <v>268</v>
      </c>
    </row>
    <row r="46" spans="1:9" x14ac:dyDescent="0.25">
      <c r="A46" t="s">
        <v>269</v>
      </c>
      <c r="C46" s="3" t="str">
        <f>HYPERLINK("http://amigo.geneontology.org/amigo/term/GO:0046486","GO:0046486")</f>
        <v>GO:0046486</v>
      </c>
      <c r="D46" t="s">
        <v>270</v>
      </c>
      <c r="E46">
        <v>521</v>
      </c>
      <c r="F46">
        <v>52</v>
      </c>
      <c r="G46" s="4">
        <v>1.89785165771481E-13</v>
      </c>
      <c r="H46" s="4">
        <v>2.4482286384521099E-11</v>
      </c>
      <c r="I46" t="s">
        <v>271</v>
      </c>
    </row>
    <row r="47" spans="1:9" x14ac:dyDescent="0.25">
      <c r="A47" t="s">
        <v>272</v>
      </c>
      <c r="C47" s="3" t="str">
        <f>HYPERLINK("http://amigo.geneontology.org/amigo/term/GO:0046873","GO:0046873")</f>
        <v>GO:0046873</v>
      </c>
      <c r="D47" t="s">
        <v>273</v>
      </c>
      <c r="E47">
        <v>411</v>
      </c>
      <c r="F47">
        <v>45</v>
      </c>
      <c r="G47" s="4">
        <v>3.1525980397398498E-13</v>
      </c>
      <c r="H47" s="4">
        <v>3.9407475496748097E-11</v>
      </c>
      <c r="I47" t="s">
        <v>274</v>
      </c>
    </row>
    <row r="48" spans="1:9" x14ac:dyDescent="0.25">
      <c r="A48" t="s">
        <v>275</v>
      </c>
      <c r="C48" s="3" t="str">
        <f>HYPERLINK("http://amigo.geneontology.org/amigo/term/GO:0008324","GO:0008324")</f>
        <v>GO:0008324</v>
      </c>
      <c r="D48" t="s">
        <v>276</v>
      </c>
      <c r="E48">
        <v>981</v>
      </c>
      <c r="F48">
        <v>76</v>
      </c>
      <c r="G48" s="4">
        <v>4.2745538816436098E-13</v>
      </c>
      <c r="H48" s="4">
        <v>5.2149557356052003E-11</v>
      </c>
      <c r="I48" t="s">
        <v>277</v>
      </c>
    </row>
    <row r="49" spans="1:9" x14ac:dyDescent="0.25">
      <c r="A49" t="s">
        <v>278</v>
      </c>
      <c r="C49" s="3" t="str">
        <f>HYPERLINK("http://amigo.geneontology.org/amigo/term/GO:0005249","GO:0005249")</f>
        <v>GO:0005249</v>
      </c>
      <c r="D49" t="s">
        <v>279</v>
      </c>
      <c r="E49">
        <v>51</v>
      </c>
      <c r="F49">
        <v>16</v>
      </c>
      <c r="G49" s="4">
        <v>1.61336531426572E-12</v>
      </c>
      <c r="H49" s="4">
        <v>1.90377107083355E-10</v>
      </c>
      <c r="I49" t="s">
        <v>280</v>
      </c>
    </row>
    <row r="50" spans="1:9" x14ac:dyDescent="0.25">
      <c r="A50" t="s">
        <v>281</v>
      </c>
      <c r="C50" s="3" t="str">
        <f>HYPERLINK("http://amigo.geneontology.org/amigo/term/GO:0022843","GO:0022843")</f>
        <v>GO:0022843</v>
      </c>
      <c r="D50" t="s">
        <v>282</v>
      </c>
      <c r="E50">
        <v>52</v>
      </c>
      <c r="F50">
        <v>16</v>
      </c>
      <c r="G50" s="4">
        <v>2.2635301456811E-12</v>
      </c>
      <c r="H50" s="4">
        <v>2.60305966753327E-10</v>
      </c>
      <c r="I50" t="s">
        <v>280</v>
      </c>
    </row>
    <row r="51" spans="1:9" x14ac:dyDescent="0.25">
      <c r="A51" t="s">
        <v>283</v>
      </c>
      <c r="C51" s="3" t="str">
        <f>HYPERLINK("http://amigo.geneontology.org/amigo/term/GO:0046470","GO:0046470")</f>
        <v>GO:0046470</v>
      </c>
      <c r="D51" t="s">
        <v>284</v>
      </c>
      <c r="E51">
        <v>53</v>
      </c>
      <c r="F51">
        <v>16</v>
      </c>
      <c r="G51" s="4">
        <v>3.1493031600822998E-12</v>
      </c>
      <c r="H51" s="4">
        <v>3.5272195392921798E-10</v>
      </c>
      <c r="I51" t="s">
        <v>285</v>
      </c>
    </row>
    <row r="52" spans="1:9" x14ac:dyDescent="0.25">
      <c r="A52" t="s">
        <v>286</v>
      </c>
      <c r="C52" s="3" t="str">
        <f>HYPERLINK("http://amigo.geneontology.org/amigo/term/GO:0006633","GO:0006633")</f>
        <v>GO:0006633</v>
      </c>
      <c r="D52" t="s">
        <v>287</v>
      </c>
      <c r="E52">
        <v>444</v>
      </c>
      <c r="F52">
        <v>45</v>
      </c>
      <c r="G52" s="4">
        <v>4.5964436846999402E-12</v>
      </c>
      <c r="H52" s="4">
        <v>5.0560880531699301E-10</v>
      </c>
      <c r="I52" t="s">
        <v>288</v>
      </c>
    </row>
    <row r="53" spans="1:9" x14ac:dyDescent="0.25">
      <c r="A53" t="s">
        <v>289</v>
      </c>
      <c r="C53" s="3" t="str">
        <f>HYPERLINK("http://amigo.geneontology.org/amigo/term/GO:0000272","GO:0000272")</f>
        <v>GO:0000272</v>
      </c>
      <c r="D53" t="s">
        <v>290</v>
      </c>
      <c r="E53">
        <v>127</v>
      </c>
      <c r="F53">
        <v>23</v>
      </c>
      <c r="G53" s="4">
        <v>8.0903856593437895E-12</v>
      </c>
      <c r="H53" s="4">
        <v>8.6567126554978499E-10</v>
      </c>
      <c r="I53" t="s">
        <v>291</v>
      </c>
    </row>
    <row r="54" spans="1:9" x14ac:dyDescent="0.25">
      <c r="A54" t="s">
        <v>292</v>
      </c>
      <c r="C54" s="3" t="str">
        <f>HYPERLINK("http://amigo.geneontology.org/amigo/term/GO:0006650","GO:0006650")</f>
        <v>GO:0006650</v>
      </c>
      <c r="D54" t="s">
        <v>293</v>
      </c>
      <c r="E54">
        <v>457</v>
      </c>
      <c r="F54">
        <v>45</v>
      </c>
      <c r="G54" s="4">
        <v>1.22148957425771E-11</v>
      </c>
      <c r="H54" s="4">
        <v>1.2825640529706E-9</v>
      </c>
      <c r="I54" t="s">
        <v>294</v>
      </c>
    </row>
    <row r="55" spans="1:9" x14ac:dyDescent="0.25">
      <c r="A55" t="s">
        <v>295</v>
      </c>
      <c r="C55" s="3" t="str">
        <f>HYPERLINK("http://amigo.geneontology.org/amigo/term/GO:0016831","GO:0016831")</f>
        <v>GO:0016831</v>
      </c>
      <c r="D55" t="s">
        <v>296</v>
      </c>
      <c r="E55">
        <v>237</v>
      </c>
      <c r="F55">
        <v>31</v>
      </c>
      <c r="G55" s="4">
        <v>1.59878113148326E-11</v>
      </c>
      <c r="H55" s="4">
        <v>1.63075675411293E-9</v>
      </c>
      <c r="I55" t="s">
        <v>297</v>
      </c>
    </row>
    <row r="56" spans="1:9" x14ac:dyDescent="0.25">
      <c r="A56" t="s">
        <v>298</v>
      </c>
      <c r="C56" s="3" t="str">
        <f>HYPERLINK("http://amigo.geneontology.org/amigo/term/GO:0006811","GO:0006811")</f>
        <v>GO:0006811</v>
      </c>
      <c r="D56" t="s">
        <v>299</v>
      </c>
      <c r="E56">
        <v>1855</v>
      </c>
      <c r="F56">
        <v>112</v>
      </c>
      <c r="G56" s="4">
        <v>2.02146319998473E-11</v>
      </c>
      <c r="H56" s="4">
        <v>2.0214631999847302E-9</v>
      </c>
      <c r="I56" t="s">
        <v>300</v>
      </c>
    </row>
    <row r="57" spans="1:9" x14ac:dyDescent="0.25">
      <c r="A57" t="s">
        <v>301</v>
      </c>
      <c r="C57" s="3" t="str">
        <f>HYPERLINK("http://amigo.geneontology.org/amigo/term/GO:0072330","GO:0072330")</f>
        <v>GO:0072330</v>
      </c>
      <c r="D57" t="s">
        <v>302</v>
      </c>
      <c r="E57">
        <v>897</v>
      </c>
      <c r="F57">
        <v>67</v>
      </c>
      <c r="G57" s="4">
        <v>4.96730356039113E-11</v>
      </c>
      <c r="H57" s="4">
        <v>4.8679574891833097E-9</v>
      </c>
      <c r="I57" t="s">
        <v>303</v>
      </c>
    </row>
    <row r="58" spans="1:9" x14ac:dyDescent="0.25">
      <c r="A58" t="s">
        <v>304</v>
      </c>
      <c r="C58" s="3" t="str">
        <f>HYPERLINK("http://amigo.geneontology.org/amigo/term/GO:0071804","GO:0071804")</f>
        <v>GO:0071804</v>
      </c>
      <c r="D58" t="s">
        <v>305</v>
      </c>
      <c r="E58">
        <v>128</v>
      </c>
      <c r="F58">
        <v>22</v>
      </c>
      <c r="G58" s="4">
        <v>6.6460098271054395E-11</v>
      </c>
      <c r="H58" s="4">
        <v>6.2472492374791098E-9</v>
      </c>
      <c r="I58" t="s">
        <v>306</v>
      </c>
    </row>
    <row r="59" spans="1:9" x14ac:dyDescent="0.25">
      <c r="A59" t="s">
        <v>307</v>
      </c>
      <c r="C59" s="3" t="str">
        <f>HYPERLINK("http://amigo.geneontology.org/amigo/term/GO:0071805","GO:0071805")</f>
        <v>GO:0071805</v>
      </c>
      <c r="D59" t="s">
        <v>308</v>
      </c>
      <c r="E59">
        <v>128</v>
      </c>
      <c r="F59">
        <v>22</v>
      </c>
      <c r="G59" s="4">
        <v>6.6460098271054395E-11</v>
      </c>
      <c r="H59" s="4">
        <v>6.3801694340212199E-9</v>
      </c>
      <c r="I59" t="s">
        <v>306</v>
      </c>
    </row>
    <row r="60" spans="1:9" x14ac:dyDescent="0.25">
      <c r="A60" t="s">
        <v>309</v>
      </c>
      <c r="C60" s="3" t="str">
        <f>HYPERLINK("http://amigo.geneontology.org/amigo/term/GO:0005267","GO:0005267")</f>
        <v>GO:0005267</v>
      </c>
      <c r="D60" t="s">
        <v>310</v>
      </c>
      <c r="E60">
        <v>65</v>
      </c>
      <c r="F60">
        <v>16</v>
      </c>
      <c r="G60" s="4">
        <v>9.6962836569971298E-11</v>
      </c>
      <c r="H60" s="4">
        <v>8.9205809644373595E-9</v>
      </c>
      <c r="I60" t="s">
        <v>280</v>
      </c>
    </row>
    <row r="61" spans="1:9" x14ac:dyDescent="0.25">
      <c r="A61" t="s">
        <v>311</v>
      </c>
      <c r="C61" s="3" t="str">
        <f>HYPERLINK("http://amigo.geneontology.org/amigo/term/GO:0005976","GO:0005976")</f>
        <v>GO:0005976</v>
      </c>
      <c r="D61" t="s">
        <v>312</v>
      </c>
      <c r="E61">
        <v>876</v>
      </c>
      <c r="F61">
        <v>65</v>
      </c>
      <c r="G61" s="4">
        <v>1.2610043487157001E-10</v>
      </c>
      <c r="H61" s="4">
        <v>1.13490391384413E-8</v>
      </c>
      <c r="I61" t="s">
        <v>313</v>
      </c>
    </row>
    <row r="62" spans="1:9" x14ac:dyDescent="0.25">
      <c r="A62" t="s">
        <v>314</v>
      </c>
      <c r="C62" s="3" t="str">
        <f>HYPERLINK("http://amigo.geneontology.org/amigo/term/GO:0016491","GO:0016491")</f>
        <v>GO:0016491</v>
      </c>
      <c r="D62" t="s">
        <v>315</v>
      </c>
      <c r="E62">
        <v>6975</v>
      </c>
      <c r="F62">
        <v>307</v>
      </c>
      <c r="G62" s="4">
        <v>1.3133726521544299E-10</v>
      </c>
      <c r="H62" s="4">
        <v>1.15576793389589E-8</v>
      </c>
      <c r="I62" t="s">
        <v>316</v>
      </c>
    </row>
    <row r="63" spans="1:9" x14ac:dyDescent="0.25">
      <c r="A63" t="s">
        <v>317</v>
      </c>
      <c r="C63" s="3" t="str">
        <f>HYPERLINK("http://amigo.geneontology.org/amigo/term/GO:0006810","GO:0006810")</f>
        <v>GO:0006810</v>
      </c>
      <c r="D63" t="s">
        <v>318</v>
      </c>
      <c r="E63">
        <v>6357</v>
      </c>
      <c r="F63">
        <v>284</v>
      </c>
      <c r="G63" s="4">
        <v>1.6197607996644299E-10</v>
      </c>
      <c r="H63" s="4">
        <v>1.3929942877114099E-8</v>
      </c>
      <c r="I63" t="s">
        <v>319</v>
      </c>
    </row>
    <row r="64" spans="1:9" x14ac:dyDescent="0.25">
      <c r="A64" t="s">
        <v>320</v>
      </c>
      <c r="C64" s="3" t="str">
        <f>HYPERLINK("http://amigo.geneontology.org/amigo/term/GO:0005261","GO:0005261")</f>
        <v>GO:0005261</v>
      </c>
      <c r="D64" t="s">
        <v>321</v>
      </c>
      <c r="E64">
        <v>68</v>
      </c>
      <c r="F64">
        <v>16</v>
      </c>
      <c r="G64" s="4">
        <v>2.0151543370259399E-10</v>
      </c>
      <c r="H64" s="4">
        <v>1.7128811864720501E-8</v>
      </c>
      <c r="I64" t="s">
        <v>280</v>
      </c>
    </row>
    <row r="65" spans="1:9" x14ac:dyDescent="0.25">
      <c r="A65" t="s">
        <v>322</v>
      </c>
      <c r="C65" s="3" t="str">
        <f>HYPERLINK("http://amigo.geneontology.org/amigo/term/GO:0005509","GO:0005509")</f>
        <v>GO:0005509</v>
      </c>
      <c r="D65" t="s">
        <v>323</v>
      </c>
      <c r="E65">
        <v>1211</v>
      </c>
      <c r="F65">
        <v>80</v>
      </c>
      <c r="G65" s="4">
        <v>2.7015771931603599E-10</v>
      </c>
      <c r="H65" s="4">
        <v>2.2423090703231E-8</v>
      </c>
      <c r="I65" t="s">
        <v>324</v>
      </c>
    </row>
    <row r="66" spans="1:9" x14ac:dyDescent="0.25">
      <c r="A66" t="s">
        <v>325</v>
      </c>
      <c r="C66" s="3" t="str">
        <f>HYPERLINK("http://amigo.geneontology.org/amigo/term/GO:0030001","GO:0030001")</f>
        <v>GO:0030001</v>
      </c>
      <c r="D66" t="s">
        <v>326</v>
      </c>
      <c r="E66">
        <v>860</v>
      </c>
      <c r="F66">
        <v>63</v>
      </c>
      <c r="G66" s="4">
        <v>4.0206447251243301E-10</v>
      </c>
      <c r="H66" s="4">
        <v>3.2969286746019498E-8</v>
      </c>
      <c r="I66" t="s">
        <v>327</v>
      </c>
    </row>
    <row r="67" spans="1:9" x14ac:dyDescent="0.25">
      <c r="A67" t="s">
        <v>328</v>
      </c>
      <c r="C67" s="3" t="str">
        <f>HYPERLINK("http://amigo.geneontology.org/amigo/term/GO:0003779","GO:0003779")</f>
        <v>GO:0003779</v>
      </c>
      <c r="D67" t="s">
        <v>329</v>
      </c>
      <c r="E67">
        <v>182</v>
      </c>
      <c r="F67">
        <v>25</v>
      </c>
      <c r="G67" s="4">
        <v>4.99533547214819E-10</v>
      </c>
      <c r="H67" s="4">
        <v>3.9962683777185499E-8</v>
      </c>
      <c r="I67" t="s">
        <v>330</v>
      </c>
    </row>
    <row r="68" spans="1:9" x14ac:dyDescent="0.25">
      <c r="A68" t="s">
        <v>331</v>
      </c>
      <c r="C68" s="3" t="str">
        <f>HYPERLINK("http://amigo.geneontology.org/amigo/term/GO:0016762","GO:0016762")</f>
        <v>GO:0016762</v>
      </c>
      <c r="D68" t="s">
        <v>332</v>
      </c>
      <c r="E68">
        <v>142</v>
      </c>
      <c r="F68">
        <v>22</v>
      </c>
      <c r="G68" s="4">
        <v>5.2704693690262299E-10</v>
      </c>
      <c r="H68" s="4">
        <v>4.1636708015307199E-8</v>
      </c>
      <c r="I68" t="s">
        <v>333</v>
      </c>
    </row>
    <row r="69" spans="1:9" x14ac:dyDescent="0.25">
      <c r="A69" t="s">
        <v>334</v>
      </c>
      <c r="C69" s="3" t="str">
        <f>HYPERLINK("http://amigo.geneontology.org/amigo/term/GO:0006631","GO:0006631")</f>
        <v>GO:0006631</v>
      </c>
      <c r="D69" t="s">
        <v>335</v>
      </c>
      <c r="E69">
        <v>648</v>
      </c>
      <c r="F69">
        <v>52</v>
      </c>
      <c r="G69" s="4">
        <v>6.0473320217867196E-10</v>
      </c>
      <c r="H69" s="4">
        <v>4.6564456567757799E-8</v>
      </c>
      <c r="I69" t="s">
        <v>336</v>
      </c>
    </row>
    <row r="70" spans="1:9" x14ac:dyDescent="0.25">
      <c r="A70" t="s">
        <v>337</v>
      </c>
      <c r="C70" s="3" t="str">
        <f>HYPERLINK("http://amigo.geneontology.org/amigo/term/GO:0008081","GO:0008081")</f>
        <v>GO:0008081</v>
      </c>
      <c r="D70" t="s">
        <v>338</v>
      </c>
      <c r="E70">
        <v>143</v>
      </c>
      <c r="F70">
        <v>22</v>
      </c>
      <c r="G70" s="4">
        <v>6.0480547333374599E-10</v>
      </c>
      <c r="H70" s="4">
        <v>4.5965215973364603E-8</v>
      </c>
      <c r="I70" t="s">
        <v>339</v>
      </c>
    </row>
    <row r="71" spans="1:9" x14ac:dyDescent="0.25">
      <c r="A71" t="s">
        <v>340</v>
      </c>
      <c r="C71" s="3" t="str">
        <f>HYPERLINK("http://amigo.geneontology.org/amigo/term/GO:0006812","GO:0006812")</f>
        <v>GO:0006812</v>
      </c>
      <c r="D71" t="s">
        <v>341</v>
      </c>
      <c r="E71">
        <v>1323</v>
      </c>
      <c r="F71">
        <v>84</v>
      </c>
      <c r="G71" s="4">
        <v>6.4871153834021398E-10</v>
      </c>
      <c r="H71" s="4">
        <v>4.8653365375516102E-8</v>
      </c>
      <c r="I71" t="s">
        <v>342</v>
      </c>
    </row>
    <row r="72" spans="1:9" x14ac:dyDescent="0.25">
      <c r="A72" t="s">
        <v>343</v>
      </c>
      <c r="C72" s="3" t="str">
        <f>HYPERLINK("http://amigo.geneontology.org/amigo/term/GO:0051234","GO:0051234")</f>
        <v>GO:0051234</v>
      </c>
      <c r="D72" t="s">
        <v>344</v>
      </c>
      <c r="E72">
        <v>6485</v>
      </c>
      <c r="F72">
        <v>285</v>
      </c>
      <c r="G72" s="4">
        <v>7.7937796346655695E-10</v>
      </c>
      <c r="H72" s="4">
        <v>5.7673969296525202E-8</v>
      </c>
      <c r="I72" t="s">
        <v>345</v>
      </c>
    </row>
    <row r="73" spans="1:9" x14ac:dyDescent="0.25">
      <c r="A73" t="s">
        <v>346</v>
      </c>
      <c r="C73" s="3" t="str">
        <f>HYPERLINK("http://amigo.geneontology.org/amigo/term/GO:0004857","GO:0004857")</f>
        <v>GO:0004857</v>
      </c>
      <c r="D73" t="s">
        <v>347</v>
      </c>
      <c r="E73">
        <v>860</v>
      </c>
      <c r="F73">
        <v>62</v>
      </c>
      <c r="G73" s="4">
        <v>1.02573790494579E-9</v>
      </c>
      <c r="H73" s="4">
        <v>7.3853129156097E-8</v>
      </c>
      <c r="I73" t="s">
        <v>348</v>
      </c>
    </row>
    <row r="74" spans="1:9" x14ac:dyDescent="0.25">
      <c r="A74" t="s">
        <v>349</v>
      </c>
      <c r="C74" s="3" t="str">
        <f>HYPERLINK("http://amigo.geneontology.org/amigo/term/GO:0098660","GO:0098660")</f>
        <v>GO:0098660</v>
      </c>
      <c r="D74" t="s">
        <v>350</v>
      </c>
      <c r="E74">
        <v>600</v>
      </c>
      <c r="F74">
        <v>49</v>
      </c>
      <c r="G74" s="4">
        <v>1.0467029350501301E-9</v>
      </c>
      <c r="H74" s="4">
        <v>7.4315908388559595E-8</v>
      </c>
      <c r="I74" t="s">
        <v>351</v>
      </c>
    </row>
    <row r="75" spans="1:9" x14ac:dyDescent="0.25">
      <c r="A75" t="s">
        <v>352</v>
      </c>
      <c r="C75" s="3" t="str">
        <f>HYPERLINK("http://amigo.geneontology.org/amigo/term/GO:0030234","GO:0030234")</f>
        <v>GO:0030234</v>
      </c>
      <c r="D75" t="s">
        <v>353</v>
      </c>
      <c r="E75">
        <v>1103</v>
      </c>
      <c r="F75">
        <v>73</v>
      </c>
      <c r="G75" s="4">
        <v>1.49094617981061E-9</v>
      </c>
      <c r="H75" s="4">
        <v>1.04366232586743E-7</v>
      </c>
      <c r="I75" t="s">
        <v>354</v>
      </c>
    </row>
    <row r="76" spans="1:9" x14ac:dyDescent="0.25">
      <c r="A76" t="s">
        <v>355</v>
      </c>
      <c r="C76" s="3" t="str">
        <f>HYPERLINK("http://amigo.geneontology.org/amigo/term/GO:0097164","GO:0097164")</f>
        <v>GO:0097164</v>
      </c>
      <c r="D76" t="s">
        <v>356</v>
      </c>
      <c r="E76">
        <v>117</v>
      </c>
      <c r="F76">
        <v>19</v>
      </c>
      <c r="G76" s="4">
        <v>3.4802809234887499E-9</v>
      </c>
      <c r="H76" s="4">
        <v>2.4013938372072299E-7</v>
      </c>
      <c r="I76" t="s">
        <v>357</v>
      </c>
    </row>
    <row r="77" spans="1:9" x14ac:dyDescent="0.25">
      <c r="A77" t="s">
        <v>358</v>
      </c>
      <c r="C77" s="3" t="str">
        <f>HYPERLINK("http://amigo.geneontology.org/amigo/term/GO:0016308","GO:0016308")</f>
        <v>GO:0016308</v>
      </c>
      <c r="D77" t="s">
        <v>359</v>
      </c>
      <c r="E77">
        <v>27</v>
      </c>
      <c r="F77">
        <v>10</v>
      </c>
      <c r="G77" s="4">
        <v>3.93730454580815E-9</v>
      </c>
      <c r="H77" s="4">
        <v>2.6773670911495398E-7</v>
      </c>
      <c r="I77" t="s">
        <v>360</v>
      </c>
    </row>
    <row r="78" spans="1:9" x14ac:dyDescent="0.25">
      <c r="A78" t="s">
        <v>361</v>
      </c>
      <c r="C78" s="3" t="str">
        <f>HYPERLINK("http://amigo.geneontology.org/amigo/term/GO:0034220","GO:0034220")</f>
        <v>GO:0034220</v>
      </c>
      <c r="D78" t="s">
        <v>362</v>
      </c>
      <c r="E78">
        <v>853</v>
      </c>
      <c r="F78">
        <v>60</v>
      </c>
      <c r="G78" s="4">
        <v>4.7037584072930697E-9</v>
      </c>
      <c r="H78" s="4">
        <v>3.1515181328863598E-7</v>
      </c>
      <c r="I78" t="s">
        <v>363</v>
      </c>
    </row>
    <row r="79" spans="1:9" x14ac:dyDescent="0.25">
      <c r="A79" t="s">
        <v>364</v>
      </c>
      <c r="C79" s="3" t="str">
        <f>HYPERLINK("http://amigo.geneontology.org/amigo/term/GO:0044042","GO:0044042")</f>
        <v>GO:0044042</v>
      </c>
      <c r="D79" t="s">
        <v>365</v>
      </c>
      <c r="E79">
        <v>620</v>
      </c>
      <c r="F79">
        <v>48</v>
      </c>
      <c r="G79" s="4">
        <v>8.4743297355353097E-9</v>
      </c>
      <c r="H79" s="4">
        <v>5.5083143280979502E-7</v>
      </c>
      <c r="I79" t="s">
        <v>366</v>
      </c>
    </row>
    <row r="80" spans="1:9" x14ac:dyDescent="0.25">
      <c r="A80" t="s">
        <v>367</v>
      </c>
      <c r="C80" s="3" t="str">
        <f>HYPERLINK("http://amigo.geneontology.org/amigo/term/GO:0006073","GO:0006073")</f>
        <v>GO:0006073</v>
      </c>
      <c r="D80" t="s">
        <v>368</v>
      </c>
      <c r="E80">
        <v>620</v>
      </c>
      <c r="F80">
        <v>48</v>
      </c>
      <c r="G80" s="4">
        <v>8.4743297355353097E-9</v>
      </c>
      <c r="H80" s="4">
        <v>5.5930576254533E-7</v>
      </c>
      <c r="I80" t="s">
        <v>366</v>
      </c>
    </row>
    <row r="81" spans="1:9" x14ac:dyDescent="0.25">
      <c r="A81" t="s">
        <v>369</v>
      </c>
      <c r="C81" s="3" t="str">
        <f>HYPERLINK("http://amigo.geneontology.org/amigo/term/GO:0016307","GO:0016307")</f>
        <v>GO:0016307</v>
      </c>
      <c r="D81" t="s">
        <v>370</v>
      </c>
      <c r="E81">
        <v>65</v>
      </c>
      <c r="F81">
        <v>14</v>
      </c>
      <c r="G81" s="4">
        <v>9.3006470245639108E-9</v>
      </c>
      <c r="H81" s="4">
        <v>5.9524140957208997E-7</v>
      </c>
      <c r="I81" t="s">
        <v>371</v>
      </c>
    </row>
    <row r="82" spans="1:9" x14ac:dyDescent="0.25">
      <c r="A82" t="s">
        <v>372</v>
      </c>
      <c r="C82" s="3" t="str">
        <f>HYPERLINK("http://amigo.geneontology.org/amigo/term/GO:0022832","GO:0022832")</f>
        <v>GO:0022832</v>
      </c>
      <c r="D82" t="s">
        <v>373</v>
      </c>
      <c r="E82">
        <v>124</v>
      </c>
      <c r="F82">
        <v>19</v>
      </c>
      <c r="G82" s="4">
        <v>9.3797149609547098E-9</v>
      </c>
      <c r="H82" s="4">
        <v>5.81542327579192E-7</v>
      </c>
      <c r="I82" t="s">
        <v>374</v>
      </c>
    </row>
    <row r="83" spans="1:9" x14ac:dyDescent="0.25">
      <c r="A83" t="s">
        <v>375</v>
      </c>
      <c r="C83" s="3" t="str">
        <f>HYPERLINK("http://amigo.geneontology.org/amigo/term/GO:0005244","GO:0005244")</f>
        <v>GO:0005244</v>
      </c>
      <c r="D83" t="s">
        <v>376</v>
      </c>
      <c r="E83">
        <v>124</v>
      </c>
      <c r="F83">
        <v>19</v>
      </c>
      <c r="G83" s="4">
        <v>9.3797149609547098E-9</v>
      </c>
      <c r="H83" s="4">
        <v>5.9092204254014703E-7</v>
      </c>
      <c r="I83" t="s">
        <v>374</v>
      </c>
    </row>
    <row r="84" spans="1:9" x14ac:dyDescent="0.25">
      <c r="A84" t="s">
        <v>377</v>
      </c>
      <c r="C84" s="3" t="str">
        <f>HYPERLINK("http://amigo.geneontology.org/amigo/term/GO:0016157","GO:0016157")</f>
        <v>GO:0016157</v>
      </c>
      <c r="D84" t="s">
        <v>378</v>
      </c>
      <c r="E84">
        <v>37</v>
      </c>
      <c r="F84">
        <v>11</v>
      </c>
      <c r="G84" s="4">
        <v>9.4423276636570601E-9</v>
      </c>
      <c r="H84" s="4">
        <v>5.7598198748308095E-7</v>
      </c>
      <c r="I84" t="s">
        <v>379</v>
      </c>
    </row>
    <row r="85" spans="1:9" x14ac:dyDescent="0.25">
      <c r="A85" t="s">
        <v>380</v>
      </c>
      <c r="C85" s="3" t="str">
        <f>HYPERLINK("http://amigo.geneontology.org/amigo/term/GO:0098662","GO:0098662")</f>
        <v>GO:0098662</v>
      </c>
      <c r="D85" t="s">
        <v>381</v>
      </c>
      <c r="E85">
        <v>564</v>
      </c>
      <c r="F85">
        <v>45</v>
      </c>
      <c r="G85" s="4">
        <v>9.9525999955621294E-9</v>
      </c>
      <c r="H85" s="4">
        <v>6.0710859972929001E-7</v>
      </c>
      <c r="I85" t="s">
        <v>382</v>
      </c>
    </row>
    <row r="86" spans="1:9" x14ac:dyDescent="0.25">
      <c r="A86" t="s">
        <v>383</v>
      </c>
      <c r="C86" s="3" t="str">
        <f>HYPERLINK("http://amigo.geneontology.org/amigo/term/GO:0009853","GO:0009853")</f>
        <v>GO:0009853</v>
      </c>
      <c r="D86" t="s">
        <v>384</v>
      </c>
      <c r="E86">
        <v>138</v>
      </c>
      <c r="F86">
        <v>20</v>
      </c>
      <c r="G86" s="4">
        <v>1.0301485345244601E-8</v>
      </c>
      <c r="H86" s="4">
        <v>6.1808912071468096E-7</v>
      </c>
      <c r="I86" t="s">
        <v>385</v>
      </c>
    </row>
    <row r="87" spans="1:9" x14ac:dyDescent="0.25">
      <c r="A87" t="s">
        <v>386</v>
      </c>
      <c r="C87" s="3" t="str">
        <f>HYPERLINK("http://amigo.geneontology.org/amigo/term/GO:0015297","GO:0015297")</f>
        <v>GO:0015297</v>
      </c>
      <c r="D87" t="s">
        <v>387</v>
      </c>
      <c r="E87">
        <v>362</v>
      </c>
      <c r="F87">
        <v>34</v>
      </c>
      <c r="G87" s="4">
        <v>1.22507675456386E-8</v>
      </c>
      <c r="H87" s="4">
        <v>7.2279528519268203E-7</v>
      </c>
      <c r="I87" t="s">
        <v>388</v>
      </c>
    </row>
    <row r="88" spans="1:9" x14ac:dyDescent="0.25">
      <c r="A88" t="s">
        <v>389</v>
      </c>
      <c r="C88" s="3" t="str">
        <f>HYPERLINK("http://amigo.geneontology.org/amigo/term/GO:0022803","GO:0022803")</f>
        <v>GO:0022803</v>
      </c>
      <c r="D88" t="s">
        <v>390</v>
      </c>
      <c r="E88">
        <v>293</v>
      </c>
      <c r="F88">
        <v>30</v>
      </c>
      <c r="G88" s="4">
        <v>1.23553724837505E-8</v>
      </c>
      <c r="H88" s="4">
        <v>7.0425623157378003E-7</v>
      </c>
      <c r="I88" t="s">
        <v>391</v>
      </c>
    </row>
    <row r="89" spans="1:9" x14ac:dyDescent="0.25">
      <c r="A89" t="s">
        <v>392</v>
      </c>
      <c r="C89" s="3" t="str">
        <f>HYPERLINK("http://amigo.geneontology.org/amigo/term/GO:0015267","GO:0015267")</f>
        <v>GO:0015267</v>
      </c>
      <c r="D89" t="s">
        <v>393</v>
      </c>
      <c r="E89">
        <v>293</v>
      </c>
      <c r="F89">
        <v>30</v>
      </c>
      <c r="G89" s="4">
        <v>1.23553724837505E-8</v>
      </c>
      <c r="H89" s="4">
        <v>7.1661160405752995E-7</v>
      </c>
      <c r="I89" t="s">
        <v>391</v>
      </c>
    </row>
    <row r="90" spans="1:9" x14ac:dyDescent="0.25">
      <c r="A90" t="s">
        <v>394</v>
      </c>
      <c r="C90" s="3" t="str">
        <f>HYPERLINK("http://amigo.geneontology.org/amigo/term/GO:0048868","GO:0048868")</f>
        <v>GO:0048868</v>
      </c>
      <c r="D90" t="s">
        <v>395</v>
      </c>
      <c r="E90">
        <v>92</v>
      </c>
      <c r="F90">
        <v>16</v>
      </c>
      <c r="G90" s="4">
        <v>2.15402872902871E-8</v>
      </c>
      <c r="H90" s="4">
        <v>1.22779637554636E-6</v>
      </c>
      <c r="I90" t="s">
        <v>396</v>
      </c>
    </row>
    <row r="91" spans="1:9" x14ac:dyDescent="0.25">
      <c r="A91" t="s">
        <v>397</v>
      </c>
      <c r="C91" s="3" t="str">
        <f>HYPERLINK("http://amigo.geneontology.org/amigo/term/GO:0022838","GO:0022838")</f>
        <v>GO:0022838</v>
      </c>
      <c r="D91" t="s">
        <v>398</v>
      </c>
      <c r="E91">
        <v>284</v>
      </c>
      <c r="F91">
        <v>29</v>
      </c>
      <c r="G91" s="4">
        <v>2.2761129533624099E-8</v>
      </c>
      <c r="H91" s="4">
        <v>1.2746232538829499E-6</v>
      </c>
      <c r="I91" t="s">
        <v>399</v>
      </c>
    </row>
    <row r="92" spans="1:9" x14ac:dyDescent="0.25">
      <c r="A92" t="s">
        <v>400</v>
      </c>
      <c r="C92" s="3" t="str">
        <f>HYPERLINK("http://amigo.geneontology.org/amigo/term/GO:0015926","GO:0015926")</f>
        <v>GO:0015926</v>
      </c>
      <c r="D92" t="s">
        <v>401</v>
      </c>
      <c r="E92">
        <v>59</v>
      </c>
      <c r="F92">
        <v>13</v>
      </c>
      <c r="G92" s="4">
        <v>2.3429524357621498E-8</v>
      </c>
      <c r="H92" s="4">
        <v>1.28862383966918E-6</v>
      </c>
      <c r="I92" t="s">
        <v>402</v>
      </c>
    </row>
    <row r="93" spans="1:9" x14ac:dyDescent="0.25">
      <c r="A93" t="s">
        <v>403</v>
      </c>
      <c r="C93" s="3" t="str">
        <f>HYPERLINK("http://amigo.geneontology.org/amigo/term/GO:0004564","GO:0004564")</f>
        <v>GO:0004564</v>
      </c>
      <c r="D93" t="s">
        <v>404</v>
      </c>
      <c r="E93">
        <v>32</v>
      </c>
      <c r="F93">
        <v>10</v>
      </c>
      <c r="G93" s="4">
        <v>2.6155132326947201E-8</v>
      </c>
      <c r="H93" s="4">
        <v>1.3862220133281999E-6</v>
      </c>
      <c r="I93" t="s">
        <v>405</v>
      </c>
    </row>
    <row r="94" spans="1:9" x14ac:dyDescent="0.25">
      <c r="A94" t="s">
        <v>406</v>
      </c>
      <c r="C94" s="3" t="str">
        <f>HYPERLINK("http://amigo.geneontology.org/amigo/term/GO:0090599","GO:0090599")</f>
        <v>GO:0090599</v>
      </c>
      <c r="D94" t="s">
        <v>407</v>
      </c>
      <c r="E94">
        <v>32</v>
      </c>
      <c r="F94">
        <v>10</v>
      </c>
      <c r="G94" s="4">
        <v>2.6155132326947201E-8</v>
      </c>
      <c r="H94" s="4">
        <v>1.4123771456551499E-6</v>
      </c>
      <c r="I94" t="s">
        <v>405</v>
      </c>
    </row>
    <row r="95" spans="1:9" x14ac:dyDescent="0.25">
      <c r="A95" t="s">
        <v>408</v>
      </c>
      <c r="C95" s="3" t="str">
        <f>HYPERLINK("http://amigo.geneontology.org/amigo/term/GO:0004575","GO:0004575")</f>
        <v>GO:0004575</v>
      </c>
      <c r="D95" t="s">
        <v>409</v>
      </c>
      <c r="E95">
        <v>32</v>
      </c>
      <c r="F95">
        <v>10</v>
      </c>
      <c r="G95" s="4">
        <v>2.6155132326947201E-8</v>
      </c>
      <c r="H95" s="4">
        <v>1.4385322779820999E-6</v>
      </c>
      <c r="I95" t="s">
        <v>405</v>
      </c>
    </row>
    <row r="96" spans="1:9" x14ac:dyDescent="0.25">
      <c r="A96" t="s">
        <v>410</v>
      </c>
      <c r="C96" s="3" t="str">
        <f>HYPERLINK("http://amigo.geneontology.org/amigo/term/GO:0016830","GO:0016830")</f>
        <v>GO:0016830</v>
      </c>
      <c r="D96" t="s">
        <v>411</v>
      </c>
      <c r="E96">
        <v>321</v>
      </c>
      <c r="F96">
        <v>31</v>
      </c>
      <c r="G96" s="4">
        <v>2.7894037726159499E-8</v>
      </c>
      <c r="H96" s="4">
        <v>1.4783839994864499E-6</v>
      </c>
      <c r="I96" t="s">
        <v>297</v>
      </c>
    </row>
    <row r="97" spans="1:9" x14ac:dyDescent="0.25">
      <c r="A97" t="s">
        <v>412</v>
      </c>
      <c r="C97" s="3" t="str">
        <f>HYPERLINK("http://amigo.geneontology.org/amigo/term/GO:0048046","GO:0048046")</f>
        <v>GO:0048046</v>
      </c>
      <c r="D97" t="s">
        <v>413</v>
      </c>
      <c r="E97">
        <v>357</v>
      </c>
      <c r="F97">
        <v>33</v>
      </c>
      <c r="G97" s="4">
        <v>2.9239682530940001E-8</v>
      </c>
      <c r="H97" s="4">
        <v>1.52046349160888E-6</v>
      </c>
      <c r="I97" t="s">
        <v>414</v>
      </c>
    </row>
    <row r="98" spans="1:9" x14ac:dyDescent="0.25">
      <c r="A98" t="s">
        <v>415</v>
      </c>
      <c r="C98" s="3" t="str">
        <f>HYPERLINK("http://amigo.geneontology.org/amigo/term/GO:0010411","GO:0010411")</f>
        <v>GO:0010411</v>
      </c>
      <c r="D98" t="s">
        <v>416</v>
      </c>
      <c r="E98">
        <v>147</v>
      </c>
      <c r="F98">
        <v>20</v>
      </c>
      <c r="G98" s="4">
        <v>3.0730415420989498E-8</v>
      </c>
      <c r="H98" s="4">
        <v>1.5672511864704601E-6</v>
      </c>
      <c r="I98" t="s">
        <v>417</v>
      </c>
    </row>
    <row r="99" spans="1:9" x14ac:dyDescent="0.25">
      <c r="A99" t="s">
        <v>418</v>
      </c>
      <c r="C99" s="3" t="str">
        <f>HYPERLINK("http://amigo.geneontology.org/amigo/term/GO:0098655","GO:0098655")</f>
        <v>GO:0098655</v>
      </c>
      <c r="D99" t="s">
        <v>419</v>
      </c>
      <c r="E99">
        <v>590</v>
      </c>
      <c r="F99">
        <v>45</v>
      </c>
      <c r="G99" s="4">
        <v>3.7738532704775598E-8</v>
      </c>
      <c r="H99" s="4">
        <v>1.9246651679435502E-6</v>
      </c>
      <c r="I99" t="s">
        <v>382</v>
      </c>
    </row>
    <row r="100" spans="1:9" x14ac:dyDescent="0.25">
      <c r="A100" t="s">
        <v>420</v>
      </c>
      <c r="C100" s="3" t="str">
        <f>HYPERLINK("http://amigo.geneontology.org/amigo/term/GO:0004620","GO:0004620")</f>
        <v>GO:0004620</v>
      </c>
      <c r="D100" t="s">
        <v>421</v>
      </c>
      <c r="E100">
        <v>109</v>
      </c>
      <c r="F100">
        <v>17</v>
      </c>
      <c r="G100" s="4">
        <v>4.2500938189569002E-8</v>
      </c>
      <c r="H100" s="4">
        <v>2.1250469094784502E-6</v>
      </c>
      <c r="I100" t="s">
        <v>422</v>
      </c>
    </row>
    <row r="101" spans="1:9" x14ac:dyDescent="0.25">
      <c r="A101" t="s">
        <v>423</v>
      </c>
      <c r="C101" s="3" t="str">
        <f>HYPERLINK("http://amigo.geneontology.org/amigo/term/GO:0005216","GO:0005216")</f>
        <v>GO:0005216</v>
      </c>
      <c r="D101" t="s">
        <v>424</v>
      </c>
      <c r="E101">
        <v>276</v>
      </c>
      <c r="F101">
        <v>28</v>
      </c>
      <c r="G101" s="4">
        <v>4.5310612032524798E-8</v>
      </c>
      <c r="H101" s="4">
        <v>2.2655306016262399E-6</v>
      </c>
      <c r="I101" t="s">
        <v>425</v>
      </c>
    </row>
    <row r="102" spans="1:9" x14ac:dyDescent="0.25">
      <c r="A102" t="s">
        <v>426</v>
      </c>
      <c r="C102" s="3" t="str">
        <f>HYPERLINK("http://amigo.geneontology.org/amigo/term/GO:0015672","GO:0015672")</f>
        <v>GO:0015672</v>
      </c>
      <c r="D102" t="s">
        <v>427</v>
      </c>
      <c r="E102">
        <v>537</v>
      </c>
      <c r="F102">
        <v>42</v>
      </c>
      <c r="G102" s="4">
        <v>5.2912537411749902E-8</v>
      </c>
      <c r="H102" s="4">
        <v>2.5927143331757398E-6</v>
      </c>
      <c r="I102" t="s">
        <v>428</v>
      </c>
    </row>
    <row r="103" spans="1:9" x14ac:dyDescent="0.25">
      <c r="A103" t="s">
        <v>429</v>
      </c>
      <c r="C103" s="3" t="str">
        <f>HYPERLINK("http://amigo.geneontology.org/amigo/term/GO:0042578","GO:0042578")</f>
        <v>GO:0042578</v>
      </c>
      <c r="D103" t="s">
        <v>430</v>
      </c>
      <c r="E103">
        <v>827</v>
      </c>
      <c r="F103">
        <v>56</v>
      </c>
      <c r="G103" s="4">
        <v>5.4407882136156697E-8</v>
      </c>
      <c r="H103" s="4">
        <v>2.66598622467167E-6</v>
      </c>
      <c r="I103" t="s">
        <v>431</v>
      </c>
    </row>
    <row r="104" spans="1:9" x14ac:dyDescent="0.25">
      <c r="A104" t="s">
        <v>432</v>
      </c>
      <c r="C104" s="3" t="str">
        <f>HYPERLINK("http://amigo.geneontology.org/amigo/term/GO:0009860","GO:0009860")</f>
        <v>GO:0009860</v>
      </c>
      <c r="D104" t="s">
        <v>433</v>
      </c>
      <c r="E104">
        <v>54</v>
      </c>
      <c r="F104">
        <v>12</v>
      </c>
      <c r="G104" s="4">
        <v>7.31961080198754E-8</v>
      </c>
      <c r="H104" s="4">
        <v>3.5134131849540099E-6</v>
      </c>
      <c r="I104" t="s">
        <v>434</v>
      </c>
    </row>
    <row r="105" spans="1:9" x14ac:dyDescent="0.25">
      <c r="A105" t="s">
        <v>435</v>
      </c>
      <c r="C105" s="3" t="str">
        <f>HYPERLINK("http://amigo.geneontology.org/amigo/term/GO:0035251","GO:0035251")</f>
        <v>GO:0035251</v>
      </c>
      <c r="D105" t="s">
        <v>436</v>
      </c>
      <c r="E105">
        <v>234</v>
      </c>
      <c r="F105">
        <v>25</v>
      </c>
      <c r="G105" s="4">
        <v>8.5836708562846104E-8</v>
      </c>
      <c r="H105" s="4">
        <v>4.1201620110166098E-6</v>
      </c>
      <c r="I105" t="s">
        <v>437</v>
      </c>
    </row>
    <row r="106" spans="1:9" x14ac:dyDescent="0.25">
      <c r="A106" t="s">
        <v>438</v>
      </c>
      <c r="C106" s="3" t="str">
        <f>HYPERLINK("http://amigo.geneontology.org/amigo/term/GO:0015291","GO:0015291")</f>
        <v>GO:0015291</v>
      </c>
      <c r="D106" t="s">
        <v>439</v>
      </c>
      <c r="E106">
        <v>527</v>
      </c>
      <c r="F106">
        <v>41</v>
      </c>
      <c r="G106" s="4">
        <v>8.7409099928891906E-8</v>
      </c>
      <c r="H106" s="4">
        <v>4.1082276966579197E-6</v>
      </c>
      <c r="I106" t="s">
        <v>440</v>
      </c>
    </row>
    <row r="107" spans="1:9" x14ac:dyDescent="0.25">
      <c r="A107" t="s">
        <v>441</v>
      </c>
      <c r="C107" s="3" t="str">
        <f>HYPERLINK("http://amigo.geneontology.org/amigo/term/GO:0004630","GO:0004630")</f>
        <v>GO:0004630</v>
      </c>
      <c r="D107" t="s">
        <v>442</v>
      </c>
      <c r="E107">
        <v>45</v>
      </c>
      <c r="F107">
        <v>11</v>
      </c>
      <c r="G107" s="4">
        <v>8.9362924856762106E-8</v>
      </c>
      <c r="H107" s="4">
        <v>4.2000574682678099E-6</v>
      </c>
      <c r="I107" t="s">
        <v>443</v>
      </c>
    </row>
    <row r="108" spans="1:9" x14ac:dyDescent="0.25">
      <c r="A108" t="s">
        <v>444</v>
      </c>
      <c r="C108" s="3" t="str">
        <f>HYPERLINK("http://amigo.geneontology.org/amigo/term/GO:0016052","GO:0016052")</f>
        <v>GO:0016052</v>
      </c>
      <c r="D108" t="s">
        <v>445</v>
      </c>
      <c r="E108">
        <v>452</v>
      </c>
      <c r="F108">
        <v>37</v>
      </c>
      <c r="G108" s="4">
        <v>1.03174584390605E-7</v>
      </c>
      <c r="H108" s="4">
        <v>4.74603088196785E-6</v>
      </c>
      <c r="I108" t="s">
        <v>446</v>
      </c>
    </row>
    <row r="109" spans="1:9" x14ac:dyDescent="0.25">
      <c r="A109" t="s">
        <v>447</v>
      </c>
      <c r="C109" s="3" t="str">
        <f>HYPERLINK("http://amigo.geneontology.org/amigo/term/GO:0008092","GO:0008092")</f>
        <v>GO:0008092</v>
      </c>
      <c r="D109" t="s">
        <v>448</v>
      </c>
      <c r="E109">
        <v>457</v>
      </c>
      <c r="F109">
        <v>37</v>
      </c>
      <c r="G109" s="4">
        <v>1.3587616700884201E-7</v>
      </c>
      <c r="H109" s="4">
        <v>6.2503036824067703E-6</v>
      </c>
      <c r="I109" t="s">
        <v>449</v>
      </c>
    </row>
    <row r="110" spans="1:9" x14ac:dyDescent="0.25">
      <c r="A110" t="s">
        <v>450</v>
      </c>
      <c r="C110" s="3" t="str">
        <f>HYPERLINK("http://amigo.geneontology.org/amigo/term/GO:0046839","GO:0046839")</f>
        <v>GO:0046839</v>
      </c>
      <c r="D110" t="s">
        <v>145</v>
      </c>
      <c r="E110">
        <v>57</v>
      </c>
      <c r="F110">
        <v>12</v>
      </c>
      <c r="G110" s="4">
        <v>1.3857165079154901E-7</v>
      </c>
      <c r="H110" s="4">
        <v>6.2357242856196996E-6</v>
      </c>
      <c r="I110" t="s">
        <v>451</v>
      </c>
    </row>
    <row r="111" spans="1:9" x14ac:dyDescent="0.25">
      <c r="A111" t="s">
        <v>452</v>
      </c>
      <c r="C111" s="3" t="str">
        <f>HYPERLINK("http://amigo.geneontology.org/amigo/term/GO:0046856","GO:0046856")</f>
        <v>GO:0046856</v>
      </c>
      <c r="D111" t="s">
        <v>146</v>
      </c>
      <c r="E111">
        <v>57</v>
      </c>
      <c r="F111">
        <v>12</v>
      </c>
      <c r="G111" s="4">
        <v>1.3857165079154901E-7</v>
      </c>
      <c r="H111" s="4">
        <v>6.2357242856196996E-6</v>
      </c>
      <c r="I111" t="s">
        <v>451</v>
      </c>
    </row>
    <row r="112" spans="1:9" x14ac:dyDescent="0.25">
      <c r="A112" t="s">
        <v>453</v>
      </c>
      <c r="C112" s="3" t="str">
        <f>HYPERLINK("http://amigo.geneontology.org/amigo/term/GO:0055114","GO:0055114")</f>
        <v>GO:0055114</v>
      </c>
      <c r="D112" t="s">
        <v>454</v>
      </c>
      <c r="E112">
        <v>6698</v>
      </c>
      <c r="F112">
        <v>279</v>
      </c>
      <c r="G112" s="4">
        <v>1.57336686033139E-7</v>
      </c>
      <c r="H112" s="4">
        <v>6.9228141854581399E-6</v>
      </c>
      <c r="I112" t="s">
        <v>455</v>
      </c>
    </row>
    <row r="113" spans="1:9" x14ac:dyDescent="0.25">
      <c r="A113" t="s">
        <v>456</v>
      </c>
      <c r="C113" s="3" t="str">
        <f>HYPERLINK("http://amigo.geneontology.org/amigo/term/GO:0016298","GO:0016298")</f>
        <v>GO:0016298</v>
      </c>
      <c r="D113" t="s">
        <v>457</v>
      </c>
      <c r="E113">
        <v>209</v>
      </c>
      <c r="F113">
        <v>23</v>
      </c>
      <c r="G113" s="4">
        <v>1.6237194456926901E-7</v>
      </c>
      <c r="H113" s="4">
        <v>7.1443655610478604E-6</v>
      </c>
      <c r="I113" t="s">
        <v>458</v>
      </c>
    </row>
    <row r="114" spans="1:9" x14ac:dyDescent="0.25">
      <c r="A114" t="s">
        <v>459</v>
      </c>
      <c r="C114" s="3" t="str">
        <f>HYPERLINK("http://amigo.geneontology.org/amigo/term/GO:0046488","GO:0046488")</f>
        <v>GO:0046488</v>
      </c>
      <c r="D114" t="s">
        <v>460</v>
      </c>
      <c r="E114">
        <v>298</v>
      </c>
      <c r="F114">
        <v>28</v>
      </c>
      <c r="G114" s="4">
        <v>2.25570724490883E-7</v>
      </c>
      <c r="H114" s="4">
        <v>9.6995411531079795E-6</v>
      </c>
      <c r="I114" t="s">
        <v>461</v>
      </c>
    </row>
    <row r="115" spans="1:9" x14ac:dyDescent="0.25">
      <c r="A115" t="s">
        <v>462</v>
      </c>
      <c r="C115" s="3" t="str">
        <f>HYPERLINK("http://amigo.geneontology.org/amigo/term/GO:0009932","GO:0009932")</f>
        <v>GO:0009932</v>
      </c>
      <c r="D115" t="s">
        <v>463</v>
      </c>
      <c r="E115">
        <v>71</v>
      </c>
      <c r="F115">
        <v>13</v>
      </c>
      <c r="G115" s="4">
        <v>2.3855625095159799E-7</v>
      </c>
      <c r="H115" s="4">
        <v>1.02579187909187E-5</v>
      </c>
      <c r="I115" t="s">
        <v>464</v>
      </c>
    </row>
    <row r="116" spans="1:9" x14ac:dyDescent="0.25">
      <c r="A116" t="s">
        <v>465</v>
      </c>
      <c r="C116" s="3" t="str">
        <f>HYPERLINK("http://amigo.geneontology.org/amigo/term/GO:0009827","GO:0009827")</f>
        <v>GO:0009827</v>
      </c>
      <c r="D116" t="s">
        <v>466</v>
      </c>
      <c r="E116">
        <v>31</v>
      </c>
      <c r="F116">
        <v>9</v>
      </c>
      <c r="G116" s="4">
        <v>2.68055847339108E-7</v>
      </c>
      <c r="H116" s="4">
        <v>1.15264014355816E-5</v>
      </c>
      <c r="I116" t="s">
        <v>467</v>
      </c>
    </row>
    <row r="117" spans="1:9" x14ac:dyDescent="0.25">
      <c r="A117" t="s">
        <v>468</v>
      </c>
      <c r="C117" s="3" t="str">
        <f>HYPERLINK("http://amigo.geneontology.org/amigo/term/GO:0044264","GO:0044264")</f>
        <v>GO:0044264</v>
      </c>
      <c r="D117" t="s">
        <v>469</v>
      </c>
      <c r="E117">
        <v>745</v>
      </c>
      <c r="F117">
        <v>50</v>
      </c>
      <c r="G117" s="4">
        <v>3.5586958272708402E-7</v>
      </c>
      <c r="H117" s="4">
        <v>1.49465224745375E-5</v>
      </c>
      <c r="I117" t="s">
        <v>470</v>
      </c>
    </row>
    <row r="118" spans="1:9" x14ac:dyDescent="0.25">
      <c r="A118" t="s">
        <v>471</v>
      </c>
      <c r="C118" s="3" t="str">
        <f>HYPERLINK("http://amigo.geneontology.org/amigo/term/GO:0071704","GO:0071704")</f>
        <v>GO:0071704</v>
      </c>
      <c r="D118" t="s">
        <v>472</v>
      </c>
      <c r="E118">
        <v>24369</v>
      </c>
      <c r="F118">
        <v>862</v>
      </c>
      <c r="G118" s="4">
        <v>4.35620609143807E-7</v>
      </c>
      <c r="H118" s="4">
        <v>1.8296065584039798E-5</v>
      </c>
      <c r="I118" t="s">
        <v>473</v>
      </c>
    </row>
    <row r="119" spans="1:9" x14ac:dyDescent="0.25">
      <c r="A119" t="s">
        <v>474</v>
      </c>
      <c r="C119" s="3" t="str">
        <f>HYPERLINK("http://amigo.geneontology.org/amigo/term/GO:0016717","GO:0016717")</f>
        <v>GO:0016717</v>
      </c>
      <c r="D119" t="s">
        <v>475</v>
      </c>
      <c r="E119">
        <v>64</v>
      </c>
      <c r="F119">
        <v>12</v>
      </c>
      <c r="G119" s="4">
        <v>5.2725034302621301E-7</v>
      </c>
      <c r="H119" s="4">
        <v>2.16172640640747E-5</v>
      </c>
      <c r="I119" t="s">
        <v>476</v>
      </c>
    </row>
    <row r="120" spans="1:9" x14ac:dyDescent="0.25">
      <c r="A120" t="s">
        <v>477</v>
      </c>
      <c r="C120" s="3" t="str">
        <f>HYPERLINK("http://amigo.geneontology.org/amigo/term/GO:0015491","GO:0015491")</f>
        <v>GO:0015491</v>
      </c>
      <c r="D120" t="s">
        <v>478</v>
      </c>
      <c r="E120">
        <v>43</v>
      </c>
      <c r="F120">
        <v>10</v>
      </c>
      <c r="G120" s="4">
        <v>5.7068287981433497E-7</v>
      </c>
      <c r="H120" s="4">
        <v>2.33979980723877E-5</v>
      </c>
      <c r="I120" t="s">
        <v>479</v>
      </c>
    </row>
    <row r="121" spans="1:9" x14ac:dyDescent="0.25">
      <c r="A121" t="s">
        <v>480</v>
      </c>
      <c r="C121" s="3" t="str">
        <f>HYPERLINK("http://amigo.geneontology.org/amigo/term/GO:0005985","GO:0005985")</f>
        <v>GO:0005985</v>
      </c>
      <c r="D121" t="s">
        <v>481</v>
      </c>
      <c r="E121">
        <v>55</v>
      </c>
      <c r="F121">
        <v>11</v>
      </c>
      <c r="G121" s="4">
        <v>7.9391558913562802E-7</v>
      </c>
      <c r="H121" s="4">
        <v>3.2550539154560697E-5</v>
      </c>
      <c r="I121" t="s">
        <v>379</v>
      </c>
    </row>
    <row r="122" spans="1:9" x14ac:dyDescent="0.25">
      <c r="A122" t="s">
        <v>482</v>
      </c>
      <c r="C122" s="3" t="str">
        <f>HYPERLINK("http://amigo.geneontology.org/amigo/term/GO:0006644","GO:0006644")</f>
        <v>GO:0006644</v>
      </c>
      <c r="D122" t="s">
        <v>483</v>
      </c>
      <c r="E122">
        <v>750</v>
      </c>
      <c r="F122">
        <v>49</v>
      </c>
      <c r="G122" s="4">
        <v>9.9894641103484396E-7</v>
      </c>
      <c r="H122" s="4">
        <v>3.9957856441393699E-5</v>
      </c>
      <c r="I122" t="s">
        <v>484</v>
      </c>
    </row>
    <row r="123" spans="1:9" x14ac:dyDescent="0.25">
      <c r="A123" t="s">
        <v>485</v>
      </c>
      <c r="C123" s="3" t="str">
        <f>HYPERLINK("http://amigo.geneontology.org/amigo/term/GO:0005545","GO:0005545")</f>
        <v>GO:0005545</v>
      </c>
      <c r="D123" t="s">
        <v>486</v>
      </c>
      <c r="E123">
        <v>36</v>
      </c>
      <c r="F123">
        <v>9</v>
      </c>
      <c r="G123" s="4">
        <v>1.0892722054565799E-6</v>
      </c>
      <c r="H123" s="4">
        <v>4.2481616012806901E-5</v>
      </c>
      <c r="I123" t="s">
        <v>487</v>
      </c>
    </row>
    <row r="124" spans="1:9" x14ac:dyDescent="0.25">
      <c r="A124" t="s">
        <v>488</v>
      </c>
      <c r="C124" s="3" t="str">
        <f>HYPERLINK("http://amigo.geneontology.org/amigo/term/GO:0048268","GO:0048268")</f>
        <v>GO:0048268</v>
      </c>
      <c r="D124" t="s">
        <v>489</v>
      </c>
      <c r="E124">
        <v>36</v>
      </c>
      <c r="F124">
        <v>9</v>
      </c>
      <c r="G124" s="4">
        <v>1.0892722054565799E-6</v>
      </c>
      <c r="H124" s="4">
        <v>4.3570888218263498E-5</v>
      </c>
      <c r="I124" t="s">
        <v>487</v>
      </c>
    </row>
    <row r="125" spans="1:9" x14ac:dyDescent="0.25">
      <c r="A125" t="s">
        <v>490</v>
      </c>
      <c r="C125" s="3" t="str">
        <f>HYPERLINK("http://amigo.geneontology.org/amigo/term/GO:0046854","GO:0046854")</f>
        <v>GO:0046854</v>
      </c>
      <c r="D125" t="s">
        <v>491</v>
      </c>
      <c r="E125">
        <v>81</v>
      </c>
      <c r="F125">
        <v>13</v>
      </c>
      <c r="G125" s="4">
        <v>1.1581126145687E-6</v>
      </c>
      <c r="H125" s="4">
        <v>4.5166391968179398E-5</v>
      </c>
      <c r="I125" t="s">
        <v>492</v>
      </c>
    </row>
    <row r="126" spans="1:9" x14ac:dyDescent="0.25">
      <c r="A126" t="s">
        <v>493</v>
      </c>
      <c r="C126" s="3" t="str">
        <f>HYPERLINK("http://amigo.geneontology.org/amigo/term/GO:0004133","GO:0004133")</f>
        <v>GO:0004133</v>
      </c>
      <c r="D126" t="s">
        <v>494</v>
      </c>
      <c r="E126">
        <v>13</v>
      </c>
      <c r="F126">
        <v>6</v>
      </c>
      <c r="G126" s="4">
        <v>1.20816955933719E-6</v>
      </c>
      <c r="H126" s="4">
        <v>4.7118612814150402E-5</v>
      </c>
      <c r="I126" t="s">
        <v>495</v>
      </c>
    </row>
    <row r="127" spans="1:9" x14ac:dyDescent="0.25">
      <c r="A127" t="s">
        <v>496</v>
      </c>
      <c r="C127" s="3" t="str">
        <f>HYPERLINK("http://amigo.geneontology.org/amigo/term/GO:0046834","GO:0046834")</f>
        <v>GO:0046834</v>
      </c>
      <c r="D127" t="s">
        <v>497</v>
      </c>
      <c r="E127">
        <v>82</v>
      </c>
      <c r="F127">
        <v>13</v>
      </c>
      <c r="G127" s="4">
        <v>1.3375732044762101E-6</v>
      </c>
      <c r="H127" s="4">
        <v>5.0827781770096202E-5</v>
      </c>
      <c r="I127" t="s">
        <v>492</v>
      </c>
    </row>
    <row r="128" spans="1:9" x14ac:dyDescent="0.25">
      <c r="A128" t="s">
        <v>498</v>
      </c>
      <c r="C128" s="3" t="str">
        <f>HYPERLINK("http://amigo.geneontology.org/amigo/term/GO:0000234","GO:0000234")</f>
        <v>GO:0000234</v>
      </c>
      <c r="D128" t="s">
        <v>499</v>
      </c>
      <c r="E128">
        <v>8</v>
      </c>
      <c r="F128">
        <v>5</v>
      </c>
      <c r="G128" s="4">
        <v>1.43006462724353E-6</v>
      </c>
      <c r="H128" s="4">
        <v>5.4342455835254297E-5</v>
      </c>
      <c r="I128" t="s">
        <v>500</v>
      </c>
    </row>
    <row r="129" spans="1:9" x14ac:dyDescent="0.25">
      <c r="A129" t="s">
        <v>501</v>
      </c>
      <c r="C129" s="3" t="str">
        <f>HYPERLINK("http://amigo.geneontology.org/amigo/term/GO:0006656","GO:0006656")</f>
        <v>GO:0006656</v>
      </c>
      <c r="D129" t="s">
        <v>502</v>
      </c>
      <c r="E129">
        <v>8</v>
      </c>
      <c r="F129">
        <v>5</v>
      </c>
      <c r="G129" s="4">
        <v>1.43006462724353E-6</v>
      </c>
      <c r="H129" s="4">
        <v>5.4342455835254297E-5</v>
      </c>
      <c r="I129" t="s">
        <v>500</v>
      </c>
    </row>
    <row r="130" spans="1:9" x14ac:dyDescent="0.25">
      <c r="A130" t="s">
        <v>503</v>
      </c>
      <c r="C130" s="3" t="str">
        <f>HYPERLINK("http://amigo.geneontology.org/amigo/term/GO:0017048","GO:0017048")</f>
        <v>GO:0017048</v>
      </c>
      <c r="D130" t="s">
        <v>504</v>
      </c>
      <c r="E130">
        <v>38</v>
      </c>
      <c r="F130">
        <v>9</v>
      </c>
      <c r="G130" s="4">
        <v>1.7841766164852699E-6</v>
      </c>
      <c r="H130" s="4">
        <v>6.6014534809955106E-5</v>
      </c>
      <c r="I130" t="s">
        <v>505</v>
      </c>
    </row>
    <row r="131" spans="1:9" x14ac:dyDescent="0.25">
      <c r="A131" t="s">
        <v>506</v>
      </c>
      <c r="C131" s="3" t="str">
        <f>HYPERLINK("http://amigo.geneontology.org/amigo/term/GO:0022839","GO:0022839")</f>
        <v>GO:0022839</v>
      </c>
      <c r="D131" t="s">
        <v>507</v>
      </c>
      <c r="E131">
        <v>224</v>
      </c>
      <c r="F131">
        <v>22</v>
      </c>
      <c r="G131" s="4">
        <v>2.0600696841499E-6</v>
      </c>
      <c r="H131" s="4">
        <v>7.6222578313546495E-5</v>
      </c>
      <c r="I131" t="s">
        <v>508</v>
      </c>
    </row>
    <row r="132" spans="1:9" x14ac:dyDescent="0.25">
      <c r="A132" t="s">
        <v>509</v>
      </c>
      <c r="C132" s="3" t="str">
        <f>HYPERLINK("http://amigo.geneontology.org/amigo/term/GO:0043086","GO:0043086")</f>
        <v>GO:0043086</v>
      </c>
      <c r="D132" t="s">
        <v>510</v>
      </c>
      <c r="E132">
        <v>209</v>
      </c>
      <c r="F132">
        <v>21</v>
      </c>
      <c r="G132" s="4">
        <v>2.4221367418646498E-6</v>
      </c>
      <c r="H132" s="4">
        <v>8.9619059448992099E-5</v>
      </c>
      <c r="I132" t="s">
        <v>511</v>
      </c>
    </row>
    <row r="133" spans="1:9" x14ac:dyDescent="0.25">
      <c r="A133" t="s">
        <v>512</v>
      </c>
      <c r="C133" s="3" t="str">
        <f>HYPERLINK("http://amigo.geneontology.org/amigo/term/GO:0015629","GO:0015629")</f>
        <v>GO:0015629</v>
      </c>
      <c r="D133" t="s">
        <v>513</v>
      </c>
      <c r="E133">
        <v>100</v>
      </c>
      <c r="F133">
        <v>14</v>
      </c>
      <c r="G133" s="4">
        <v>2.46527813534679E-6</v>
      </c>
      <c r="H133" s="4">
        <v>8.8750012872484399E-5</v>
      </c>
      <c r="I133" t="s">
        <v>514</v>
      </c>
    </row>
    <row r="134" spans="1:9" x14ac:dyDescent="0.25">
      <c r="A134" t="s">
        <v>515</v>
      </c>
      <c r="C134" s="3" t="str">
        <f>HYPERLINK("http://amigo.geneontology.org/amigo/term/GO:0009826","GO:0009826")</f>
        <v>GO:0009826</v>
      </c>
      <c r="D134" t="s">
        <v>516</v>
      </c>
      <c r="E134">
        <v>100</v>
      </c>
      <c r="F134">
        <v>14</v>
      </c>
      <c r="G134" s="4">
        <v>2.46527813534679E-6</v>
      </c>
      <c r="H134" s="4">
        <v>9.1215291007831195E-5</v>
      </c>
      <c r="I134" t="s">
        <v>517</v>
      </c>
    </row>
    <row r="135" spans="1:9" x14ac:dyDescent="0.25">
      <c r="A135" t="s">
        <v>518</v>
      </c>
      <c r="C135" s="3" t="str">
        <f>HYPERLINK("http://amigo.geneontology.org/amigo/term/GO:0022836","GO:0022836")</f>
        <v>GO:0022836</v>
      </c>
      <c r="D135" t="s">
        <v>519</v>
      </c>
      <c r="E135">
        <v>227</v>
      </c>
      <c r="F135">
        <v>22</v>
      </c>
      <c r="G135" s="4">
        <v>2.56568903087629E-6</v>
      </c>
      <c r="H135" s="4">
        <v>9.2364805111546495E-5</v>
      </c>
      <c r="I135" t="s">
        <v>508</v>
      </c>
    </row>
    <row r="136" spans="1:9" x14ac:dyDescent="0.25">
      <c r="A136" t="s">
        <v>520</v>
      </c>
      <c r="C136" s="3" t="str">
        <f>HYPERLINK("http://amigo.geneontology.org/amigo/term/GO:0080019","GO:0080019")</f>
        <v>GO:0080019</v>
      </c>
      <c r="D136" t="s">
        <v>138</v>
      </c>
      <c r="E136">
        <v>40</v>
      </c>
      <c r="F136">
        <v>9</v>
      </c>
      <c r="G136" s="4">
        <v>2.8311768426397798E-6</v>
      </c>
      <c r="H136" s="4">
        <v>1.01922366335032E-4</v>
      </c>
      <c r="I136" t="s">
        <v>521</v>
      </c>
    </row>
    <row r="137" spans="1:9" x14ac:dyDescent="0.25">
      <c r="A137" t="s">
        <v>522</v>
      </c>
      <c r="C137" s="3" t="str">
        <f>HYPERLINK("http://amigo.geneontology.org/amigo/term/GO:0016829","GO:0016829")</f>
        <v>GO:0016829</v>
      </c>
      <c r="D137" t="s">
        <v>523</v>
      </c>
      <c r="E137">
        <v>984</v>
      </c>
      <c r="F137">
        <v>58</v>
      </c>
      <c r="G137" s="4">
        <v>2.8351354040315298E-6</v>
      </c>
      <c r="H137" s="4">
        <v>9.9229739141103705E-5</v>
      </c>
      <c r="I137" t="s">
        <v>524</v>
      </c>
    </row>
    <row r="138" spans="1:9" x14ac:dyDescent="0.25">
      <c r="A138" t="s">
        <v>525</v>
      </c>
      <c r="C138" s="3" t="str">
        <f>HYPERLINK("http://amigo.geneontology.org/amigo/term/GO:0005983","GO:0005983")</f>
        <v>GO:0005983</v>
      </c>
      <c r="D138" t="s">
        <v>526</v>
      </c>
      <c r="E138">
        <v>22</v>
      </c>
      <c r="F138">
        <v>7</v>
      </c>
      <c r="G138" s="4">
        <v>2.9581258023417798E-6</v>
      </c>
      <c r="H138" s="4">
        <v>1.03534403081962E-4</v>
      </c>
      <c r="I138" t="s">
        <v>527</v>
      </c>
    </row>
    <row r="139" spans="1:9" x14ac:dyDescent="0.25">
      <c r="A139" t="s">
        <v>528</v>
      </c>
      <c r="C139" s="3" t="str">
        <f>HYPERLINK("http://amigo.geneontology.org/amigo/term/GO:0016311","GO:0016311")</f>
        <v>GO:0016311</v>
      </c>
      <c r="D139" t="s">
        <v>529</v>
      </c>
      <c r="E139">
        <v>565</v>
      </c>
      <c r="F139">
        <v>39</v>
      </c>
      <c r="G139" s="4">
        <v>3.3880795896544301E-6</v>
      </c>
      <c r="H139" s="4">
        <v>1.18582785637905E-4</v>
      </c>
      <c r="I139" t="s">
        <v>530</v>
      </c>
    </row>
    <row r="140" spans="1:9" x14ac:dyDescent="0.25">
      <c r="A140" t="s">
        <v>531</v>
      </c>
      <c r="C140" s="3" t="str">
        <f>HYPERLINK("http://amigo.geneontology.org/amigo/term/GO:0032787","GO:0032787")</f>
        <v>GO:0032787</v>
      </c>
      <c r="D140" t="s">
        <v>532</v>
      </c>
      <c r="E140">
        <v>1450</v>
      </c>
      <c r="F140">
        <v>77</v>
      </c>
      <c r="G140" s="4">
        <v>3.81019535453877E-6</v>
      </c>
      <c r="H140" s="4">
        <v>1.3335683740885699E-4</v>
      </c>
      <c r="I140" t="s">
        <v>533</v>
      </c>
    </row>
    <row r="141" spans="1:9" x14ac:dyDescent="0.25">
      <c r="A141" t="s">
        <v>534</v>
      </c>
      <c r="C141" s="3" t="str">
        <f>HYPERLINK("http://amigo.geneontology.org/amigo/term/GO:0005085","GO:0005085")</f>
        <v>GO:0005085</v>
      </c>
      <c r="D141" t="s">
        <v>535</v>
      </c>
      <c r="E141">
        <v>64</v>
      </c>
      <c r="F141">
        <v>11</v>
      </c>
      <c r="G141" s="4">
        <v>3.8273079554854099E-6</v>
      </c>
      <c r="H141" s="4">
        <v>1.30128470486504E-4</v>
      </c>
      <c r="I141" t="s">
        <v>536</v>
      </c>
    </row>
    <row r="142" spans="1:9" x14ac:dyDescent="0.25">
      <c r="A142" t="s">
        <v>537</v>
      </c>
      <c r="C142" s="3" t="str">
        <f>HYPERLINK("http://amigo.geneontology.org/amigo/term/GO:0009664","GO:0009664")</f>
        <v>GO:0009664</v>
      </c>
      <c r="D142" t="s">
        <v>538</v>
      </c>
      <c r="E142">
        <v>234</v>
      </c>
      <c r="F142">
        <v>22</v>
      </c>
      <c r="G142" s="4">
        <v>4.2130182966020198E-6</v>
      </c>
      <c r="H142" s="4">
        <v>1.43242622084468E-4</v>
      </c>
      <c r="I142" t="s">
        <v>539</v>
      </c>
    </row>
    <row r="143" spans="1:9" x14ac:dyDescent="0.25">
      <c r="A143" t="s">
        <v>540</v>
      </c>
      <c r="C143" s="3" t="str">
        <f>HYPERLINK("http://amigo.geneontology.org/amigo/term/GO:0030258","GO:0030258")</f>
        <v>GO:0030258</v>
      </c>
      <c r="D143" t="s">
        <v>541</v>
      </c>
      <c r="E143">
        <v>289</v>
      </c>
      <c r="F143">
        <v>25</v>
      </c>
      <c r="G143" s="4">
        <v>4.3273299864376799E-6</v>
      </c>
      <c r="H143" s="4">
        <v>1.4712921953888099E-4</v>
      </c>
      <c r="I143" t="s">
        <v>542</v>
      </c>
    </row>
    <row r="144" spans="1:9" x14ac:dyDescent="0.25">
      <c r="A144" t="s">
        <v>543</v>
      </c>
      <c r="C144" s="3" t="str">
        <f>HYPERLINK("http://amigo.geneontology.org/amigo/term/GO:0045490","GO:0045490")</f>
        <v>GO:0045490</v>
      </c>
      <c r="D144" t="s">
        <v>544</v>
      </c>
      <c r="E144">
        <v>32</v>
      </c>
      <c r="F144">
        <v>8</v>
      </c>
      <c r="G144" s="4">
        <v>4.3464597618552499E-6</v>
      </c>
      <c r="H144" s="4">
        <v>1.4343317214122301E-4</v>
      </c>
      <c r="I144" t="s">
        <v>545</v>
      </c>
    </row>
    <row r="145" spans="1:9" x14ac:dyDescent="0.25">
      <c r="A145" t="s">
        <v>546</v>
      </c>
      <c r="C145" s="3" t="str">
        <f>HYPERLINK("http://amigo.geneontology.org/amigo/term/GO:0030276","GO:0030276")</f>
        <v>GO:0030276</v>
      </c>
      <c r="D145" t="s">
        <v>547</v>
      </c>
      <c r="E145">
        <v>42</v>
      </c>
      <c r="F145">
        <v>9</v>
      </c>
      <c r="G145" s="4">
        <v>4.3675636552776399E-6</v>
      </c>
      <c r="H145" s="4">
        <v>1.4412960062416201E-4</v>
      </c>
      <c r="I145" t="s">
        <v>487</v>
      </c>
    </row>
    <row r="146" spans="1:9" x14ac:dyDescent="0.25">
      <c r="A146" t="s">
        <v>548</v>
      </c>
      <c r="C146" s="3" t="str">
        <f>HYPERLINK("http://amigo.geneontology.org/amigo/term/GO:0045300","GO:0045300")</f>
        <v>GO:0045300</v>
      </c>
      <c r="D146" t="s">
        <v>549</v>
      </c>
      <c r="E146">
        <v>33</v>
      </c>
      <c r="F146">
        <v>8</v>
      </c>
      <c r="G146" s="4">
        <v>5.5821116342471303E-6</v>
      </c>
      <c r="H146" s="4">
        <v>1.8420968393015501E-4</v>
      </c>
      <c r="I146" t="s">
        <v>550</v>
      </c>
    </row>
    <row r="147" spans="1:9" x14ac:dyDescent="0.25">
      <c r="A147" t="s">
        <v>551</v>
      </c>
      <c r="C147" s="3" t="str">
        <f>HYPERLINK("http://amigo.geneontology.org/amigo/term/GO:0044092","GO:0044092")</f>
        <v>GO:0044092</v>
      </c>
      <c r="D147" t="s">
        <v>552</v>
      </c>
      <c r="E147">
        <v>221</v>
      </c>
      <c r="F147">
        <v>21</v>
      </c>
      <c r="G147" s="4">
        <v>5.8423147746398296E-6</v>
      </c>
      <c r="H147" s="4">
        <v>1.92796387563114E-4</v>
      </c>
      <c r="I147" t="s">
        <v>511</v>
      </c>
    </row>
    <row r="148" spans="1:9" x14ac:dyDescent="0.25">
      <c r="A148" t="s">
        <v>553</v>
      </c>
      <c r="C148" s="3" t="str">
        <f>HYPERLINK("http://amigo.geneontology.org/amigo/term/GO:0016837","GO:0016837")</f>
        <v>GO:0016837</v>
      </c>
      <c r="D148" t="s">
        <v>554</v>
      </c>
      <c r="E148">
        <v>10</v>
      </c>
      <c r="F148">
        <v>5</v>
      </c>
      <c r="G148" s="4">
        <v>6.11068462866222E-6</v>
      </c>
      <c r="H148" s="4">
        <v>1.9554190811719099E-4</v>
      </c>
      <c r="I148" t="s">
        <v>555</v>
      </c>
    </row>
    <row r="149" spans="1:9" x14ac:dyDescent="0.25">
      <c r="A149" t="s">
        <v>556</v>
      </c>
      <c r="C149" s="3" t="str">
        <f>HYPERLINK("http://amigo.geneontology.org/amigo/term/GO:0030570","GO:0030570")</f>
        <v>GO:0030570</v>
      </c>
      <c r="D149" t="s">
        <v>557</v>
      </c>
      <c r="E149">
        <v>10</v>
      </c>
      <c r="F149">
        <v>5</v>
      </c>
      <c r="G149" s="4">
        <v>6.11068462866222E-6</v>
      </c>
      <c r="H149" s="4">
        <v>1.9554190811719099E-4</v>
      </c>
      <c r="I149" t="s">
        <v>555</v>
      </c>
    </row>
    <row r="150" spans="1:9" x14ac:dyDescent="0.25">
      <c r="A150" t="s">
        <v>558</v>
      </c>
      <c r="C150" s="3" t="str">
        <f>HYPERLINK("http://amigo.geneontology.org/amigo/term/GO:0009251","GO:0009251")</f>
        <v>GO:0009251</v>
      </c>
      <c r="D150" t="s">
        <v>559</v>
      </c>
      <c r="E150">
        <v>44</v>
      </c>
      <c r="F150">
        <v>9</v>
      </c>
      <c r="G150" s="4">
        <v>6.5694964638430899E-6</v>
      </c>
      <c r="H150" s="4">
        <v>2.1022388684297801E-4</v>
      </c>
      <c r="I150" t="s">
        <v>560</v>
      </c>
    </row>
    <row r="151" spans="1:9" x14ac:dyDescent="0.25">
      <c r="A151" t="s">
        <v>561</v>
      </c>
      <c r="C151" s="3" t="str">
        <f>HYPERLINK("http://amigo.geneontology.org/amigo/term/GO:0044247","GO:0044247")</f>
        <v>GO:0044247</v>
      </c>
      <c r="D151" t="s">
        <v>562</v>
      </c>
      <c r="E151">
        <v>44</v>
      </c>
      <c r="F151">
        <v>9</v>
      </c>
      <c r="G151" s="4">
        <v>6.5694964638430899E-6</v>
      </c>
      <c r="H151" s="4">
        <v>2.1022388684297801E-4</v>
      </c>
      <c r="I151" t="s">
        <v>560</v>
      </c>
    </row>
    <row r="152" spans="1:9" x14ac:dyDescent="0.25">
      <c r="A152" t="s">
        <v>563</v>
      </c>
      <c r="C152" s="3" t="str">
        <f>HYPERLINK("http://amigo.geneontology.org/amigo/term/GO:0008610","GO:0008610")</f>
        <v>GO:0008610</v>
      </c>
      <c r="D152" t="s">
        <v>564</v>
      </c>
      <c r="E152">
        <v>1402</v>
      </c>
      <c r="F152">
        <v>74</v>
      </c>
      <c r="G152" s="4">
        <v>7.1730376617766097E-6</v>
      </c>
      <c r="H152" s="4">
        <v>2.2953720517685099E-4</v>
      </c>
      <c r="I152" t="s">
        <v>565</v>
      </c>
    </row>
    <row r="153" spans="1:9" x14ac:dyDescent="0.25">
      <c r="A153" t="s">
        <v>566</v>
      </c>
      <c r="C153" s="3" t="str">
        <f>HYPERLINK("http://amigo.geneontology.org/amigo/term/GO:0004650","GO:0004650")</f>
        <v>GO:0004650</v>
      </c>
      <c r="D153" t="s">
        <v>567</v>
      </c>
      <c r="E153">
        <v>140</v>
      </c>
      <c r="F153">
        <v>16</v>
      </c>
      <c r="G153" s="4">
        <v>7.2891163342793298E-6</v>
      </c>
      <c r="H153" s="4">
        <v>2.2596260636265899E-4</v>
      </c>
      <c r="I153" t="s">
        <v>568</v>
      </c>
    </row>
    <row r="154" spans="1:9" x14ac:dyDescent="0.25">
      <c r="A154" t="s">
        <v>569</v>
      </c>
      <c r="C154" s="3" t="str">
        <f>HYPERLINK("http://amigo.geneontology.org/amigo/term/GO:0070290","GO:0070290")</f>
        <v>GO:0070290</v>
      </c>
      <c r="D154" t="s">
        <v>570</v>
      </c>
      <c r="E154">
        <v>17</v>
      </c>
      <c r="F154">
        <v>6</v>
      </c>
      <c r="G154" s="4">
        <v>7.8352726774977403E-6</v>
      </c>
      <c r="H154" s="4">
        <v>2.4289345300242999E-4</v>
      </c>
      <c r="I154" t="s">
        <v>571</v>
      </c>
    </row>
    <row r="155" spans="1:9" x14ac:dyDescent="0.25">
      <c r="A155" t="s">
        <v>572</v>
      </c>
      <c r="C155" s="3" t="str">
        <f>HYPERLINK("http://amigo.geneontology.org/amigo/term/GO:0030136","GO:0030136")</f>
        <v>GO:0030136</v>
      </c>
      <c r="D155" t="s">
        <v>573</v>
      </c>
      <c r="E155">
        <v>57</v>
      </c>
      <c r="F155">
        <v>10</v>
      </c>
      <c r="G155" s="4">
        <v>8.6847470507184206E-6</v>
      </c>
      <c r="H155" s="4">
        <v>2.6922715857227101E-4</v>
      </c>
      <c r="I155" t="s">
        <v>574</v>
      </c>
    </row>
    <row r="156" spans="1:9" x14ac:dyDescent="0.25">
      <c r="A156" t="s">
        <v>575</v>
      </c>
      <c r="C156" s="3" t="str">
        <f>HYPERLINK("http://amigo.geneontology.org/amigo/term/GO:0016459","GO:0016459")</f>
        <v>GO:0016459</v>
      </c>
      <c r="D156" t="s">
        <v>576</v>
      </c>
      <c r="E156">
        <v>35</v>
      </c>
      <c r="F156">
        <v>8</v>
      </c>
      <c r="G156" s="4">
        <v>8.9577737926481198E-6</v>
      </c>
      <c r="H156" s="4">
        <v>2.7769098757209098E-4</v>
      </c>
      <c r="I156" t="s">
        <v>577</v>
      </c>
    </row>
    <row r="157" spans="1:9" x14ac:dyDescent="0.25">
      <c r="A157" t="s">
        <v>578</v>
      </c>
      <c r="C157" s="3" t="str">
        <f>HYPERLINK("http://amigo.geneontology.org/amigo/term/GO:0099516","GO:0099516")</f>
        <v>GO:0099516</v>
      </c>
      <c r="D157" t="s">
        <v>579</v>
      </c>
      <c r="E157">
        <v>58</v>
      </c>
      <c r="F157">
        <v>10</v>
      </c>
      <c r="G157" s="4">
        <v>1.0204891094809301E-5</v>
      </c>
      <c r="H157" s="4">
        <v>3.0614673284428101E-4</v>
      </c>
      <c r="I157" t="s">
        <v>479</v>
      </c>
    </row>
    <row r="158" spans="1:9" x14ac:dyDescent="0.25">
      <c r="A158" t="s">
        <v>580</v>
      </c>
      <c r="C158" s="3" t="str">
        <f>HYPERLINK("http://amigo.geneontology.org/amigo/term/GO:0043094","GO:0043094")</f>
        <v>GO:0043094</v>
      </c>
      <c r="D158" t="s">
        <v>581</v>
      </c>
      <c r="E158">
        <v>212</v>
      </c>
      <c r="F158">
        <v>20</v>
      </c>
      <c r="G158" s="4">
        <v>1.0725986686891801E-5</v>
      </c>
      <c r="H158" s="4">
        <v>3.2177960060675499E-4</v>
      </c>
      <c r="I158" t="s">
        <v>385</v>
      </c>
    </row>
    <row r="159" spans="1:9" x14ac:dyDescent="0.25">
      <c r="A159" t="s">
        <v>582</v>
      </c>
      <c r="C159" s="3" t="str">
        <f>HYPERLINK("http://amigo.geneontology.org/amigo/term/GO:0004134","GO:0004134")</f>
        <v>GO:0004134</v>
      </c>
      <c r="D159" t="s">
        <v>583</v>
      </c>
      <c r="E159">
        <v>6</v>
      </c>
      <c r="F159">
        <v>4</v>
      </c>
      <c r="G159" s="4">
        <v>1.28109956915165E-5</v>
      </c>
      <c r="H159" s="4">
        <v>3.8432987074549598E-4</v>
      </c>
      <c r="I159" t="s">
        <v>584</v>
      </c>
    </row>
    <row r="160" spans="1:9" x14ac:dyDescent="0.25">
      <c r="A160" t="s">
        <v>585</v>
      </c>
      <c r="C160" s="3" t="str">
        <f>HYPERLINK("http://amigo.geneontology.org/amigo/term/GO:0000025","GO:0000025")</f>
        <v>GO:0000025</v>
      </c>
      <c r="D160" t="s">
        <v>586</v>
      </c>
      <c r="E160">
        <v>6</v>
      </c>
      <c r="F160">
        <v>4</v>
      </c>
      <c r="G160" s="4">
        <v>1.28109956915165E-5</v>
      </c>
      <c r="H160" s="4">
        <v>3.8432987074549598E-4</v>
      </c>
      <c r="I160" t="s">
        <v>584</v>
      </c>
    </row>
    <row r="161" spans="1:9" x14ac:dyDescent="0.25">
      <c r="A161" t="s">
        <v>587</v>
      </c>
      <c r="C161" s="3" t="str">
        <f>HYPERLINK("http://amigo.geneontology.org/amigo/term/GO:0005088","GO:0005088")</f>
        <v>GO:0005088</v>
      </c>
      <c r="D161" t="s">
        <v>588</v>
      </c>
      <c r="E161">
        <v>37</v>
      </c>
      <c r="F161">
        <v>8</v>
      </c>
      <c r="G161" s="4">
        <v>1.39110099270856E-5</v>
      </c>
      <c r="H161" s="4">
        <v>4.0341928788548397E-4</v>
      </c>
      <c r="I161" t="s">
        <v>589</v>
      </c>
    </row>
    <row r="162" spans="1:9" x14ac:dyDescent="0.25">
      <c r="A162" t="s">
        <v>590</v>
      </c>
      <c r="C162" s="3" t="str">
        <f>HYPERLINK("http://amigo.geneontology.org/amigo/term/GO:0005089","GO:0005089")</f>
        <v>GO:0005089</v>
      </c>
      <c r="D162" t="s">
        <v>591</v>
      </c>
      <c r="E162">
        <v>37</v>
      </c>
      <c r="F162">
        <v>8</v>
      </c>
      <c r="G162" s="4">
        <v>1.39110099270856E-5</v>
      </c>
      <c r="H162" s="4">
        <v>4.1733029781257001E-4</v>
      </c>
      <c r="I162" t="s">
        <v>589</v>
      </c>
    </row>
    <row r="163" spans="1:9" x14ac:dyDescent="0.25">
      <c r="A163" t="s">
        <v>592</v>
      </c>
      <c r="C163" s="3" t="str">
        <f>HYPERLINK("http://amigo.geneontology.org/amigo/term/GO:0070588","GO:0070588")</f>
        <v>GO:0070588</v>
      </c>
      <c r="D163" t="s">
        <v>593</v>
      </c>
      <c r="E163">
        <v>48</v>
      </c>
      <c r="F163">
        <v>9</v>
      </c>
      <c r="G163" s="4">
        <v>1.3911499826979699E-5</v>
      </c>
      <c r="H163" s="4">
        <v>4.0343349498241299E-4</v>
      </c>
      <c r="I163" t="s">
        <v>594</v>
      </c>
    </row>
    <row r="164" spans="1:9" x14ac:dyDescent="0.25">
      <c r="A164" t="s">
        <v>595</v>
      </c>
      <c r="C164" s="3" t="str">
        <f>HYPERLINK("http://amigo.geneontology.org/amigo/term/GO:0071669","GO:0071669")</f>
        <v>GO:0071669</v>
      </c>
      <c r="D164" t="s">
        <v>596</v>
      </c>
      <c r="E164">
        <v>290</v>
      </c>
      <c r="F164">
        <v>24</v>
      </c>
      <c r="G164" s="4">
        <v>1.39650104445389E-5</v>
      </c>
      <c r="H164" s="4">
        <v>4.0498530289162998E-4</v>
      </c>
      <c r="I164" t="s">
        <v>597</v>
      </c>
    </row>
    <row r="165" spans="1:9" x14ac:dyDescent="0.25">
      <c r="A165" t="s">
        <v>598</v>
      </c>
      <c r="C165" s="3" t="str">
        <f>HYPERLINK("http://amigo.geneontology.org/amigo/term/GO:0004707","GO:0004707")</f>
        <v>GO:0004707</v>
      </c>
      <c r="D165" t="s">
        <v>599</v>
      </c>
      <c r="E165">
        <v>49</v>
      </c>
      <c r="F165">
        <v>9</v>
      </c>
      <c r="G165" s="4">
        <v>1.6576439860620798E-5</v>
      </c>
      <c r="H165" s="4">
        <v>4.80716755958004E-4</v>
      </c>
      <c r="I165" t="s">
        <v>600</v>
      </c>
    </row>
    <row r="166" spans="1:9" x14ac:dyDescent="0.25">
      <c r="A166" t="s">
        <v>601</v>
      </c>
      <c r="C166" s="3" t="str">
        <f>HYPERLINK("http://amigo.geneontology.org/amigo/term/GO:0048588","GO:0048588")</f>
        <v>GO:0048588</v>
      </c>
      <c r="D166" t="s">
        <v>602</v>
      </c>
      <c r="E166">
        <v>89</v>
      </c>
      <c r="F166">
        <v>12</v>
      </c>
      <c r="G166" s="4">
        <v>1.8755929958734499E-5</v>
      </c>
      <c r="H166" s="4">
        <v>5.4392196880330196E-4</v>
      </c>
      <c r="I166" t="s">
        <v>434</v>
      </c>
    </row>
    <row r="167" spans="1:9" x14ac:dyDescent="0.25">
      <c r="A167" t="s">
        <v>603</v>
      </c>
      <c r="C167" s="3" t="str">
        <f>HYPERLINK("http://amigo.geneontology.org/amigo/term/GO:0060560","GO:0060560")</f>
        <v>GO:0060560</v>
      </c>
      <c r="D167" t="s">
        <v>604</v>
      </c>
      <c r="E167">
        <v>119</v>
      </c>
      <c r="F167">
        <v>14</v>
      </c>
      <c r="G167" s="4">
        <v>1.9159895540033E-5</v>
      </c>
      <c r="H167" s="4">
        <v>5.3647707512092602E-4</v>
      </c>
      <c r="I167" t="s">
        <v>517</v>
      </c>
    </row>
    <row r="168" spans="1:9" x14ac:dyDescent="0.25">
      <c r="A168" t="s">
        <v>605</v>
      </c>
      <c r="C168" s="3" t="str">
        <f>HYPERLINK("http://amigo.geneontology.org/amigo/term/GO:0044275","GO:0044275")</f>
        <v>GO:0044275</v>
      </c>
      <c r="D168" t="s">
        <v>606</v>
      </c>
      <c r="E168">
        <v>63</v>
      </c>
      <c r="F168">
        <v>10</v>
      </c>
      <c r="G168" s="4">
        <v>2.1738653329388799E-5</v>
      </c>
      <c r="H168" s="4">
        <v>6.0868229322288796E-4</v>
      </c>
      <c r="I168" t="s">
        <v>607</v>
      </c>
    </row>
    <row r="169" spans="1:9" x14ac:dyDescent="0.25">
      <c r="A169" t="s">
        <v>608</v>
      </c>
      <c r="C169" s="3" t="str">
        <f>HYPERLINK("http://amigo.geneontology.org/amigo/term/GO:0005451","GO:0005451")</f>
        <v>GO:0005451</v>
      </c>
      <c r="D169" t="s">
        <v>609</v>
      </c>
      <c r="E169">
        <v>29</v>
      </c>
      <c r="F169">
        <v>7</v>
      </c>
      <c r="G169" s="4">
        <v>2.2406947556601398E-5</v>
      </c>
      <c r="H169" s="4">
        <v>6.2739453158484003E-4</v>
      </c>
      <c r="I169" t="s">
        <v>610</v>
      </c>
    </row>
    <row r="170" spans="1:9" x14ac:dyDescent="0.25">
      <c r="A170" t="s">
        <v>611</v>
      </c>
      <c r="C170" s="3" t="str">
        <f>HYPERLINK("http://amigo.geneontology.org/amigo/term/GO:0044238","GO:0044238")</f>
        <v>GO:0044238</v>
      </c>
      <c r="D170" t="s">
        <v>612</v>
      </c>
      <c r="E170">
        <v>23308</v>
      </c>
      <c r="F170">
        <v>809</v>
      </c>
      <c r="G170" s="4">
        <v>2.3294854807591499E-5</v>
      </c>
      <c r="H170" s="4">
        <v>6.5225593461256401E-4</v>
      </c>
      <c r="I170" t="s">
        <v>613</v>
      </c>
    </row>
    <row r="171" spans="1:9" x14ac:dyDescent="0.25">
      <c r="A171" t="s">
        <v>614</v>
      </c>
      <c r="C171" s="3" t="str">
        <f>HYPERLINK("http://amigo.geneontology.org/amigo/term/GO:0015078","GO:0015078")</f>
        <v>GO:0015078</v>
      </c>
      <c r="D171" t="s">
        <v>615</v>
      </c>
      <c r="E171">
        <v>444</v>
      </c>
      <c r="F171">
        <v>31</v>
      </c>
      <c r="G171" s="4">
        <v>2.6125193329387101E-5</v>
      </c>
      <c r="H171" s="4">
        <v>7.3150541322284095E-4</v>
      </c>
      <c r="I171" t="s">
        <v>616</v>
      </c>
    </row>
    <row r="172" spans="1:9" x14ac:dyDescent="0.25">
      <c r="A172" t="s">
        <v>617</v>
      </c>
      <c r="C172" s="3" t="str">
        <f>HYPERLINK("http://amigo.geneontology.org/amigo/term/GO:0042972","GO:0042972")</f>
        <v>GO:0042972</v>
      </c>
      <c r="D172" t="s">
        <v>618</v>
      </c>
      <c r="E172">
        <v>3</v>
      </c>
      <c r="F172">
        <v>3</v>
      </c>
      <c r="G172" s="4">
        <v>2.9181111234663601E-5</v>
      </c>
      <c r="H172" s="4">
        <v>8.1707111457058105E-4</v>
      </c>
      <c r="I172" t="s">
        <v>619</v>
      </c>
    </row>
    <row r="173" spans="1:9" x14ac:dyDescent="0.25">
      <c r="A173" t="s">
        <v>620</v>
      </c>
      <c r="C173" s="3" t="str">
        <f>HYPERLINK("http://amigo.geneontology.org/amigo/term/GO:0030695","GO:0030695")</f>
        <v>GO:0030695</v>
      </c>
      <c r="D173" t="s">
        <v>621</v>
      </c>
      <c r="E173">
        <v>79</v>
      </c>
      <c r="F173">
        <v>11</v>
      </c>
      <c r="G173" s="4">
        <v>3.0499800651544901E-5</v>
      </c>
      <c r="H173" s="4">
        <v>8.2349461759171196E-4</v>
      </c>
      <c r="I173" t="s">
        <v>622</v>
      </c>
    </row>
    <row r="174" spans="1:9" x14ac:dyDescent="0.25">
      <c r="A174" t="s">
        <v>623</v>
      </c>
      <c r="C174" s="3" t="str">
        <f>HYPERLINK("http://amigo.geneontology.org/amigo/term/GO:0010410","GO:0010410")</f>
        <v>GO:0010410</v>
      </c>
      <c r="D174" t="s">
        <v>624</v>
      </c>
      <c r="E174">
        <v>267</v>
      </c>
      <c r="F174">
        <v>22</v>
      </c>
      <c r="G174" s="4">
        <v>3.3343840218725503E-5</v>
      </c>
      <c r="H174" s="4">
        <v>9.0028368590558904E-4</v>
      </c>
      <c r="I174" t="s">
        <v>625</v>
      </c>
    </row>
    <row r="175" spans="1:9" x14ac:dyDescent="0.25">
      <c r="A175" t="s">
        <v>626</v>
      </c>
      <c r="C175" s="3" t="str">
        <f>HYPERLINK("http://amigo.geneontology.org/amigo/term/GO:0006887","GO:0006887")</f>
        <v>GO:0006887</v>
      </c>
      <c r="D175" t="s">
        <v>627</v>
      </c>
      <c r="E175">
        <v>195</v>
      </c>
      <c r="F175">
        <v>18</v>
      </c>
      <c r="G175" s="4">
        <v>3.8681927071362899E-5</v>
      </c>
      <c r="H175">
        <v>1.0444120309268E-3</v>
      </c>
      <c r="I175" t="s">
        <v>628</v>
      </c>
    </row>
    <row r="176" spans="1:9" x14ac:dyDescent="0.25">
      <c r="A176" t="s">
        <v>629</v>
      </c>
      <c r="C176" s="3" t="str">
        <f>HYPERLINK("http://amigo.geneontology.org/amigo/term/GO:0046903","GO:0046903")</f>
        <v>GO:0046903</v>
      </c>
      <c r="D176" t="s">
        <v>630</v>
      </c>
      <c r="E176">
        <v>233</v>
      </c>
      <c r="F176">
        <v>20</v>
      </c>
      <c r="G176" s="4">
        <v>4.1990453315328799E-5</v>
      </c>
      <c r="H176">
        <v>1.13374223951387E-3</v>
      </c>
      <c r="I176" t="s">
        <v>631</v>
      </c>
    </row>
    <row r="177" spans="1:9" x14ac:dyDescent="0.25">
      <c r="A177" t="s">
        <v>632</v>
      </c>
      <c r="C177" s="3" t="str">
        <f>HYPERLINK("http://amigo.geneontology.org/amigo/term/GO:0035091","GO:0035091")</f>
        <v>GO:0035091</v>
      </c>
      <c r="D177" t="s">
        <v>633</v>
      </c>
      <c r="E177">
        <v>68</v>
      </c>
      <c r="F177">
        <v>10</v>
      </c>
      <c r="G177" s="4">
        <v>4.3019865221135002E-5</v>
      </c>
      <c r="H177">
        <v>1.16153636097064E-3</v>
      </c>
      <c r="I177" t="s">
        <v>574</v>
      </c>
    </row>
    <row r="178" spans="1:9" x14ac:dyDescent="0.25">
      <c r="A178" t="s">
        <v>634</v>
      </c>
      <c r="C178" s="3" t="str">
        <f>HYPERLINK("http://amigo.geneontology.org/amigo/term/GO:0043562","GO:0043562")</f>
        <v>GO:0043562</v>
      </c>
      <c r="D178" t="s">
        <v>635</v>
      </c>
      <c r="E178">
        <v>14</v>
      </c>
      <c r="F178">
        <v>5</v>
      </c>
      <c r="G178" s="4">
        <v>4.3782515509368498E-5</v>
      </c>
      <c r="H178">
        <v>1.1821279187529501E-3</v>
      </c>
      <c r="I178" t="s">
        <v>636</v>
      </c>
    </row>
    <row r="179" spans="1:9" x14ac:dyDescent="0.25">
      <c r="A179" t="s">
        <v>637</v>
      </c>
      <c r="C179" s="3" t="str">
        <f>HYPERLINK("http://amigo.geneontology.org/amigo/term/GO:0010383","GO:0010383")</f>
        <v>GO:0010383</v>
      </c>
      <c r="D179" t="s">
        <v>638</v>
      </c>
      <c r="E179">
        <v>272</v>
      </c>
      <c r="F179">
        <v>22</v>
      </c>
      <c r="G179" s="4">
        <v>4.4087336936047002E-5</v>
      </c>
      <c r="H179">
        <v>1.1462707603372201E-3</v>
      </c>
      <c r="I179" t="s">
        <v>625</v>
      </c>
    </row>
    <row r="180" spans="1:9" x14ac:dyDescent="0.25">
      <c r="A180" t="s">
        <v>639</v>
      </c>
      <c r="C180" s="3" t="str">
        <f>HYPERLINK("http://amigo.geneontology.org/amigo/term/GO:0004601","GO:0004601")</f>
        <v>GO:0004601</v>
      </c>
      <c r="D180" t="s">
        <v>640</v>
      </c>
      <c r="E180">
        <v>798</v>
      </c>
      <c r="F180">
        <v>46</v>
      </c>
      <c r="G180" s="4">
        <v>4.88587085322986E-5</v>
      </c>
      <c r="H180">
        <v>1.27032642183976E-3</v>
      </c>
      <c r="I180" t="s">
        <v>641</v>
      </c>
    </row>
    <row r="181" spans="1:9" x14ac:dyDescent="0.25">
      <c r="A181" t="s">
        <v>642</v>
      </c>
      <c r="C181" s="3" t="str">
        <f>HYPERLINK("http://amigo.geneontology.org/amigo/term/GO:0016684","GO:0016684")</f>
        <v>GO:0016684</v>
      </c>
      <c r="D181" t="s">
        <v>643</v>
      </c>
      <c r="E181">
        <v>799</v>
      </c>
      <c r="F181">
        <v>46</v>
      </c>
      <c r="G181" s="4">
        <v>5.0324733026965497E-5</v>
      </c>
      <c r="H181">
        <v>1.3084430587011E-3</v>
      </c>
      <c r="I181" t="s">
        <v>641</v>
      </c>
    </row>
    <row r="182" spans="1:9" x14ac:dyDescent="0.25">
      <c r="A182" t="s">
        <v>644</v>
      </c>
      <c r="C182" s="3" t="str">
        <f>HYPERLINK("http://amigo.geneontology.org/amigo/term/GO:0005516","GO:0005516")</f>
        <v>GO:0005516</v>
      </c>
      <c r="D182" t="s">
        <v>645</v>
      </c>
      <c r="E182">
        <v>165</v>
      </c>
      <c r="F182">
        <v>16</v>
      </c>
      <c r="G182" s="4">
        <v>5.6590550368426897E-5</v>
      </c>
      <c r="H182">
        <v>1.47135430957909E-3</v>
      </c>
      <c r="I182" t="s">
        <v>646</v>
      </c>
    </row>
    <row r="183" spans="1:9" x14ac:dyDescent="0.25">
      <c r="A183" t="s">
        <v>647</v>
      </c>
      <c r="C183" s="3" t="str">
        <f>HYPERLINK("http://amigo.geneontology.org/amigo/term/GO:0042546","GO:0042546")</f>
        <v>GO:0042546</v>
      </c>
      <c r="D183" t="s">
        <v>648</v>
      </c>
      <c r="E183">
        <v>399</v>
      </c>
      <c r="F183">
        <v>28</v>
      </c>
      <c r="G183" s="4">
        <v>5.7246060407974603E-5</v>
      </c>
      <c r="H183">
        <v>1.4883975706073401E-3</v>
      </c>
      <c r="I183" t="s">
        <v>649</v>
      </c>
    </row>
    <row r="184" spans="1:9" x14ac:dyDescent="0.25">
      <c r="A184" t="s">
        <v>650</v>
      </c>
      <c r="C184" s="3" t="str">
        <f>HYPERLINK("http://amigo.geneontology.org/amigo/term/GO:0051261","GO:0051261")</f>
        <v>GO:0051261</v>
      </c>
      <c r="D184" t="s">
        <v>651</v>
      </c>
      <c r="E184">
        <v>24</v>
      </c>
      <c r="F184">
        <v>6</v>
      </c>
      <c r="G184" s="4">
        <v>7.0799589835599306E-5</v>
      </c>
      <c r="H184">
        <v>1.76998974588998E-3</v>
      </c>
      <c r="I184" t="s">
        <v>652</v>
      </c>
    </row>
    <row r="185" spans="1:9" x14ac:dyDescent="0.25">
      <c r="A185" t="s">
        <v>653</v>
      </c>
      <c r="C185" s="3" t="str">
        <f>HYPERLINK("http://amigo.geneontology.org/amigo/term/GO:0030042","GO:0030042")</f>
        <v>GO:0030042</v>
      </c>
      <c r="D185" t="s">
        <v>654</v>
      </c>
      <c r="E185">
        <v>24</v>
      </c>
      <c r="F185">
        <v>6</v>
      </c>
      <c r="G185" s="4">
        <v>7.0799589835599306E-5</v>
      </c>
      <c r="H185">
        <v>1.8407893357255799E-3</v>
      </c>
      <c r="I185" t="s">
        <v>652</v>
      </c>
    </row>
    <row r="186" spans="1:9" x14ac:dyDescent="0.25">
      <c r="A186" t="s">
        <v>655</v>
      </c>
      <c r="C186" s="3" t="str">
        <f>HYPERLINK("http://amigo.geneontology.org/amigo/term/GO:0015085","GO:0015085")</f>
        <v>GO:0015085</v>
      </c>
      <c r="D186" t="s">
        <v>656</v>
      </c>
      <c r="E186">
        <v>60</v>
      </c>
      <c r="F186">
        <v>9</v>
      </c>
      <c r="G186" s="4">
        <v>8.8028882759178301E-5</v>
      </c>
      <c r="H186">
        <v>2.2007220689794502E-3</v>
      </c>
      <c r="I186" t="s">
        <v>594</v>
      </c>
    </row>
    <row r="187" spans="1:9" x14ac:dyDescent="0.25">
      <c r="A187" t="s">
        <v>657</v>
      </c>
      <c r="C187" s="3" t="str">
        <f>HYPERLINK("http://amigo.geneontology.org/amigo/term/GO:0005092","GO:0005092")</f>
        <v>GO:0005092</v>
      </c>
      <c r="D187" t="s">
        <v>658</v>
      </c>
      <c r="E187">
        <v>25</v>
      </c>
      <c r="F187">
        <v>6</v>
      </c>
      <c r="G187" s="4">
        <v>9.0729537587221597E-5</v>
      </c>
      <c r="H187">
        <v>2.2682384396805399E-3</v>
      </c>
      <c r="I187" t="s">
        <v>659</v>
      </c>
    </row>
    <row r="188" spans="1:9" x14ac:dyDescent="0.25">
      <c r="A188" t="s">
        <v>660</v>
      </c>
      <c r="C188" s="3" t="str">
        <f>HYPERLINK("http://amigo.geneontology.org/amigo/term/GO:0004089","GO:0004089")</f>
        <v>GO:0004089</v>
      </c>
      <c r="D188" t="s">
        <v>661</v>
      </c>
      <c r="E188">
        <v>36</v>
      </c>
      <c r="F188">
        <v>7</v>
      </c>
      <c r="G188" s="4">
        <v>9.9253431462349796E-5</v>
      </c>
      <c r="H188">
        <v>2.4813357865587399E-3</v>
      </c>
      <c r="I188" t="s">
        <v>662</v>
      </c>
    </row>
    <row r="189" spans="1:9" x14ac:dyDescent="0.25">
      <c r="A189" t="s">
        <v>663</v>
      </c>
      <c r="C189" s="3" t="str">
        <f>HYPERLINK("http://amigo.geneontology.org/amigo/term/GO:0008184","GO:0008184")</f>
        <v>GO:0008184</v>
      </c>
      <c r="D189" t="s">
        <v>664</v>
      </c>
      <c r="E189">
        <v>9</v>
      </c>
      <c r="F189">
        <v>4</v>
      </c>
      <c r="G189" s="4">
        <v>9.9888237514076498E-5</v>
      </c>
      <c r="H189">
        <v>2.49720593785191E-3</v>
      </c>
      <c r="I189" t="s">
        <v>665</v>
      </c>
    </row>
    <row r="190" spans="1:9" x14ac:dyDescent="0.25">
      <c r="A190" t="s">
        <v>666</v>
      </c>
      <c r="C190" s="3" t="str">
        <f>HYPERLINK("http://amigo.geneontology.org/amigo/term/GO:0016324","GO:0016324")</f>
        <v>GO:0016324</v>
      </c>
      <c r="D190" t="s">
        <v>667</v>
      </c>
      <c r="E190">
        <v>4</v>
      </c>
      <c r="F190">
        <v>3</v>
      </c>
      <c r="G190" s="4">
        <v>1.14031450429541E-4</v>
      </c>
      <c r="H190">
        <v>2.8507862607385398E-3</v>
      </c>
      <c r="I190" t="s">
        <v>668</v>
      </c>
    </row>
    <row r="191" spans="1:9" x14ac:dyDescent="0.25">
      <c r="A191" t="s">
        <v>669</v>
      </c>
      <c r="C191" s="3" t="str">
        <f>HYPERLINK("http://amigo.geneontology.org/amigo/term/GO:0006793","GO:0006793")</f>
        <v>GO:0006793</v>
      </c>
      <c r="D191" t="s">
        <v>670</v>
      </c>
      <c r="E191">
        <v>8439</v>
      </c>
      <c r="F191">
        <v>317</v>
      </c>
      <c r="G191" s="4">
        <v>1.17027546564542E-4</v>
      </c>
      <c r="H191">
        <v>2.9256886641135498E-3</v>
      </c>
      <c r="I191" t="s">
        <v>671</v>
      </c>
    </row>
    <row r="192" spans="1:9" x14ac:dyDescent="0.25">
      <c r="A192" t="s">
        <v>672</v>
      </c>
      <c r="C192" s="3" t="str">
        <f>HYPERLINK("http://amigo.geneontology.org/amigo/term/GO:0005984","GO:0005984")</f>
        <v>GO:0005984</v>
      </c>
      <c r="D192" t="s">
        <v>673</v>
      </c>
      <c r="E192">
        <v>251</v>
      </c>
      <c r="F192">
        <v>20</v>
      </c>
      <c r="G192" s="4">
        <v>1.17420435981485E-4</v>
      </c>
      <c r="H192">
        <v>2.8180904635556401E-3</v>
      </c>
      <c r="I192" t="s">
        <v>674</v>
      </c>
    </row>
    <row r="193" spans="1:9" x14ac:dyDescent="0.25">
      <c r="A193" t="s">
        <v>675</v>
      </c>
      <c r="C193" s="3" t="str">
        <f>HYPERLINK("http://amigo.geneontology.org/amigo/term/GO:0022804","GO:0022804")</f>
        <v>GO:0022804</v>
      </c>
      <c r="D193" t="s">
        <v>676</v>
      </c>
      <c r="E193">
        <v>1000</v>
      </c>
      <c r="F193">
        <v>53</v>
      </c>
      <c r="G193" s="4">
        <v>1.205814219477E-4</v>
      </c>
      <c r="H193">
        <v>2.8939541267448002E-3</v>
      </c>
      <c r="I193" t="s">
        <v>677</v>
      </c>
    </row>
    <row r="194" spans="1:9" x14ac:dyDescent="0.25">
      <c r="A194" t="s">
        <v>678</v>
      </c>
      <c r="C194" s="3" t="str">
        <f>HYPERLINK("http://amigo.geneontology.org/amigo/term/GO:0006796","GO:0006796")</f>
        <v>GO:0006796</v>
      </c>
      <c r="D194" t="s">
        <v>679</v>
      </c>
      <c r="E194">
        <v>8416</v>
      </c>
      <c r="F194">
        <v>316</v>
      </c>
      <c r="G194" s="4">
        <v>1.2378371295470699E-4</v>
      </c>
      <c r="H194">
        <v>2.9708091109129798E-3</v>
      </c>
      <c r="I194" t="s">
        <v>680</v>
      </c>
    </row>
    <row r="195" spans="1:9" x14ac:dyDescent="0.25">
      <c r="A195" t="s">
        <v>681</v>
      </c>
      <c r="C195" s="3" t="str">
        <f>HYPERLINK("http://amigo.geneontology.org/amigo/term/GO:0046394","GO:0046394")</f>
        <v>GO:0046394</v>
      </c>
      <c r="D195" t="s">
        <v>682</v>
      </c>
      <c r="E195">
        <v>1534</v>
      </c>
      <c r="F195">
        <v>74</v>
      </c>
      <c r="G195" s="4">
        <v>1.2740432002793499E-4</v>
      </c>
      <c r="H195">
        <v>3.0577036806704498E-3</v>
      </c>
      <c r="I195" t="s">
        <v>683</v>
      </c>
    </row>
    <row r="196" spans="1:9" x14ac:dyDescent="0.25">
      <c r="A196" t="s">
        <v>684</v>
      </c>
      <c r="C196" s="3" t="str">
        <f>HYPERLINK("http://amigo.geneontology.org/amigo/term/GO:0016053","GO:0016053")</f>
        <v>GO:0016053</v>
      </c>
      <c r="D196" t="s">
        <v>685</v>
      </c>
      <c r="E196">
        <v>1536</v>
      </c>
      <c r="F196">
        <v>74</v>
      </c>
      <c r="G196" s="4">
        <v>1.32464530477875E-4</v>
      </c>
      <c r="H196">
        <v>3.1791487314690101E-3</v>
      </c>
      <c r="I196" t="s">
        <v>683</v>
      </c>
    </row>
    <row r="197" spans="1:9" x14ac:dyDescent="0.25">
      <c r="A197" t="s">
        <v>686</v>
      </c>
      <c r="C197" s="3" t="str">
        <f>HYPERLINK("http://amigo.geneontology.org/amigo/term/GO:0032940","GO:0032940")</f>
        <v>GO:0032940</v>
      </c>
      <c r="D197" t="s">
        <v>687</v>
      </c>
      <c r="E197">
        <v>216</v>
      </c>
      <c r="F197">
        <v>18</v>
      </c>
      <c r="G197" s="4">
        <v>1.44244533432033E-4</v>
      </c>
      <c r="H197">
        <v>3.4618688023687898E-3</v>
      </c>
      <c r="I197" t="s">
        <v>628</v>
      </c>
    </row>
    <row r="198" spans="1:9" x14ac:dyDescent="0.25">
      <c r="A198" t="s">
        <v>688</v>
      </c>
      <c r="C198" s="3" t="str">
        <f>HYPERLINK("http://amigo.geneontology.org/amigo/term/GO:0003774","GO:0003774")</f>
        <v>GO:0003774</v>
      </c>
      <c r="D198" t="s">
        <v>689</v>
      </c>
      <c r="E198">
        <v>198</v>
      </c>
      <c r="F198">
        <v>17</v>
      </c>
      <c r="G198" s="4">
        <v>1.5240180743920201E-4</v>
      </c>
      <c r="H198">
        <v>3.6576433785408401E-3</v>
      </c>
      <c r="I198" t="s">
        <v>690</v>
      </c>
    </row>
    <row r="199" spans="1:9" x14ac:dyDescent="0.25">
      <c r="A199" t="s">
        <v>691</v>
      </c>
      <c r="C199" s="3" t="str">
        <f>HYPERLINK("http://amigo.geneontology.org/amigo/term/GO:0016160","GO:0016160")</f>
        <v>GO:0016160</v>
      </c>
      <c r="D199" t="s">
        <v>692</v>
      </c>
      <c r="E199">
        <v>65</v>
      </c>
      <c r="F199">
        <v>9</v>
      </c>
      <c r="G199" s="4">
        <v>1.6586476728761099E-4</v>
      </c>
      <c r="H199">
        <v>3.9807544149026604E-3</v>
      </c>
      <c r="I199" t="s">
        <v>693</v>
      </c>
    </row>
    <row r="200" spans="1:9" x14ac:dyDescent="0.25">
      <c r="A200" t="s">
        <v>694</v>
      </c>
      <c r="C200" s="3" t="str">
        <f>HYPERLINK("http://amigo.geneontology.org/amigo/term/GO:0033500","GO:0033500")</f>
        <v>GO:0033500</v>
      </c>
      <c r="D200" t="s">
        <v>695</v>
      </c>
      <c r="E200">
        <v>28</v>
      </c>
      <c r="F200">
        <v>6</v>
      </c>
      <c r="G200" s="4">
        <v>1.7832380224520601E-4</v>
      </c>
      <c r="H200">
        <v>4.1014474516397597E-3</v>
      </c>
      <c r="I200" t="s">
        <v>696</v>
      </c>
    </row>
    <row r="201" spans="1:9" x14ac:dyDescent="0.25">
      <c r="A201" t="s">
        <v>697</v>
      </c>
      <c r="C201" s="3" t="str">
        <f>HYPERLINK("http://amigo.geneontology.org/amigo/term/GO:0042593","GO:0042593")</f>
        <v>GO:0042593</v>
      </c>
      <c r="D201" t="s">
        <v>698</v>
      </c>
      <c r="E201">
        <v>28</v>
      </c>
      <c r="F201">
        <v>6</v>
      </c>
      <c r="G201" s="4">
        <v>1.7832380224520601E-4</v>
      </c>
      <c r="H201">
        <v>4.1014474516397597E-3</v>
      </c>
      <c r="I201" t="s">
        <v>696</v>
      </c>
    </row>
    <row r="202" spans="1:9" x14ac:dyDescent="0.25">
      <c r="A202" t="s">
        <v>699</v>
      </c>
      <c r="C202" s="3" t="str">
        <f>HYPERLINK("http://amigo.geneontology.org/amigo/term/GO:0001678","GO:0001678")</f>
        <v>GO:0001678</v>
      </c>
      <c r="D202" t="s">
        <v>700</v>
      </c>
      <c r="E202">
        <v>28</v>
      </c>
      <c r="F202">
        <v>6</v>
      </c>
      <c r="G202" s="4">
        <v>1.7832380224520601E-4</v>
      </c>
      <c r="H202">
        <v>4.1014474516397597E-3</v>
      </c>
      <c r="I202" t="s">
        <v>696</v>
      </c>
    </row>
    <row r="203" spans="1:9" x14ac:dyDescent="0.25">
      <c r="A203" t="s">
        <v>701</v>
      </c>
      <c r="C203" s="3" t="str">
        <f>HYPERLINK("http://amigo.geneontology.org/amigo/term/GO:0004396","GO:0004396")</f>
        <v>GO:0004396</v>
      </c>
      <c r="D203" t="s">
        <v>702</v>
      </c>
      <c r="E203">
        <v>28</v>
      </c>
      <c r="F203">
        <v>6</v>
      </c>
      <c r="G203" s="4">
        <v>1.7832380224520601E-4</v>
      </c>
      <c r="H203">
        <v>4.1014474516397597E-3</v>
      </c>
      <c r="I203" t="s">
        <v>696</v>
      </c>
    </row>
    <row r="204" spans="1:9" x14ac:dyDescent="0.25">
      <c r="A204" t="s">
        <v>703</v>
      </c>
      <c r="C204" s="3" t="str">
        <f>HYPERLINK("http://amigo.geneontology.org/amigo/term/GO:0005536","GO:0005536")</f>
        <v>GO:0005536</v>
      </c>
      <c r="D204" t="s">
        <v>704</v>
      </c>
      <c r="E204">
        <v>28</v>
      </c>
      <c r="F204">
        <v>6</v>
      </c>
      <c r="G204" s="4">
        <v>1.7832380224520601E-4</v>
      </c>
      <c r="H204">
        <v>4.1014474516397597E-3</v>
      </c>
      <c r="I204" t="s">
        <v>696</v>
      </c>
    </row>
    <row r="205" spans="1:9" x14ac:dyDescent="0.25">
      <c r="A205" t="s">
        <v>705</v>
      </c>
      <c r="C205" s="3" t="str">
        <f>HYPERLINK("http://amigo.geneontology.org/amigo/term/GO:0048589","GO:0048589")</f>
        <v>GO:0048589</v>
      </c>
      <c r="D205" t="s">
        <v>706</v>
      </c>
      <c r="E205">
        <v>146</v>
      </c>
      <c r="F205">
        <v>14</v>
      </c>
      <c r="G205" s="4">
        <v>1.8101028338191001E-4</v>
      </c>
      <c r="H205">
        <v>4.1632365177839302E-3</v>
      </c>
      <c r="I205" t="s">
        <v>517</v>
      </c>
    </row>
    <row r="206" spans="1:9" x14ac:dyDescent="0.25">
      <c r="A206" t="s">
        <v>707</v>
      </c>
      <c r="C206" s="3" t="str">
        <f>HYPERLINK("http://amigo.geneontology.org/amigo/term/GO:0016747","GO:0016747")</f>
        <v>GO:0016747</v>
      </c>
      <c r="D206" t="s">
        <v>708</v>
      </c>
      <c r="E206">
        <v>1353</v>
      </c>
      <c r="F206">
        <v>66</v>
      </c>
      <c r="G206" s="4">
        <v>2.1158134361750201E-4</v>
      </c>
      <c r="H206">
        <v>4.8663709032025501E-3</v>
      </c>
      <c r="I206" t="s">
        <v>709</v>
      </c>
    </row>
    <row r="207" spans="1:9" x14ac:dyDescent="0.25">
      <c r="A207" t="s">
        <v>710</v>
      </c>
      <c r="C207" s="3" t="str">
        <f>HYPERLINK("http://amigo.geneontology.org/amigo/term/GO:0000904","GO:0000904")</f>
        <v>GO:0000904</v>
      </c>
      <c r="D207" t="s">
        <v>711</v>
      </c>
      <c r="E207">
        <v>131</v>
      </c>
      <c r="F207">
        <v>13</v>
      </c>
      <c r="G207" s="4">
        <v>2.16451872324818E-4</v>
      </c>
      <c r="H207">
        <v>4.97839306347082E-3</v>
      </c>
      <c r="I207" t="s">
        <v>464</v>
      </c>
    </row>
    <row r="208" spans="1:9" x14ac:dyDescent="0.25">
      <c r="A208" t="s">
        <v>712</v>
      </c>
      <c r="C208" s="3" t="str">
        <f>HYPERLINK("http://amigo.geneontology.org/amigo/term/GO:0016161","GO:0016161")</f>
        <v>GO:0016161</v>
      </c>
      <c r="D208" t="s">
        <v>713</v>
      </c>
      <c r="E208">
        <v>29</v>
      </c>
      <c r="F208">
        <v>6</v>
      </c>
      <c r="G208" s="4">
        <v>2.1899776434612699E-4</v>
      </c>
      <c r="H208">
        <v>4.8179508156147898E-3</v>
      </c>
      <c r="I208" t="s">
        <v>714</v>
      </c>
    </row>
    <row r="209" spans="1:9" x14ac:dyDescent="0.25">
      <c r="A209" t="s">
        <v>715</v>
      </c>
      <c r="C209" s="3" t="str">
        <f>HYPERLINK("http://amigo.geneontology.org/amigo/term/GO:0099568","GO:0099568")</f>
        <v>GO:0099568</v>
      </c>
      <c r="D209" t="s">
        <v>716</v>
      </c>
      <c r="E209">
        <v>186</v>
      </c>
      <c r="F209">
        <v>16</v>
      </c>
      <c r="G209" s="4">
        <v>2.30051455351034E-4</v>
      </c>
      <c r="H209">
        <v>5.0611320177227602E-3</v>
      </c>
      <c r="I209" t="s">
        <v>717</v>
      </c>
    </row>
    <row r="210" spans="1:9" x14ac:dyDescent="0.25">
      <c r="A210" t="s">
        <v>718</v>
      </c>
      <c r="C210" s="3" t="str">
        <f>HYPERLINK("http://amigo.geneontology.org/amigo/term/GO:0005938","GO:0005938")</f>
        <v>GO:0005938</v>
      </c>
      <c r="D210" t="s">
        <v>719</v>
      </c>
      <c r="E210">
        <v>186</v>
      </c>
      <c r="F210">
        <v>16</v>
      </c>
      <c r="G210" s="4">
        <v>2.30051455351034E-4</v>
      </c>
      <c r="H210">
        <v>5.0611320177227602E-3</v>
      </c>
      <c r="I210" t="s">
        <v>717</v>
      </c>
    </row>
    <row r="211" spans="1:9" x14ac:dyDescent="0.25">
      <c r="A211" t="s">
        <v>720</v>
      </c>
      <c r="C211" s="3" t="str">
        <f>HYPERLINK("http://amigo.geneontology.org/amigo/term/GO:0016758","GO:0016758")</f>
        <v>GO:0016758</v>
      </c>
      <c r="D211" t="s">
        <v>721</v>
      </c>
      <c r="E211">
        <v>1783</v>
      </c>
      <c r="F211">
        <v>82</v>
      </c>
      <c r="G211" s="4">
        <v>2.5982842232639503E-4</v>
      </c>
      <c r="H211">
        <v>5.7162252911807003E-3</v>
      </c>
      <c r="I211" t="s">
        <v>722</v>
      </c>
    </row>
    <row r="212" spans="1:9" x14ac:dyDescent="0.25">
      <c r="A212" t="s">
        <v>723</v>
      </c>
      <c r="C212" s="3" t="str">
        <f>HYPERLINK("http://amigo.geneontology.org/amigo/term/GO:0016301","GO:0016301")</f>
        <v>GO:0016301</v>
      </c>
      <c r="D212" t="s">
        <v>724</v>
      </c>
      <c r="E212">
        <v>6285</v>
      </c>
      <c r="F212">
        <v>241</v>
      </c>
      <c r="G212" s="4">
        <v>2.6162603652992702E-4</v>
      </c>
      <c r="H212">
        <v>5.75577280365839E-3</v>
      </c>
      <c r="I212" t="s">
        <v>725</v>
      </c>
    </row>
    <row r="213" spans="1:9" x14ac:dyDescent="0.25">
      <c r="A213" t="s">
        <v>726</v>
      </c>
      <c r="C213" s="3" t="str">
        <f>HYPERLINK("http://amigo.geneontology.org/amigo/term/GO:0016759","GO:0016759")</f>
        <v>GO:0016759</v>
      </c>
      <c r="D213" t="s">
        <v>727</v>
      </c>
      <c r="E213">
        <v>100</v>
      </c>
      <c r="F213">
        <v>11</v>
      </c>
      <c r="G213" s="4">
        <v>2.6547920155720598E-4</v>
      </c>
      <c r="H213">
        <v>5.8405424342585404E-3</v>
      </c>
      <c r="I213" t="s">
        <v>728</v>
      </c>
    </row>
    <row r="214" spans="1:9" x14ac:dyDescent="0.25">
      <c r="A214" t="s">
        <v>729</v>
      </c>
      <c r="C214" s="3" t="str">
        <f>HYPERLINK("http://amigo.geneontology.org/amigo/term/GO:0016760","GO:0016760")</f>
        <v>GO:0016760</v>
      </c>
      <c r="D214" t="s">
        <v>730</v>
      </c>
      <c r="E214">
        <v>100</v>
      </c>
      <c r="F214">
        <v>11</v>
      </c>
      <c r="G214" s="4">
        <v>2.6547920155720598E-4</v>
      </c>
      <c r="H214">
        <v>5.8405424342585404E-3</v>
      </c>
      <c r="I214" t="s">
        <v>728</v>
      </c>
    </row>
    <row r="215" spans="1:9" x14ac:dyDescent="0.25">
      <c r="A215" t="s">
        <v>731</v>
      </c>
      <c r="C215" s="3" t="str">
        <f>HYPERLINK("http://amigo.geneontology.org/amigo/term/GO:0045177","GO:0045177")</f>
        <v>GO:0045177</v>
      </c>
      <c r="D215" t="s">
        <v>732</v>
      </c>
      <c r="E215">
        <v>5</v>
      </c>
      <c r="F215">
        <v>3</v>
      </c>
      <c r="G215" s="4">
        <v>2.7851175507099098E-4</v>
      </c>
      <c r="H215">
        <v>6.1272586115618099E-3</v>
      </c>
      <c r="I215" t="s">
        <v>668</v>
      </c>
    </row>
    <row r="216" spans="1:9" x14ac:dyDescent="0.25">
      <c r="A216" t="s">
        <v>733</v>
      </c>
      <c r="C216" s="3" t="str">
        <f>HYPERLINK("http://amigo.geneontology.org/amigo/term/GO:0044459","GO:0044459")</f>
        <v>GO:0044459</v>
      </c>
      <c r="D216" t="s">
        <v>734</v>
      </c>
      <c r="E216">
        <v>153</v>
      </c>
      <c r="F216">
        <v>14</v>
      </c>
      <c r="G216" s="4">
        <v>2.9466846017334397E-4</v>
      </c>
      <c r="H216">
        <v>6.4827061238135796E-3</v>
      </c>
      <c r="I216" t="s">
        <v>735</v>
      </c>
    </row>
    <row r="217" spans="1:9" x14ac:dyDescent="0.25">
      <c r="A217" t="s">
        <v>736</v>
      </c>
      <c r="C217" s="3" t="str">
        <f>HYPERLINK("http://amigo.geneontology.org/amigo/term/GO:0060589","GO:0060589")</f>
        <v>GO:0060589</v>
      </c>
      <c r="D217" t="s">
        <v>737</v>
      </c>
      <c r="E217">
        <v>102</v>
      </c>
      <c r="F217">
        <v>11</v>
      </c>
      <c r="G217" s="4">
        <v>3.1580687744501201E-4</v>
      </c>
      <c r="H217">
        <v>6.6319444263452602E-3</v>
      </c>
      <c r="I217" t="s">
        <v>622</v>
      </c>
    </row>
    <row r="218" spans="1:9" x14ac:dyDescent="0.25">
      <c r="A218" t="s">
        <v>738</v>
      </c>
      <c r="C218" s="3" t="str">
        <f>HYPERLINK("http://amigo.geneontology.org/amigo/term/GO:0009269","GO:0009269")</f>
        <v>GO:0009269</v>
      </c>
      <c r="D218" t="s">
        <v>739</v>
      </c>
      <c r="E218">
        <v>31</v>
      </c>
      <c r="F218">
        <v>6</v>
      </c>
      <c r="G218" s="4">
        <v>3.2204279663626198E-4</v>
      </c>
      <c r="H218">
        <v>6.7628987293615198E-3</v>
      </c>
      <c r="I218" t="s">
        <v>740</v>
      </c>
    </row>
    <row r="219" spans="1:9" x14ac:dyDescent="0.25">
      <c r="A219" t="s">
        <v>741</v>
      </c>
      <c r="C219" s="3" t="str">
        <f>HYPERLINK("http://amigo.geneontology.org/amigo/term/GO:0016746","GO:0016746")</f>
        <v>GO:0016746</v>
      </c>
      <c r="D219" t="s">
        <v>742</v>
      </c>
      <c r="E219">
        <v>1506</v>
      </c>
      <c r="F219">
        <v>71</v>
      </c>
      <c r="G219" s="4">
        <v>3.2980477052476498E-4</v>
      </c>
      <c r="H219">
        <v>6.9259001810200701E-3</v>
      </c>
      <c r="I219" t="s">
        <v>743</v>
      </c>
    </row>
    <row r="220" spans="1:9" x14ac:dyDescent="0.25">
      <c r="A220" t="s">
        <v>744</v>
      </c>
      <c r="C220" s="3" t="str">
        <f>HYPERLINK("http://amigo.geneontology.org/amigo/term/GO:0008289","GO:0008289")</f>
        <v>GO:0008289</v>
      </c>
      <c r="D220" t="s">
        <v>745</v>
      </c>
      <c r="E220">
        <v>400</v>
      </c>
      <c r="F220">
        <v>26</v>
      </c>
      <c r="G220" s="4">
        <v>3.41848203586802E-4</v>
      </c>
      <c r="H220">
        <v>7.1788122753228501E-3</v>
      </c>
      <c r="I220" t="s">
        <v>746</v>
      </c>
    </row>
    <row r="221" spans="1:9" x14ac:dyDescent="0.25">
      <c r="A221" t="s">
        <v>747</v>
      </c>
      <c r="C221" s="3" t="str">
        <f>HYPERLINK("http://amigo.geneontology.org/amigo/term/GO:0004144","GO:0004144")</f>
        <v>GO:0004144</v>
      </c>
      <c r="D221" t="s">
        <v>748</v>
      </c>
      <c r="E221">
        <v>57</v>
      </c>
      <c r="F221">
        <v>8</v>
      </c>
      <c r="G221" s="4">
        <v>3.4511841792270799E-4</v>
      </c>
      <c r="H221">
        <v>7.2474867763768699E-3</v>
      </c>
      <c r="I221" t="s">
        <v>749</v>
      </c>
    </row>
    <row r="222" spans="1:9" x14ac:dyDescent="0.25">
      <c r="A222" t="s">
        <v>750</v>
      </c>
      <c r="C222" s="3" t="str">
        <f>HYPERLINK("http://amigo.geneontology.org/amigo/term/GO:0000145","GO:0000145")</f>
        <v>GO:0000145</v>
      </c>
      <c r="D222" t="s">
        <v>751</v>
      </c>
      <c r="E222">
        <v>174</v>
      </c>
      <c r="F222">
        <v>15</v>
      </c>
      <c r="G222" s="4">
        <v>3.4773070666697101E-4</v>
      </c>
      <c r="H222">
        <v>7.3023448400063896E-3</v>
      </c>
      <c r="I222" t="s">
        <v>752</v>
      </c>
    </row>
    <row r="223" spans="1:9" x14ac:dyDescent="0.25">
      <c r="A223" t="s">
        <v>753</v>
      </c>
      <c r="C223" s="3" t="str">
        <f>HYPERLINK("http://amigo.geneontology.org/amigo/term/GO:0090701","GO:0090701")</f>
        <v>GO:0090701</v>
      </c>
      <c r="D223" t="s">
        <v>754</v>
      </c>
      <c r="E223">
        <v>12</v>
      </c>
      <c r="F223">
        <v>4</v>
      </c>
      <c r="G223" s="4">
        <v>3.6433924120476898E-4</v>
      </c>
      <c r="H223">
        <v>7.6511240653001598E-3</v>
      </c>
      <c r="I223" t="s">
        <v>755</v>
      </c>
    </row>
    <row r="224" spans="1:9" x14ac:dyDescent="0.25">
      <c r="A224" t="s">
        <v>756</v>
      </c>
      <c r="C224" s="3" t="str">
        <f>HYPERLINK("http://amigo.geneontology.org/amigo/term/GO:0010093","GO:0010093")</f>
        <v>GO:0010093</v>
      </c>
      <c r="D224" t="s">
        <v>757</v>
      </c>
      <c r="E224">
        <v>12</v>
      </c>
      <c r="F224">
        <v>4</v>
      </c>
      <c r="G224" s="4">
        <v>3.6433924120476898E-4</v>
      </c>
      <c r="H224">
        <v>7.6511240653001598E-3</v>
      </c>
      <c r="I224" t="s">
        <v>755</v>
      </c>
    </row>
    <row r="225" spans="1:9" x14ac:dyDescent="0.25">
      <c r="A225" t="s">
        <v>758</v>
      </c>
      <c r="C225" s="3" t="str">
        <f>HYPERLINK("http://amigo.geneontology.org/amigo/term/GO:0005856","GO:0005856")</f>
        <v>GO:0005856</v>
      </c>
      <c r="D225" t="s">
        <v>759</v>
      </c>
      <c r="E225">
        <v>516</v>
      </c>
      <c r="F225">
        <v>31</v>
      </c>
      <c r="G225" s="4">
        <v>3.8616174993406699E-4</v>
      </c>
      <c r="H225">
        <v>8.1093967486154106E-3</v>
      </c>
      <c r="I225" t="s">
        <v>760</v>
      </c>
    </row>
    <row r="226" spans="1:9" x14ac:dyDescent="0.25">
      <c r="A226" t="s">
        <v>761</v>
      </c>
      <c r="C226" s="3" t="str">
        <f>HYPERLINK("http://amigo.geneontology.org/amigo/term/GO:0009311","GO:0009311")</f>
        <v>GO:0009311</v>
      </c>
      <c r="D226" t="s">
        <v>762</v>
      </c>
      <c r="E226">
        <v>275</v>
      </c>
      <c r="F226">
        <v>20</v>
      </c>
      <c r="G226" s="4">
        <v>3.9060606693981301E-4</v>
      </c>
      <c r="H226">
        <v>8.2027274057360801E-3</v>
      </c>
      <c r="I226" t="s">
        <v>674</v>
      </c>
    </row>
    <row r="227" spans="1:9" x14ac:dyDescent="0.25">
      <c r="A227" t="s">
        <v>763</v>
      </c>
      <c r="C227" s="3" t="str">
        <f>HYPERLINK("http://amigo.geneontology.org/amigo/term/GO:0016999","GO:0016999")</f>
        <v>GO:0016999</v>
      </c>
      <c r="D227" t="s">
        <v>764</v>
      </c>
      <c r="E227">
        <v>427</v>
      </c>
      <c r="F227">
        <v>27</v>
      </c>
      <c r="G227" s="4">
        <v>4.08743171519403E-4</v>
      </c>
      <c r="H227">
        <v>8.1748634303880699E-3</v>
      </c>
      <c r="I227" t="s">
        <v>765</v>
      </c>
    </row>
    <row r="228" spans="1:9" x14ac:dyDescent="0.25">
      <c r="A228" t="s">
        <v>766</v>
      </c>
      <c r="C228" s="3" t="str">
        <f>HYPERLINK("http://amigo.geneontology.org/amigo/term/GO:0005507","GO:0005507")</f>
        <v>GO:0005507</v>
      </c>
      <c r="D228" t="s">
        <v>767</v>
      </c>
      <c r="E228">
        <v>451</v>
      </c>
      <c r="F228">
        <v>28</v>
      </c>
      <c r="G228" s="4">
        <v>4.3179528634697701E-4</v>
      </c>
      <c r="H228">
        <v>8.6359057269395495E-3</v>
      </c>
      <c r="I228" t="s">
        <v>768</v>
      </c>
    </row>
    <row r="229" spans="1:9" x14ac:dyDescent="0.25">
      <c r="A229" t="s">
        <v>769</v>
      </c>
      <c r="C229" s="3" t="str">
        <f>HYPERLINK("http://amigo.geneontology.org/amigo/term/GO:0044448","GO:0044448")</f>
        <v>GO:0044448</v>
      </c>
      <c r="D229" t="s">
        <v>770</v>
      </c>
      <c r="E229">
        <v>178</v>
      </c>
      <c r="F229">
        <v>15</v>
      </c>
      <c r="G229" s="4">
        <v>4.4269895262858398E-4</v>
      </c>
      <c r="H229">
        <v>8.8539790525716897E-3</v>
      </c>
      <c r="I229" t="s">
        <v>752</v>
      </c>
    </row>
    <row r="230" spans="1:9" x14ac:dyDescent="0.25">
      <c r="A230" t="s">
        <v>771</v>
      </c>
      <c r="C230" s="3" t="str">
        <f>HYPERLINK("http://amigo.geneontology.org/amigo/term/GO:0016049","GO:0016049")</f>
        <v>GO:0016049</v>
      </c>
      <c r="D230" t="s">
        <v>772</v>
      </c>
      <c r="E230">
        <v>217</v>
      </c>
      <c r="F230">
        <v>17</v>
      </c>
      <c r="G230" s="4">
        <v>4.47139921684772E-4</v>
      </c>
      <c r="H230">
        <v>8.9427984336954494E-3</v>
      </c>
      <c r="I230" t="s">
        <v>773</v>
      </c>
    </row>
    <row r="231" spans="1:9" x14ac:dyDescent="0.25">
      <c r="A231" t="s">
        <v>774</v>
      </c>
      <c r="C231" s="3" t="str">
        <f>HYPERLINK("http://amigo.geneontology.org/amigo/term/GO:0008643","GO:0008643")</f>
        <v>GO:0008643</v>
      </c>
      <c r="D231" t="s">
        <v>80</v>
      </c>
      <c r="E231">
        <v>124</v>
      </c>
      <c r="F231">
        <v>12</v>
      </c>
      <c r="G231" s="4">
        <v>4.69527832769022E-4</v>
      </c>
      <c r="H231">
        <v>9.3905566553804509E-3</v>
      </c>
      <c r="I231" t="s">
        <v>775</v>
      </c>
    </row>
    <row r="232" spans="1:9" x14ac:dyDescent="0.25">
      <c r="A232" t="s">
        <v>776</v>
      </c>
      <c r="C232" s="3" t="str">
        <f>HYPERLINK("http://amigo.geneontology.org/amigo/term/GO:0046352","GO:0046352")</f>
        <v>GO:0046352</v>
      </c>
      <c r="D232" t="s">
        <v>777</v>
      </c>
      <c r="E232">
        <v>13</v>
      </c>
      <c r="F232">
        <v>4</v>
      </c>
      <c r="G232" s="4">
        <v>5.1343170342017797E-4</v>
      </c>
      <c r="H232">
        <v>1.02686340684035E-2</v>
      </c>
      <c r="I232" t="s">
        <v>584</v>
      </c>
    </row>
    <row r="233" spans="1:9" x14ac:dyDescent="0.25">
      <c r="A233" t="s">
        <v>778</v>
      </c>
      <c r="C233" s="3" t="str">
        <f>HYPERLINK("http://amigo.geneontology.org/amigo/term/GO:0008154","GO:0008154")</f>
        <v>GO:0008154</v>
      </c>
      <c r="D233" t="s">
        <v>779</v>
      </c>
      <c r="E233">
        <v>34</v>
      </c>
      <c r="F233">
        <v>6</v>
      </c>
      <c r="G233" s="4">
        <v>5.4366284913990703E-4</v>
      </c>
      <c r="H233">
        <v>1.0873256982798099E-2</v>
      </c>
      <c r="I233" t="s">
        <v>652</v>
      </c>
    </row>
    <row r="234" spans="1:9" x14ac:dyDescent="0.25">
      <c r="A234" t="s">
        <v>780</v>
      </c>
      <c r="C234" s="3" t="str">
        <f>HYPERLINK("http://amigo.geneontology.org/amigo/term/GO:0098590","GO:0098590")</f>
        <v>GO:0098590</v>
      </c>
      <c r="D234" t="s">
        <v>781</v>
      </c>
      <c r="E234">
        <v>6</v>
      </c>
      <c r="F234">
        <v>3</v>
      </c>
      <c r="G234" s="4">
        <v>5.4421251444400495E-4</v>
      </c>
      <c r="H234">
        <v>1.08842502888801E-2</v>
      </c>
      <c r="I234" t="s">
        <v>668</v>
      </c>
    </row>
    <row r="235" spans="1:9" x14ac:dyDescent="0.25">
      <c r="A235" t="s">
        <v>782</v>
      </c>
      <c r="C235" s="3" t="str">
        <f>HYPERLINK("http://amigo.geneontology.org/amigo/term/GO:0004497","GO:0004497")</f>
        <v>GO:0004497</v>
      </c>
      <c r="D235" t="s">
        <v>783</v>
      </c>
      <c r="E235">
        <v>891</v>
      </c>
      <c r="F235">
        <v>46</v>
      </c>
      <c r="G235" s="4">
        <v>5.6671881361812797E-4</v>
      </c>
      <c r="H235">
        <v>1.1334376272362501E-2</v>
      </c>
      <c r="I235" t="s">
        <v>784</v>
      </c>
    </row>
    <row r="236" spans="1:9" x14ac:dyDescent="0.25">
      <c r="A236" t="s">
        <v>785</v>
      </c>
      <c r="C236" s="3" t="str">
        <f>HYPERLINK("http://amigo.geneontology.org/amigo/term/GO:0010393","GO:0010393")</f>
        <v>GO:0010393</v>
      </c>
      <c r="D236" t="s">
        <v>786</v>
      </c>
      <c r="E236">
        <v>77</v>
      </c>
      <c r="F236">
        <v>9</v>
      </c>
      <c r="G236" s="4">
        <v>6.0210381245743704E-4</v>
      </c>
      <c r="H236">
        <v>1.1439972436691301E-2</v>
      </c>
      <c r="I236" t="s">
        <v>787</v>
      </c>
    </row>
    <row r="237" spans="1:9" x14ac:dyDescent="0.25">
      <c r="A237" t="s">
        <v>788</v>
      </c>
      <c r="C237" s="3" t="str">
        <f>HYPERLINK("http://amigo.geneontology.org/amigo/term/GO:0045488","GO:0045488")</f>
        <v>GO:0045488</v>
      </c>
      <c r="D237" t="s">
        <v>789</v>
      </c>
      <c r="E237">
        <v>77</v>
      </c>
      <c r="F237">
        <v>9</v>
      </c>
      <c r="G237" s="4">
        <v>6.0210381245743704E-4</v>
      </c>
      <c r="H237">
        <v>1.20420762491487E-2</v>
      </c>
      <c r="I237" t="s">
        <v>787</v>
      </c>
    </row>
    <row r="238" spans="1:9" x14ac:dyDescent="0.25">
      <c r="A238" t="s">
        <v>790</v>
      </c>
      <c r="C238" s="3" t="str">
        <f>HYPERLINK("http://amigo.geneontology.org/amigo/term/GO:0016773","GO:0016773")</f>
        <v>GO:0016773</v>
      </c>
      <c r="D238" t="s">
        <v>791</v>
      </c>
      <c r="E238">
        <v>6062</v>
      </c>
      <c r="F238">
        <v>230</v>
      </c>
      <c r="G238" s="4">
        <v>6.3728853227842995E-4</v>
      </c>
      <c r="H238">
        <v>1.21084821132901E-2</v>
      </c>
      <c r="I238" t="s">
        <v>792</v>
      </c>
    </row>
    <row r="239" spans="1:9" x14ac:dyDescent="0.25">
      <c r="A239" t="s">
        <v>793</v>
      </c>
      <c r="C239" s="3" t="str">
        <f>HYPERLINK("http://amigo.geneontology.org/amigo/term/GO:0016411","GO:0016411")</f>
        <v>GO:0016411</v>
      </c>
      <c r="D239" t="s">
        <v>794</v>
      </c>
      <c r="E239">
        <v>63</v>
      </c>
      <c r="F239">
        <v>8</v>
      </c>
      <c r="G239" s="4">
        <v>6.8743357504353101E-4</v>
      </c>
      <c r="H239">
        <v>1.3061237925827E-2</v>
      </c>
      <c r="I239" t="s">
        <v>749</v>
      </c>
    </row>
    <row r="240" spans="1:9" x14ac:dyDescent="0.25">
      <c r="A240" t="s">
        <v>795</v>
      </c>
      <c r="C240" s="3" t="str">
        <f>HYPERLINK("http://amigo.geneontology.org/amigo/term/GO:0009313","GO:0009313")</f>
        <v>GO:0009313</v>
      </c>
      <c r="D240" t="s">
        <v>796</v>
      </c>
      <c r="E240">
        <v>14</v>
      </c>
      <c r="F240">
        <v>4</v>
      </c>
      <c r="G240" s="4">
        <v>7.0129137859954705E-4</v>
      </c>
      <c r="H240">
        <v>1.3324536193391299E-2</v>
      </c>
      <c r="I240" t="s">
        <v>584</v>
      </c>
    </row>
    <row r="241" spans="1:9" x14ac:dyDescent="0.25">
      <c r="A241" t="s">
        <v>797</v>
      </c>
      <c r="C241" s="3" t="str">
        <f>HYPERLINK("http://amigo.geneontology.org/amigo/term/GO:0140029","GO:0140029")</f>
        <v>GO:0140029</v>
      </c>
      <c r="D241" t="s">
        <v>798</v>
      </c>
      <c r="E241">
        <v>37</v>
      </c>
      <c r="F241">
        <v>6</v>
      </c>
      <c r="G241" s="4">
        <v>8.6867300210945902E-4</v>
      </c>
      <c r="H241">
        <v>1.65047870400797E-2</v>
      </c>
      <c r="I241" t="s">
        <v>799</v>
      </c>
    </row>
    <row r="242" spans="1:9" x14ac:dyDescent="0.25">
      <c r="A242" t="s">
        <v>800</v>
      </c>
      <c r="C242" s="3" t="str">
        <f>HYPERLINK("http://amigo.geneontology.org/amigo/term/GO:0006904","GO:0006904")</f>
        <v>GO:0006904</v>
      </c>
      <c r="D242" t="s">
        <v>801</v>
      </c>
      <c r="E242">
        <v>37</v>
      </c>
      <c r="F242">
        <v>6</v>
      </c>
      <c r="G242" s="4">
        <v>8.6867300210945902E-4</v>
      </c>
      <c r="H242">
        <v>1.65047870400797E-2</v>
      </c>
      <c r="I242" t="s">
        <v>799</v>
      </c>
    </row>
    <row r="243" spans="1:9" x14ac:dyDescent="0.25">
      <c r="A243" t="s">
        <v>802</v>
      </c>
      <c r="C243" s="3" t="str">
        <f>HYPERLINK("http://amigo.geneontology.org/amigo/term/GO:0016620","GO:0016620")</f>
        <v>GO:0016620</v>
      </c>
      <c r="D243" t="s">
        <v>803</v>
      </c>
      <c r="E243">
        <v>152</v>
      </c>
      <c r="F243">
        <v>13</v>
      </c>
      <c r="G243" s="4">
        <v>9.0294560195637098E-4</v>
      </c>
      <c r="H243">
        <v>1.7155966437170999E-2</v>
      </c>
      <c r="I243" t="s">
        <v>804</v>
      </c>
    </row>
    <row r="244" spans="1:9" x14ac:dyDescent="0.25">
      <c r="A244" t="s">
        <v>805</v>
      </c>
      <c r="C244" s="3" t="str">
        <f>HYPERLINK("http://amigo.geneontology.org/amigo/term/GO:0052866","GO:0052866")</f>
        <v>GO:0052866</v>
      </c>
      <c r="D244" t="s">
        <v>101</v>
      </c>
      <c r="E244">
        <v>15</v>
      </c>
      <c r="F244">
        <v>4</v>
      </c>
      <c r="G244" s="4">
        <v>9.3303258654005598E-4</v>
      </c>
      <c r="H244">
        <v>1.7727619144260999E-2</v>
      </c>
      <c r="I244" t="s">
        <v>806</v>
      </c>
    </row>
    <row r="245" spans="1:9" x14ac:dyDescent="0.25">
      <c r="A245" t="s">
        <v>807</v>
      </c>
      <c r="C245" s="3" t="str">
        <f>HYPERLINK("http://amigo.geneontology.org/amigo/term/GO:0005543","GO:0005543")</f>
        <v>GO:0005543</v>
      </c>
      <c r="D245" t="s">
        <v>808</v>
      </c>
      <c r="E245">
        <v>134</v>
      </c>
      <c r="F245">
        <v>12</v>
      </c>
      <c r="G245" s="4">
        <v>9.3882428892034695E-4</v>
      </c>
      <c r="H245">
        <v>1.7837661489486501E-2</v>
      </c>
      <c r="I245" t="s">
        <v>809</v>
      </c>
    </row>
    <row r="246" spans="1:9" x14ac:dyDescent="0.25">
      <c r="A246" t="s">
        <v>810</v>
      </c>
      <c r="C246" s="3" t="str">
        <f>HYPERLINK("http://amigo.geneontology.org/amigo/term/GO:0006814","GO:0006814")</f>
        <v>GO:0006814</v>
      </c>
      <c r="D246" t="s">
        <v>811</v>
      </c>
      <c r="E246">
        <v>66</v>
      </c>
      <c r="F246">
        <v>8</v>
      </c>
      <c r="G246" s="4">
        <v>9.3998537178732701E-4</v>
      </c>
      <c r="H246">
        <v>1.7859722063959201E-2</v>
      </c>
      <c r="I246" t="s">
        <v>812</v>
      </c>
    </row>
    <row r="247" spans="1:9" x14ac:dyDescent="0.25">
      <c r="A247" t="s">
        <v>813</v>
      </c>
      <c r="C247" s="3" t="str">
        <f>HYPERLINK("http://amigo.geneontology.org/amigo/term/GO:0010262","GO:0010262")</f>
        <v>GO:0010262</v>
      </c>
      <c r="D247" t="s">
        <v>814</v>
      </c>
      <c r="E247">
        <v>2</v>
      </c>
      <c r="F247">
        <v>2</v>
      </c>
      <c r="G247" s="4">
        <v>9.4822618496749405E-4</v>
      </c>
      <c r="H247">
        <v>1.8016297514382398E-2</v>
      </c>
      <c r="I247" t="s">
        <v>815</v>
      </c>
    </row>
    <row r="248" spans="1:9" x14ac:dyDescent="0.25">
      <c r="A248" t="s">
        <v>816</v>
      </c>
      <c r="C248" s="3" t="str">
        <f>HYPERLINK("http://amigo.geneontology.org/amigo/term/GO:0010373","GO:0010373")</f>
        <v>GO:0010373</v>
      </c>
      <c r="D248" t="s">
        <v>817</v>
      </c>
      <c r="E248">
        <v>2</v>
      </c>
      <c r="F248">
        <v>2</v>
      </c>
      <c r="G248" s="4">
        <v>9.4822618496749405E-4</v>
      </c>
      <c r="H248">
        <v>1.8016297514382398E-2</v>
      </c>
      <c r="I248" t="s">
        <v>815</v>
      </c>
    </row>
    <row r="249" spans="1:9" x14ac:dyDescent="0.25">
      <c r="A249" t="s">
        <v>818</v>
      </c>
      <c r="C249" s="3" t="str">
        <f>HYPERLINK("http://amigo.geneontology.org/amigo/term/GO:0051020","GO:0051020")</f>
        <v>GO:0051020</v>
      </c>
      <c r="D249" t="s">
        <v>819</v>
      </c>
      <c r="E249">
        <v>135</v>
      </c>
      <c r="F249">
        <v>12</v>
      </c>
      <c r="G249">
        <v>1.0020015024921199E-3</v>
      </c>
      <c r="H249">
        <v>1.80360270448582E-2</v>
      </c>
      <c r="I249" t="s">
        <v>820</v>
      </c>
    </row>
    <row r="250" spans="1:9" x14ac:dyDescent="0.25">
      <c r="A250" t="s">
        <v>821</v>
      </c>
      <c r="C250" s="3" t="str">
        <f>HYPERLINK("http://amigo.geneontology.org/amigo/term/GO:0008889","GO:0008889")</f>
        <v>GO:0008889</v>
      </c>
      <c r="D250" t="s">
        <v>822</v>
      </c>
      <c r="E250">
        <v>38</v>
      </c>
      <c r="F250">
        <v>6</v>
      </c>
      <c r="G250">
        <v>1.00488596795571E-3</v>
      </c>
      <c r="H250">
        <v>1.8087947423202799E-2</v>
      </c>
      <c r="I250" t="s">
        <v>823</v>
      </c>
    </row>
    <row r="251" spans="1:9" x14ac:dyDescent="0.25">
      <c r="A251" t="s">
        <v>824</v>
      </c>
      <c r="C251" s="3" t="str">
        <f>HYPERLINK("http://amigo.geneontology.org/amigo/term/GO:0008194","GO:0008194")</f>
        <v>GO:0008194</v>
      </c>
      <c r="D251" t="s">
        <v>825</v>
      </c>
      <c r="E251">
        <v>480</v>
      </c>
      <c r="F251">
        <v>28</v>
      </c>
      <c r="G251">
        <v>1.11727626788763E-3</v>
      </c>
      <c r="H251">
        <v>2.0110972821977401E-2</v>
      </c>
      <c r="I251" t="s">
        <v>826</v>
      </c>
    </row>
    <row r="252" spans="1:9" x14ac:dyDescent="0.25">
      <c r="A252" t="s">
        <v>827</v>
      </c>
      <c r="C252" s="3" t="str">
        <f>HYPERLINK("http://amigo.geneontology.org/amigo/term/GO:0044036","GO:0044036")</f>
        <v>GO:0044036</v>
      </c>
      <c r="D252" t="s">
        <v>828</v>
      </c>
      <c r="E252">
        <v>388</v>
      </c>
      <c r="F252">
        <v>24</v>
      </c>
      <c r="G252">
        <v>1.1184327372016E-3</v>
      </c>
      <c r="H252">
        <v>2.01317892696289E-2</v>
      </c>
      <c r="I252" t="s">
        <v>829</v>
      </c>
    </row>
    <row r="253" spans="1:9" x14ac:dyDescent="0.25">
      <c r="A253" t="s">
        <v>830</v>
      </c>
      <c r="C253" s="3" t="str">
        <f>HYPERLINK("http://amigo.geneontology.org/amigo/term/GO:0019953","GO:0019953")</f>
        <v>GO:0019953</v>
      </c>
      <c r="D253" t="s">
        <v>831</v>
      </c>
      <c r="E253">
        <v>301</v>
      </c>
      <c r="F253">
        <v>20</v>
      </c>
      <c r="G253">
        <v>1.1971508028560799E-3</v>
      </c>
      <c r="H253">
        <v>2.15487144514095E-2</v>
      </c>
      <c r="I253" t="s">
        <v>832</v>
      </c>
    </row>
    <row r="254" spans="1:9" x14ac:dyDescent="0.25">
      <c r="A254" t="s">
        <v>833</v>
      </c>
      <c r="C254" s="3" t="str">
        <f>HYPERLINK("http://amigo.geneontology.org/amigo/term/GO:0044703","GO:0044703")</f>
        <v>GO:0044703</v>
      </c>
      <c r="D254" t="s">
        <v>834</v>
      </c>
      <c r="E254">
        <v>302</v>
      </c>
      <c r="F254">
        <v>20</v>
      </c>
      <c r="G254">
        <v>1.24570205003537E-3</v>
      </c>
      <c r="H254">
        <v>2.24226369006367E-2</v>
      </c>
      <c r="I254" t="s">
        <v>832</v>
      </c>
    </row>
    <row r="255" spans="1:9" x14ac:dyDescent="0.25">
      <c r="A255" t="s">
        <v>835</v>
      </c>
      <c r="C255" s="3" t="str">
        <f>HYPERLINK("http://amigo.geneontology.org/amigo/term/GO:0009846","GO:0009846")</f>
        <v>GO:0009846</v>
      </c>
      <c r="D255" t="s">
        <v>836</v>
      </c>
      <c r="E255">
        <v>27</v>
      </c>
      <c r="F255">
        <v>5</v>
      </c>
      <c r="G255">
        <v>1.26499836993217E-3</v>
      </c>
      <c r="H255">
        <v>2.2769970658779001E-2</v>
      </c>
      <c r="I255" t="s">
        <v>837</v>
      </c>
    </row>
    <row r="256" spans="1:9" x14ac:dyDescent="0.25">
      <c r="A256" t="s">
        <v>838</v>
      </c>
      <c r="C256" s="3" t="str">
        <f>HYPERLINK("http://amigo.geneontology.org/amigo/term/GO:0004565","GO:0004565")</f>
        <v>GO:0004565</v>
      </c>
      <c r="D256" t="s">
        <v>839</v>
      </c>
      <c r="E256">
        <v>27</v>
      </c>
      <c r="F256">
        <v>5</v>
      </c>
      <c r="G256">
        <v>1.26499836993217E-3</v>
      </c>
      <c r="H256">
        <v>2.2769970658779001E-2</v>
      </c>
      <c r="I256" t="s">
        <v>840</v>
      </c>
    </row>
    <row r="257" spans="1:9" x14ac:dyDescent="0.25">
      <c r="A257" t="s">
        <v>841</v>
      </c>
      <c r="C257" s="3" t="str">
        <f>HYPERLINK("http://amigo.geneontology.org/amigo/term/GO:0004427","GO:0004427")</f>
        <v>GO:0004427</v>
      </c>
      <c r="D257" t="s">
        <v>842</v>
      </c>
      <c r="E257">
        <v>40</v>
      </c>
      <c r="F257">
        <v>6</v>
      </c>
      <c r="G257">
        <v>1.32594349678154E-3</v>
      </c>
      <c r="H257">
        <v>2.38669829420677E-2</v>
      </c>
      <c r="I257" t="s">
        <v>843</v>
      </c>
    </row>
    <row r="258" spans="1:9" x14ac:dyDescent="0.25">
      <c r="A258" t="s">
        <v>844</v>
      </c>
      <c r="C258" s="3" t="str">
        <f>HYPERLINK("http://amigo.geneontology.org/amigo/term/GO:0048278","GO:0048278")</f>
        <v>GO:0048278</v>
      </c>
      <c r="D258" t="s">
        <v>845</v>
      </c>
      <c r="E258">
        <v>40</v>
      </c>
      <c r="F258">
        <v>6</v>
      </c>
      <c r="G258">
        <v>1.32594349678154E-3</v>
      </c>
      <c r="H258">
        <v>2.38669829420677E-2</v>
      </c>
      <c r="I258" t="s">
        <v>799</v>
      </c>
    </row>
    <row r="259" spans="1:9" x14ac:dyDescent="0.25">
      <c r="A259" t="s">
        <v>846</v>
      </c>
      <c r="C259" s="3" t="str">
        <f>HYPERLINK("http://amigo.geneontology.org/amigo/term/GO:0015925","GO:0015925")</f>
        <v>GO:0015925</v>
      </c>
      <c r="D259" t="s">
        <v>847</v>
      </c>
      <c r="E259">
        <v>40</v>
      </c>
      <c r="F259">
        <v>6</v>
      </c>
      <c r="G259">
        <v>1.32594349678154E-3</v>
      </c>
      <c r="H259">
        <v>2.38669829420677E-2</v>
      </c>
      <c r="I259" t="s">
        <v>848</v>
      </c>
    </row>
    <row r="260" spans="1:9" x14ac:dyDescent="0.25">
      <c r="A260" t="s">
        <v>849</v>
      </c>
      <c r="C260" s="3" t="str">
        <f>HYPERLINK("http://amigo.geneontology.org/amigo/term/GO:0019685","GO:0019685")</f>
        <v>GO:0019685</v>
      </c>
      <c r="D260" t="s">
        <v>850</v>
      </c>
      <c r="E260">
        <v>17</v>
      </c>
      <c r="F260">
        <v>4</v>
      </c>
      <c r="G260">
        <v>1.5487335853962201E-3</v>
      </c>
      <c r="H260">
        <v>2.7877204537132001E-2</v>
      </c>
      <c r="I260" t="s">
        <v>851</v>
      </c>
    </row>
    <row r="261" spans="1:9" x14ac:dyDescent="0.25">
      <c r="A261" t="s">
        <v>852</v>
      </c>
      <c r="C261" s="3" t="str">
        <f>HYPERLINK("http://amigo.geneontology.org/amigo/term/GO:0019253","GO:0019253")</f>
        <v>GO:0019253</v>
      </c>
      <c r="D261" t="s">
        <v>853</v>
      </c>
      <c r="E261">
        <v>17</v>
      </c>
      <c r="F261">
        <v>4</v>
      </c>
      <c r="G261">
        <v>1.5487335853962201E-3</v>
      </c>
      <c r="H261">
        <v>2.7877204537132001E-2</v>
      </c>
      <c r="I261" t="s">
        <v>851</v>
      </c>
    </row>
    <row r="262" spans="1:9" x14ac:dyDescent="0.25">
      <c r="A262" t="s">
        <v>854</v>
      </c>
      <c r="C262" s="3" t="str">
        <f>HYPERLINK("http://amigo.geneontology.org/amigo/term/GO:0016740","GO:0016740")</f>
        <v>GO:0016740</v>
      </c>
      <c r="D262" t="s">
        <v>855</v>
      </c>
      <c r="E262">
        <v>12925</v>
      </c>
      <c r="F262">
        <v>452</v>
      </c>
      <c r="G262">
        <v>1.65265541249662E-3</v>
      </c>
      <c r="H262">
        <v>2.80951420124427E-2</v>
      </c>
      <c r="I262" t="s">
        <v>856</v>
      </c>
    </row>
    <row r="263" spans="1:9" x14ac:dyDescent="0.25">
      <c r="A263" t="s">
        <v>857</v>
      </c>
      <c r="C263" s="3" t="str">
        <f>HYPERLINK("http://amigo.geneontology.org/amigo/term/GO:0004252","GO:0004252")</f>
        <v>GO:0004252</v>
      </c>
      <c r="D263" t="s">
        <v>858</v>
      </c>
      <c r="E263">
        <v>446</v>
      </c>
      <c r="F263">
        <v>26</v>
      </c>
      <c r="G263">
        <v>1.6564369125419099E-3</v>
      </c>
      <c r="H263">
        <v>2.8159427513212501E-2</v>
      </c>
      <c r="I263" t="s">
        <v>859</v>
      </c>
    </row>
    <row r="264" spans="1:9" x14ac:dyDescent="0.25">
      <c r="A264" t="s">
        <v>860</v>
      </c>
      <c r="C264" s="3" t="str">
        <f>HYPERLINK("http://amigo.geneontology.org/amigo/term/GO:0005887","GO:0005887")</f>
        <v>GO:0005887</v>
      </c>
      <c r="D264" t="s">
        <v>861</v>
      </c>
      <c r="E264">
        <v>29</v>
      </c>
      <c r="F264">
        <v>5</v>
      </c>
      <c r="G264">
        <v>1.76836409815189E-3</v>
      </c>
      <c r="H264">
        <v>3.00621896685822E-2</v>
      </c>
      <c r="I264" t="s">
        <v>862</v>
      </c>
    </row>
    <row r="265" spans="1:9" x14ac:dyDescent="0.25">
      <c r="A265" t="s">
        <v>863</v>
      </c>
      <c r="C265" s="3" t="str">
        <f>HYPERLINK("http://amigo.geneontology.org/amigo/term/GO:0016682","GO:0016682")</f>
        <v>GO:0016682</v>
      </c>
      <c r="D265" t="s">
        <v>864</v>
      </c>
      <c r="E265">
        <v>126</v>
      </c>
      <c r="F265">
        <v>11</v>
      </c>
      <c r="G265">
        <v>1.8477213136721001E-3</v>
      </c>
      <c r="H265">
        <v>3.14112623324257E-2</v>
      </c>
      <c r="I265" t="s">
        <v>865</v>
      </c>
    </row>
    <row r="266" spans="1:9" x14ac:dyDescent="0.25">
      <c r="A266" t="s">
        <v>866</v>
      </c>
      <c r="C266" s="3" t="str">
        <f>HYPERLINK("http://amigo.geneontology.org/amigo/term/GO:0051273","GO:0051273")</f>
        <v>GO:0051273</v>
      </c>
      <c r="D266" t="s">
        <v>867</v>
      </c>
      <c r="E266">
        <v>248</v>
      </c>
      <c r="F266">
        <v>17</v>
      </c>
      <c r="G266">
        <v>1.9388195692524801E-3</v>
      </c>
      <c r="H266">
        <v>3.2959932677292199E-2</v>
      </c>
      <c r="I266" t="s">
        <v>868</v>
      </c>
    </row>
    <row r="267" spans="1:9" x14ac:dyDescent="0.25">
      <c r="A267" t="s">
        <v>869</v>
      </c>
      <c r="C267" s="3" t="str">
        <f>HYPERLINK("http://amigo.geneontology.org/amigo/term/GO:0005388","GO:0005388")</f>
        <v>GO:0005388</v>
      </c>
      <c r="D267" t="s">
        <v>870</v>
      </c>
      <c r="E267">
        <v>43</v>
      </c>
      <c r="F267">
        <v>6</v>
      </c>
      <c r="G267">
        <v>1.9472723952218001E-3</v>
      </c>
      <c r="H267">
        <v>3.3103630718770698E-2</v>
      </c>
      <c r="I267" t="s">
        <v>871</v>
      </c>
    </row>
    <row r="268" spans="1:9" x14ac:dyDescent="0.25">
      <c r="A268" t="s">
        <v>872</v>
      </c>
      <c r="C268" s="3" t="str">
        <f>HYPERLINK("http://amigo.geneontology.org/amigo/term/GO:0022406","GO:0022406")</f>
        <v>GO:0022406</v>
      </c>
      <c r="D268" t="s">
        <v>873</v>
      </c>
      <c r="E268">
        <v>43</v>
      </c>
      <c r="F268">
        <v>6</v>
      </c>
      <c r="G268">
        <v>1.9472723952218001E-3</v>
      </c>
      <c r="H268">
        <v>3.3103630718770698E-2</v>
      </c>
      <c r="I268" t="s">
        <v>799</v>
      </c>
    </row>
    <row r="269" spans="1:9" x14ac:dyDescent="0.25">
      <c r="A269" t="s">
        <v>874</v>
      </c>
      <c r="C269" s="3" t="str">
        <f>HYPERLINK("http://amigo.geneontology.org/amigo/term/GO:0140056","GO:0140056")</f>
        <v>GO:0140056</v>
      </c>
      <c r="D269" t="s">
        <v>875</v>
      </c>
      <c r="E269">
        <v>43</v>
      </c>
      <c r="F269">
        <v>6</v>
      </c>
      <c r="G269">
        <v>1.9472723952218001E-3</v>
      </c>
      <c r="H269">
        <v>3.3103630718770698E-2</v>
      </c>
      <c r="I269" t="s">
        <v>799</v>
      </c>
    </row>
    <row r="270" spans="1:9" x14ac:dyDescent="0.25">
      <c r="A270" t="s">
        <v>876</v>
      </c>
      <c r="C270" s="3" t="str">
        <f>HYPERLINK("http://amigo.geneontology.org/amigo/term/GO:0099023","GO:0099023")</f>
        <v>GO:0099023</v>
      </c>
      <c r="D270" t="s">
        <v>877</v>
      </c>
      <c r="E270">
        <v>206</v>
      </c>
      <c r="F270">
        <v>15</v>
      </c>
      <c r="G270">
        <v>1.94806159957258E-3</v>
      </c>
      <c r="H270">
        <v>3.3117047192733902E-2</v>
      </c>
      <c r="I270" t="s">
        <v>752</v>
      </c>
    </row>
    <row r="271" spans="1:9" x14ac:dyDescent="0.25">
      <c r="A271" t="s">
        <v>878</v>
      </c>
      <c r="C271" s="3" t="str">
        <f>HYPERLINK("http://amigo.geneontology.org/amigo/term/GO:0065009","GO:0065009")</f>
        <v>GO:0065009</v>
      </c>
      <c r="D271" t="s">
        <v>879</v>
      </c>
      <c r="E271">
        <v>647</v>
      </c>
      <c r="F271">
        <v>34</v>
      </c>
      <c r="G271">
        <v>2.0756410533964002E-3</v>
      </c>
      <c r="H271">
        <v>3.5285897907738797E-2</v>
      </c>
      <c r="I271" t="s">
        <v>880</v>
      </c>
    </row>
    <row r="272" spans="1:9" x14ac:dyDescent="0.25">
      <c r="A272" t="s">
        <v>881</v>
      </c>
      <c r="C272" s="3" t="str">
        <f>HYPERLINK("http://amigo.geneontology.org/amigo/term/GO:0004420","GO:0004420")</f>
        <v>GO:0004420</v>
      </c>
      <c r="D272" t="s">
        <v>882</v>
      </c>
      <c r="E272">
        <v>9</v>
      </c>
      <c r="F272">
        <v>3</v>
      </c>
      <c r="G272">
        <v>2.1320648157743E-3</v>
      </c>
      <c r="H272">
        <v>3.6245101868163203E-2</v>
      </c>
      <c r="I272" t="s">
        <v>883</v>
      </c>
    </row>
    <row r="273" spans="1:9" x14ac:dyDescent="0.25">
      <c r="A273" t="s">
        <v>884</v>
      </c>
      <c r="C273" s="3" t="str">
        <f>HYPERLINK("http://amigo.geneontology.org/amigo/term/GO:0015908","GO:0015908")</f>
        <v>GO:0015908</v>
      </c>
      <c r="D273" t="s">
        <v>885</v>
      </c>
      <c r="E273">
        <v>19</v>
      </c>
      <c r="F273">
        <v>4</v>
      </c>
      <c r="G273">
        <v>2.4014177475762399E-3</v>
      </c>
      <c r="H273">
        <v>4.08241017087961E-2</v>
      </c>
      <c r="I273" t="s">
        <v>886</v>
      </c>
    </row>
    <row r="274" spans="1:9" x14ac:dyDescent="0.25">
      <c r="A274" t="s">
        <v>887</v>
      </c>
      <c r="C274" s="3" t="str">
        <f>HYPERLINK("http://amigo.geneontology.org/amigo/term/GO:0044283","GO:0044283")</f>
        <v>GO:0044283</v>
      </c>
      <c r="D274" t="s">
        <v>888</v>
      </c>
      <c r="E274">
        <v>1875</v>
      </c>
      <c r="F274">
        <v>80</v>
      </c>
      <c r="G274">
        <v>2.47003413881507E-3</v>
      </c>
      <c r="H274">
        <v>4.19905803598562E-2</v>
      </c>
      <c r="I274" t="s">
        <v>889</v>
      </c>
    </row>
    <row r="275" spans="1:9" x14ac:dyDescent="0.25">
      <c r="A275" t="s">
        <v>890</v>
      </c>
      <c r="C275" s="3" t="str">
        <f>HYPERLINK("http://amigo.geneontology.org/amigo/term/GO:0046835","GO:0046835")</f>
        <v>GO:0046835</v>
      </c>
      <c r="D275" t="s">
        <v>891</v>
      </c>
      <c r="E275">
        <v>78</v>
      </c>
      <c r="F275">
        <v>8</v>
      </c>
      <c r="G275">
        <v>2.77646274128787E-3</v>
      </c>
      <c r="H275">
        <v>4.7199866601893903E-2</v>
      </c>
      <c r="I275" t="s">
        <v>892</v>
      </c>
    </row>
    <row r="276" spans="1:9" x14ac:dyDescent="0.25">
      <c r="A276" t="s">
        <v>893</v>
      </c>
      <c r="C276" s="3" t="str">
        <f>HYPERLINK("http://amigo.geneontology.org/amigo/term/GO:0015245","GO:0015245")</f>
        <v>GO:0015245</v>
      </c>
      <c r="D276" t="s">
        <v>894</v>
      </c>
      <c r="E276">
        <v>3</v>
      </c>
      <c r="F276">
        <v>2</v>
      </c>
      <c r="G276">
        <v>2.78631633220523E-3</v>
      </c>
      <c r="H276">
        <v>4.1794744983078398E-2</v>
      </c>
      <c r="I276" t="s">
        <v>895</v>
      </c>
    </row>
    <row r="277" spans="1:9" x14ac:dyDescent="0.25">
      <c r="A277" t="s">
        <v>896</v>
      </c>
      <c r="C277" s="3" t="str">
        <f>HYPERLINK("http://amigo.geneontology.org/amigo/term/GO:0080051","GO:0080051")</f>
        <v>GO:0080051</v>
      </c>
      <c r="D277" t="s">
        <v>897</v>
      </c>
      <c r="E277">
        <v>3</v>
      </c>
      <c r="F277">
        <v>2</v>
      </c>
      <c r="G277">
        <v>2.78631633220523E-3</v>
      </c>
      <c r="H277">
        <v>4.45810613152837E-2</v>
      </c>
      <c r="I277" t="s">
        <v>895</v>
      </c>
    </row>
    <row r="278" spans="1:9" x14ac:dyDescent="0.25">
      <c r="A278" t="s">
        <v>898</v>
      </c>
      <c r="C278" s="3" t="str">
        <f>HYPERLINK("http://amigo.geneontology.org/amigo/term/GO:0010599","GO:0010599")</f>
        <v>GO:0010599</v>
      </c>
      <c r="D278" t="s">
        <v>899</v>
      </c>
      <c r="E278">
        <v>3</v>
      </c>
      <c r="F278">
        <v>2</v>
      </c>
      <c r="G278">
        <v>2.78631633220523E-3</v>
      </c>
      <c r="H278">
        <v>4.45810613152837E-2</v>
      </c>
      <c r="I278" t="s">
        <v>900</v>
      </c>
    </row>
    <row r="279" spans="1:9" x14ac:dyDescent="0.25">
      <c r="A279" t="s">
        <v>901</v>
      </c>
      <c r="C279" s="3" t="str">
        <f>HYPERLINK("http://amigo.geneontology.org/amigo/term/GO:0062013","GO:0062013")</f>
        <v>GO:0062013</v>
      </c>
      <c r="D279" t="s">
        <v>902</v>
      </c>
      <c r="E279">
        <v>3</v>
      </c>
      <c r="F279">
        <v>2</v>
      </c>
      <c r="G279">
        <v>2.78631633220523E-3</v>
      </c>
      <c r="H279">
        <v>4.45810613152837E-2</v>
      </c>
      <c r="I279" t="s">
        <v>815</v>
      </c>
    </row>
    <row r="280" spans="1:9" x14ac:dyDescent="0.25">
      <c r="A280" t="s">
        <v>903</v>
      </c>
      <c r="C280" s="3" t="str">
        <f>HYPERLINK("http://amigo.geneontology.org/amigo/term/GO:1902932","GO:1902932")</f>
        <v>GO:1902932</v>
      </c>
      <c r="D280" t="s">
        <v>904</v>
      </c>
      <c r="E280">
        <v>3</v>
      </c>
      <c r="F280">
        <v>2</v>
      </c>
      <c r="G280">
        <v>2.78631633220523E-3</v>
      </c>
      <c r="H280">
        <v>4.45810613152837E-2</v>
      </c>
      <c r="I280" t="s">
        <v>815</v>
      </c>
    </row>
    <row r="281" spans="1:9" x14ac:dyDescent="0.25">
      <c r="A281" t="s">
        <v>905</v>
      </c>
      <c r="C281" s="3" t="str">
        <f>HYPERLINK("http://amigo.geneontology.org/amigo/term/GO:0010116","GO:0010116")</f>
        <v>GO:0010116</v>
      </c>
      <c r="D281" t="s">
        <v>906</v>
      </c>
      <c r="E281">
        <v>3</v>
      </c>
      <c r="F281">
        <v>2</v>
      </c>
      <c r="G281">
        <v>2.78631633220523E-3</v>
      </c>
      <c r="H281">
        <v>4.45810613152837E-2</v>
      </c>
      <c r="I281" t="s">
        <v>815</v>
      </c>
    </row>
    <row r="282" spans="1:9" x14ac:dyDescent="0.25">
      <c r="A282" t="s">
        <v>907</v>
      </c>
      <c r="C282" s="3" t="str">
        <f>HYPERLINK("http://amigo.geneontology.org/amigo/term/GO:0010371","GO:0010371")</f>
        <v>GO:0010371</v>
      </c>
      <c r="D282" t="s">
        <v>908</v>
      </c>
      <c r="E282">
        <v>3</v>
      </c>
      <c r="F282">
        <v>2</v>
      </c>
      <c r="G282">
        <v>2.78631633220523E-3</v>
      </c>
      <c r="H282">
        <v>4.45810613152837E-2</v>
      </c>
      <c r="I282" t="s">
        <v>815</v>
      </c>
    </row>
    <row r="283" spans="1:9" x14ac:dyDescent="0.25">
      <c r="A283" t="s">
        <v>909</v>
      </c>
      <c r="C283" s="3" t="str">
        <f>HYPERLINK("http://amigo.geneontology.org/amigo/term/GO:0009883","GO:0009883")</f>
        <v>GO:0009883</v>
      </c>
      <c r="D283" t="s">
        <v>910</v>
      </c>
      <c r="E283">
        <v>3</v>
      </c>
      <c r="F283">
        <v>2</v>
      </c>
      <c r="G283">
        <v>2.78631633220523E-3</v>
      </c>
      <c r="H283">
        <v>4.45810613152837E-2</v>
      </c>
      <c r="I283" t="s">
        <v>911</v>
      </c>
    </row>
    <row r="284" spans="1:9" x14ac:dyDescent="0.25">
      <c r="A284" t="s">
        <v>912</v>
      </c>
      <c r="C284" s="3" t="str">
        <f>HYPERLINK("http://amigo.geneontology.org/amigo/term/GO:0071490","GO:0071490")</f>
        <v>GO:0071490</v>
      </c>
      <c r="D284" t="s">
        <v>913</v>
      </c>
      <c r="E284">
        <v>3</v>
      </c>
      <c r="F284">
        <v>2</v>
      </c>
      <c r="G284">
        <v>2.78631633220523E-3</v>
      </c>
      <c r="H284">
        <v>4.45810613152837E-2</v>
      </c>
      <c r="I284" t="s">
        <v>911</v>
      </c>
    </row>
    <row r="285" spans="1:9" x14ac:dyDescent="0.25">
      <c r="A285" t="s">
        <v>914</v>
      </c>
      <c r="C285" s="3" t="str">
        <f>HYPERLINK("http://amigo.geneontology.org/amigo/term/GO:0010018","GO:0010018")</f>
        <v>GO:0010018</v>
      </c>
      <c r="D285" t="s">
        <v>915</v>
      </c>
      <c r="E285">
        <v>3</v>
      </c>
      <c r="F285">
        <v>2</v>
      </c>
      <c r="G285">
        <v>2.78631633220523E-3</v>
      </c>
      <c r="H285">
        <v>4.45810613152837E-2</v>
      </c>
      <c r="I285" t="s">
        <v>911</v>
      </c>
    </row>
    <row r="286" spans="1:9" x14ac:dyDescent="0.25">
      <c r="A286" t="s">
        <v>916</v>
      </c>
      <c r="C286" s="3" t="str">
        <f>HYPERLINK("http://amigo.geneontology.org/amigo/term/GO:0071491","GO:0071491")</f>
        <v>GO:0071491</v>
      </c>
      <c r="D286" t="s">
        <v>917</v>
      </c>
      <c r="E286">
        <v>3</v>
      </c>
      <c r="F286">
        <v>2</v>
      </c>
      <c r="G286">
        <v>2.78631633220523E-3</v>
      </c>
      <c r="H286">
        <v>4.45810613152837E-2</v>
      </c>
      <c r="I286" t="s">
        <v>911</v>
      </c>
    </row>
    <row r="287" spans="1:9" x14ac:dyDescent="0.25">
      <c r="A287" t="s">
        <v>918</v>
      </c>
      <c r="C287" s="3" t="str">
        <f>HYPERLINK("http://amigo.geneontology.org/amigo/term/GO:0010161","GO:0010161")</f>
        <v>GO:0010161</v>
      </c>
      <c r="D287" t="s">
        <v>919</v>
      </c>
      <c r="E287">
        <v>3</v>
      </c>
      <c r="F287">
        <v>2</v>
      </c>
      <c r="G287">
        <v>2.78631633220523E-3</v>
      </c>
      <c r="H287">
        <v>4.45810613152837E-2</v>
      </c>
      <c r="I287" t="s">
        <v>911</v>
      </c>
    </row>
    <row r="288" spans="1:9" x14ac:dyDescent="0.25">
      <c r="A288" t="s">
        <v>920</v>
      </c>
      <c r="C288" s="3" t="str">
        <f>HYPERLINK("http://amigo.geneontology.org/amigo/term/GO:0010201","GO:0010201")</f>
        <v>GO:0010201</v>
      </c>
      <c r="D288" t="s">
        <v>921</v>
      </c>
      <c r="E288">
        <v>3</v>
      </c>
      <c r="F288">
        <v>2</v>
      </c>
      <c r="G288">
        <v>2.78631633220523E-3</v>
      </c>
      <c r="H288">
        <v>4.45810613152837E-2</v>
      </c>
      <c r="I288" t="s">
        <v>911</v>
      </c>
    </row>
    <row r="289" spans="1:9" x14ac:dyDescent="0.25">
      <c r="A289" t="s">
        <v>922</v>
      </c>
      <c r="C289" s="3" t="str">
        <f>HYPERLINK("http://amigo.geneontology.org/amigo/term/GO:0010203","GO:0010203")</f>
        <v>GO:0010203</v>
      </c>
      <c r="D289" t="s">
        <v>923</v>
      </c>
      <c r="E289">
        <v>3</v>
      </c>
      <c r="F289">
        <v>2</v>
      </c>
      <c r="G289">
        <v>2.78631633220523E-3</v>
      </c>
      <c r="H289">
        <v>4.45810613152837E-2</v>
      </c>
      <c r="I289" t="s">
        <v>911</v>
      </c>
    </row>
    <row r="290" spans="1:9" x14ac:dyDescent="0.25">
      <c r="A290" t="s">
        <v>924</v>
      </c>
      <c r="C290" s="3" t="str">
        <f>HYPERLINK("http://amigo.geneontology.org/amigo/term/GO:0031516","GO:0031516")</f>
        <v>GO:0031516</v>
      </c>
      <c r="D290" t="s">
        <v>925</v>
      </c>
      <c r="E290">
        <v>3</v>
      </c>
      <c r="F290">
        <v>2</v>
      </c>
      <c r="G290">
        <v>2.78631633220523E-3</v>
      </c>
      <c r="H290">
        <v>4.45810613152837E-2</v>
      </c>
      <c r="I290" t="s">
        <v>911</v>
      </c>
    </row>
    <row r="291" spans="1:9" x14ac:dyDescent="0.25">
      <c r="A291" t="s">
        <v>926</v>
      </c>
      <c r="C291" s="3" t="str">
        <f>HYPERLINK("http://amigo.geneontology.org/amigo/term/GO:1901379","GO:1901379")</f>
        <v>GO:1901379</v>
      </c>
      <c r="D291" t="s">
        <v>927</v>
      </c>
      <c r="E291">
        <v>3</v>
      </c>
      <c r="F291">
        <v>2</v>
      </c>
      <c r="G291">
        <v>2.78631633220523E-3</v>
      </c>
      <c r="H291">
        <v>4.45810613152837E-2</v>
      </c>
      <c r="I291" t="s">
        <v>928</v>
      </c>
    </row>
    <row r="292" spans="1:9" x14ac:dyDescent="0.25">
      <c r="A292" t="s">
        <v>929</v>
      </c>
      <c r="C292" s="3" t="str">
        <f>HYPERLINK("http://amigo.geneontology.org/amigo/term/GO:1901016","GO:1901016")</f>
        <v>GO:1901016</v>
      </c>
      <c r="D292" t="s">
        <v>930</v>
      </c>
      <c r="E292">
        <v>3</v>
      </c>
      <c r="F292">
        <v>2</v>
      </c>
      <c r="G292">
        <v>2.78631633220523E-3</v>
      </c>
      <c r="H292">
        <v>4.45810613152837E-2</v>
      </c>
      <c r="I292" t="s">
        <v>928</v>
      </c>
    </row>
    <row r="293" spans="1:9" x14ac:dyDescent="0.25">
      <c r="A293" t="s">
        <v>931</v>
      </c>
      <c r="C293" s="3" t="str">
        <f>HYPERLINK("http://amigo.geneontology.org/amigo/term/GO:2001257","GO:2001257")</f>
        <v>GO:2001257</v>
      </c>
      <c r="D293" t="s">
        <v>932</v>
      </c>
      <c r="E293">
        <v>3</v>
      </c>
      <c r="F293">
        <v>2</v>
      </c>
      <c r="G293">
        <v>2.78631633220523E-3</v>
      </c>
      <c r="H293">
        <v>4.45810613152837E-2</v>
      </c>
      <c r="I293" t="s">
        <v>928</v>
      </c>
    </row>
    <row r="294" spans="1:9" x14ac:dyDescent="0.25">
      <c r="A294" t="s">
        <v>933</v>
      </c>
      <c r="C294" s="3" t="str">
        <f>HYPERLINK("http://amigo.geneontology.org/amigo/term/GO:1901979","GO:1901979")</f>
        <v>GO:1901979</v>
      </c>
      <c r="D294" t="s">
        <v>934</v>
      </c>
      <c r="E294">
        <v>3</v>
      </c>
      <c r="F294">
        <v>2</v>
      </c>
      <c r="G294">
        <v>2.78631633220523E-3</v>
      </c>
      <c r="H294">
        <v>4.7367377647488898E-2</v>
      </c>
      <c r="I294" t="s">
        <v>928</v>
      </c>
    </row>
    <row r="295" spans="1:9" x14ac:dyDescent="0.25">
      <c r="A295" t="s">
        <v>935</v>
      </c>
      <c r="C295" s="3" t="str">
        <f>HYPERLINK("http://amigo.geneontology.org/amigo/term/GO:0017089","GO:0017089")</f>
        <v>GO:0017089</v>
      </c>
      <c r="D295" t="s">
        <v>936</v>
      </c>
      <c r="E295">
        <v>20</v>
      </c>
      <c r="F295">
        <v>4</v>
      </c>
      <c r="G295">
        <v>2.9291270159218E-3</v>
      </c>
      <c r="H295">
        <v>4.3936905238826998E-2</v>
      </c>
      <c r="I295" t="s">
        <v>937</v>
      </c>
    </row>
    <row r="296" spans="1:9" x14ac:dyDescent="0.25">
      <c r="A296" t="s">
        <v>938</v>
      </c>
      <c r="C296" s="3" t="str">
        <f>HYPERLINK("http://amigo.geneontology.org/amigo/term/GO:0046836","GO:0046836")</f>
        <v>GO:0046836</v>
      </c>
      <c r="D296" t="s">
        <v>939</v>
      </c>
      <c r="E296">
        <v>20</v>
      </c>
      <c r="F296">
        <v>4</v>
      </c>
      <c r="G296">
        <v>2.9291270159218E-3</v>
      </c>
      <c r="H296">
        <v>4.3936905238826998E-2</v>
      </c>
      <c r="I296" t="s">
        <v>937</v>
      </c>
    </row>
    <row r="297" spans="1:9" x14ac:dyDescent="0.25">
      <c r="A297" t="s">
        <v>940</v>
      </c>
      <c r="C297" s="3" t="str">
        <f>HYPERLINK("http://amigo.geneontology.org/amigo/term/GO:0051861","GO:0051861")</f>
        <v>GO:0051861</v>
      </c>
      <c r="D297" t="s">
        <v>941</v>
      </c>
      <c r="E297">
        <v>20</v>
      </c>
      <c r="F297">
        <v>4</v>
      </c>
      <c r="G297">
        <v>2.9291270159218E-3</v>
      </c>
      <c r="H297">
        <v>4.3936905238826998E-2</v>
      </c>
      <c r="I297" t="s">
        <v>937</v>
      </c>
    </row>
    <row r="298" spans="1:9" x14ac:dyDescent="0.25">
      <c r="A298" t="s">
        <v>942</v>
      </c>
      <c r="C298" s="3" t="str">
        <f>HYPERLINK("http://amigo.geneontology.org/amigo/term/GO:0005094","GO:0005094")</f>
        <v>GO:0005094</v>
      </c>
      <c r="D298" t="s">
        <v>943</v>
      </c>
      <c r="E298">
        <v>10</v>
      </c>
      <c r="F298">
        <v>3</v>
      </c>
      <c r="G298">
        <v>2.97620404847712E-3</v>
      </c>
      <c r="H298">
        <v>4.4643060727156902E-2</v>
      </c>
      <c r="I298" t="s">
        <v>944</v>
      </c>
    </row>
    <row r="299" spans="1:9" x14ac:dyDescent="0.25">
      <c r="A299" t="s">
        <v>945</v>
      </c>
      <c r="C299" s="3" t="str">
        <f>HYPERLINK("http://amigo.geneontology.org/amigo/term/GO:0004425","GO:0004425")</f>
        <v>GO:0004425</v>
      </c>
      <c r="D299" t="s">
        <v>946</v>
      </c>
      <c r="E299">
        <v>10</v>
      </c>
      <c r="F299">
        <v>3</v>
      </c>
      <c r="G299">
        <v>2.97620404847712E-3</v>
      </c>
      <c r="H299">
        <v>4.4643060727156902E-2</v>
      </c>
      <c r="I299" t="s">
        <v>947</v>
      </c>
    </row>
    <row r="300" spans="1:9" x14ac:dyDescent="0.25">
      <c r="A300" t="s">
        <v>948</v>
      </c>
      <c r="C300" s="3" t="str">
        <f>HYPERLINK("http://amigo.geneontology.org/amigo/term/GO:0080092","GO:0080092")</f>
        <v>GO:0080092</v>
      </c>
      <c r="D300" t="s">
        <v>949</v>
      </c>
      <c r="E300">
        <v>10</v>
      </c>
      <c r="F300">
        <v>3</v>
      </c>
      <c r="G300">
        <v>2.97620404847712E-3</v>
      </c>
      <c r="H300">
        <v>4.4643060727156902E-2</v>
      </c>
      <c r="I300" t="s">
        <v>950</v>
      </c>
    </row>
    <row r="301" spans="1:9" x14ac:dyDescent="0.25">
      <c r="A301" t="s">
        <v>951</v>
      </c>
      <c r="C301" s="3" t="str">
        <f>HYPERLINK("http://amigo.geneontology.org/amigo/term/GO:0051274","GO:0051274")</f>
        <v>GO:0051274</v>
      </c>
      <c r="D301" t="s">
        <v>952</v>
      </c>
      <c r="E301">
        <v>216</v>
      </c>
      <c r="F301">
        <v>15</v>
      </c>
      <c r="G301">
        <v>3.0651971531312598E-3</v>
      </c>
      <c r="H301">
        <v>4.5977957296968998E-2</v>
      </c>
      <c r="I301" t="s">
        <v>953</v>
      </c>
    </row>
    <row r="302" spans="1:9" x14ac:dyDescent="0.25">
      <c r="A302" t="s">
        <v>954</v>
      </c>
      <c r="C302" s="3" t="str">
        <f>HYPERLINK("http://amigo.geneontology.org/amigo/term/GO:0048468","GO:0048468")</f>
        <v>GO:0048468</v>
      </c>
      <c r="D302" t="s">
        <v>955</v>
      </c>
      <c r="E302">
        <v>195</v>
      </c>
      <c r="F302">
        <v>14</v>
      </c>
      <c r="G302">
        <v>3.07507548977503E-3</v>
      </c>
      <c r="H302">
        <v>4.6126132346625402E-2</v>
      </c>
      <c r="I302" t="s">
        <v>956</v>
      </c>
    </row>
    <row r="303" spans="1:9" x14ac:dyDescent="0.25">
      <c r="A303" t="s">
        <v>957</v>
      </c>
      <c r="C303" s="3" t="str">
        <f>HYPERLINK("http://amigo.geneontology.org/amigo/term/GO:0019400","GO:0019400")</f>
        <v>GO:0019400</v>
      </c>
      <c r="D303" t="s">
        <v>958</v>
      </c>
      <c r="E303">
        <v>47</v>
      </c>
      <c r="F303">
        <v>6</v>
      </c>
      <c r="G303">
        <v>3.09025645041516E-3</v>
      </c>
      <c r="H303">
        <v>4.6353846756227501E-2</v>
      </c>
      <c r="I303" t="s">
        <v>823</v>
      </c>
    </row>
    <row r="304" spans="1:9" x14ac:dyDescent="0.25">
      <c r="A304" t="s">
        <v>959</v>
      </c>
      <c r="C304" s="3" t="str">
        <f>HYPERLINK("http://amigo.geneontology.org/amigo/term/GO:0006071","GO:0006071")</f>
        <v>GO:0006071</v>
      </c>
      <c r="D304" t="s">
        <v>960</v>
      </c>
      <c r="E304">
        <v>47</v>
      </c>
      <c r="F304">
        <v>6</v>
      </c>
      <c r="G304">
        <v>3.09025645041516E-3</v>
      </c>
      <c r="H304">
        <v>4.6353846756227501E-2</v>
      </c>
      <c r="I304" t="s">
        <v>823</v>
      </c>
    </row>
    <row r="305" spans="1:9" x14ac:dyDescent="0.25">
      <c r="A305" t="s">
        <v>961</v>
      </c>
      <c r="C305" s="3" t="str">
        <f>HYPERLINK("http://amigo.geneontology.org/amigo/term/GO:0016791","GO:0016791")</f>
        <v>GO:0016791</v>
      </c>
      <c r="D305" t="s">
        <v>962</v>
      </c>
      <c r="E305">
        <v>664</v>
      </c>
      <c r="F305">
        <v>34</v>
      </c>
      <c r="G305">
        <v>3.1184233259851199E-3</v>
      </c>
      <c r="H305">
        <v>4.6776349889776803E-2</v>
      </c>
      <c r="I305" t="s">
        <v>963</v>
      </c>
    </row>
    <row r="306" spans="1:9" x14ac:dyDescent="0.25">
      <c r="A306" t="s">
        <v>964</v>
      </c>
      <c r="C306" s="3" t="str">
        <f>HYPERLINK("http://amigo.geneontology.org/amigo/term/GO:0000902","GO:0000902")</f>
        <v>GO:0000902</v>
      </c>
      <c r="D306" t="s">
        <v>965</v>
      </c>
      <c r="E306">
        <v>198</v>
      </c>
      <c r="F306">
        <v>14</v>
      </c>
      <c r="G306">
        <v>3.5262098522204398E-3</v>
      </c>
      <c r="H306">
        <v>5.2893147783306699E-2</v>
      </c>
      <c r="I306" t="s">
        <v>517</v>
      </c>
    </row>
    <row r="307" spans="1:9" x14ac:dyDescent="0.25">
      <c r="A307" t="s">
        <v>966</v>
      </c>
      <c r="C307" s="3" t="str">
        <f>HYPERLINK("http://amigo.geneontology.org/amigo/term/GO:0004805","GO:0004805")</f>
        <v>GO:0004805</v>
      </c>
      <c r="D307" t="s">
        <v>967</v>
      </c>
      <c r="E307">
        <v>21</v>
      </c>
      <c r="F307">
        <v>4</v>
      </c>
      <c r="G307">
        <v>3.5308672794444398E-3</v>
      </c>
      <c r="H307">
        <v>5.2963009191666598E-2</v>
      </c>
      <c r="I307" t="s">
        <v>968</v>
      </c>
    </row>
    <row r="308" spans="1:9" x14ac:dyDescent="0.25">
      <c r="A308" t="s">
        <v>969</v>
      </c>
      <c r="C308" s="3" t="str">
        <f>HYPERLINK("http://amigo.geneontology.org/amigo/term/GO:0120025","GO:0120025")</f>
        <v>GO:0120025</v>
      </c>
      <c r="D308" t="s">
        <v>970</v>
      </c>
      <c r="E308">
        <v>21</v>
      </c>
      <c r="F308">
        <v>4</v>
      </c>
      <c r="G308">
        <v>3.5308672794444398E-3</v>
      </c>
      <c r="H308">
        <v>5.2963009191666598E-2</v>
      </c>
      <c r="I308" t="s">
        <v>971</v>
      </c>
    </row>
    <row r="309" spans="1:9" x14ac:dyDescent="0.25">
      <c r="A309" t="s">
        <v>972</v>
      </c>
      <c r="C309" s="3" t="str">
        <f>HYPERLINK("http://amigo.geneontology.org/amigo/term/GO:0090406","GO:0090406")</f>
        <v>GO:0090406</v>
      </c>
      <c r="D309" t="s">
        <v>973</v>
      </c>
      <c r="E309">
        <v>21</v>
      </c>
      <c r="F309">
        <v>4</v>
      </c>
      <c r="G309">
        <v>3.5308672794444398E-3</v>
      </c>
      <c r="H309">
        <v>5.2963009191666598E-2</v>
      </c>
      <c r="I309" t="s">
        <v>971</v>
      </c>
    </row>
    <row r="310" spans="1:9" x14ac:dyDescent="0.25">
      <c r="A310" t="s">
        <v>974</v>
      </c>
      <c r="C310" s="3" t="str">
        <f>HYPERLINK("http://amigo.geneontology.org/amigo/term/GO:0004645","GO:0004645")</f>
        <v>GO:0004645</v>
      </c>
      <c r="D310" t="s">
        <v>975</v>
      </c>
      <c r="E310">
        <v>21</v>
      </c>
      <c r="F310">
        <v>4</v>
      </c>
      <c r="G310">
        <v>3.5308672794444398E-3</v>
      </c>
      <c r="H310">
        <v>5.2963009191666598E-2</v>
      </c>
      <c r="I310" t="s">
        <v>665</v>
      </c>
    </row>
    <row r="311" spans="1:9" x14ac:dyDescent="0.25">
      <c r="A311" t="s">
        <v>976</v>
      </c>
      <c r="C311" s="3" t="str">
        <f>HYPERLINK("http://amigo.geneontology.org/amigo/term/GO:0016757","GO:0016757")</f>
        <v>GO:0016757</v>
      </c>
      <c r="D311" t="s">
        <v>977</v>
      </c>
      <c r="E311">
        <v>2155</v>
      </c>
      <c r="F311">
        <v>89</v>
      </c>
      <c r="G311">
        <v>3.60378585744329E-3</v>
      </c>
      <c r="H311">
        <v>5.40567878616494E-2</v>
      </c>
      <c r="I311" t="s">
        <v>978</v>
      </c>
    </row>
    <row r="312" spans="1:9" x14ac:dyDescent="0.25">
      <c r="A312" t="s">
        <v>979</v>
      </c>
      <c r="C312" s="3" t="str">
        <f>HYPERLINK("http://amigo.geneontology.org/amigo/term/GO:0030135","GO:0030135")</f>
        <v>GO:0030135</v>
      </c>
      <c r="D312" t="s">
        <v>980</v>
      </c>
      <c r="E312">
        <v>118</v>
      </c>
      <c r="F312">
        <v>10</v>
      </c>
      <c r="G312">
        <v>3.6214617349532999E-3</v>
      </c>
      <c r="H312">
        <v>5.4321926024299499E-2</v>
      </c>
      <c r="I312" t="s">
        <v>574</v>
      </c>
    </row>
    <row r="313" spans="1:9" x14ac:dyDescent="0.25">
      <c r="A313" t="s">
        <v>981</v>
      </c>
      <c r="C313" s="3" t="str">
        <f>HYPERLINK("http://amigo.geneontology.org/amigo/term/GO:0042445","GO:0042445")</f>
        <v>GO:0042445</v>
      </c>
      <c r="D313" t="s">
        <v>982</v>
      </c>
      <c r="E313">
        <v>311</v>
      </c>
      <c r="F313">
        <v>19</v>
      </c>
      <c r="G313">
        <v>3.9619039459398396E-3</v>
      </c>
      <c r="H313">
        <v>5.5466655243157699E-2</v>
      </c>
      <c r="I313" t="s">
        <v>983</v>
      </c>
    </row>
    <row r="314" spans="1:9" x14ac:dyDescent="0.25">
      <c r="A314" t="s">
        <v>984</v>
      </c>
      <c r="C314" s="3" t="str">
        <f>HYPERLINK("http://amigo.geneontology.org/amigo/term/GO:0006979","GO:0006979")</f>
        <v>GO:0006979</v>
      </c>
      <c r="D314" t="s">
        <v>985</v>
      </c>
      <c r="E314">
        <v>985</v>
      </c>
      <c r="F314">
        <v>46</v>
      </c>
      <c r="G314">
        <v>3.9816320751574303E-3</v>
      </c>
      <c r="H314">
        <v>5.5742849052204099E-2</v>
      </c>
      <c r="I314" t="s">
        <v>986</v>
      </c>
    </row>
    <row r="315" spans="1:9" x14ac:dyDescent="0.25">
      <c r="A315" t="s">
        <v>987</v>
      </c>
      <c r="C315" s="3" t="str">
        <f>HYPERLINK("http://amigo.geneontology.org/amigo/term/GO:0060284","GO:0060284")</f>
        <v>GO:0060284</v>
      </c>
      <c r="D315" t="s">
        <v>988</v>
      </c>
      <c r="E315">
        <v>11</v>
      </c>
      <c r="F315">
        <v>3</v>
      </c>
      <c r="G315">
        <v>3.9989160402930301E-3</v>
      </c>
      <c r="H315">
        <v>5.5984824564102399E-2</v>
      </c>
      <c r="I315" t="s">
        <v>950</v>
      </c>
    </row>
    <row r="316" spans="1:9" x14ac:dyDescent="0.25">
      <c r="A316" t="s">
        <v>989</v>
      </c>
      <c r="C316" s="3" t="str">
        <f>HYPERLINK("http://amigo.geneontology.org/amigo/term/GO:0010769","GO:0010769")</f>
        <v>GO:0010769</v>
      </c>
      <c r="D316" t="s">
        <v>990</v>
      </c>
      <c r="E316">
        <v>11</v>
      </c>
      <c r="F316">
        <v>3</v>
      </c>
      <c r="G316">
        <v>3.9989160402930301E-3</v>
      </c>
      <c r="H316">
        <v>5.5984824564102399E-2</v>
      </c>
      <c r="I316" t="s">
        <v>950</v>
      </c>
    </row>
    <row r="317" spans="1:9" x14ac:dyDescent="0.25">
      <c r="A317" t="s">
        <v>991</v>
      </c>
      <c r="C317" s="3" t="str">
        <f>HYPERLINK("http://amigo.geneontology.org/amigo/term/GO:0016903","GO:0016903")</f>
        <v>GO:0016903</v>
      </c>
      <c r="D317" t="s">
        <v>992</v>
      </c>
      <c r="E317">
        <v>182</v>
      </c>
      <c r="F317">
        <v>13</v>
      </c>
      <c r="G317">
        <v>4.4289696726085301E-3</v>
      </c>
      <c r="H317">
        <v>6.2005575416519403E-2</v>
      </c>
      <c r="I317" t="s">
        <v>804</v>
      </c>
    </row>
    <row r="318" spans="1:9" x14ac:dyDescent="0.25">
      <c r="A318" t="s">
        <v>993</v>
      </c>
      <c r="C318" s="3" t="str">
        <f>HYPERLINK("http://amigo.geneontology.org/amigo/term/GO:0019200","GO:0019200")</f>
        <v>GO:0019200</v>
      </c>
      <c r="D318" t="s">
        <v>994</v>
      </c>
      <c r="E318">
        <v>103</v>
      </c>
      <c r="F318">
        <v>9</v>
      </c>
      <c r="G318">
        <v>4.6121768717952202E-3</v>
      </c>
      <c r="H318">
        <v>6.4570476205133204E-2</v>
      </c>
      <c r="I318" t="s">
        <v>995</v>
      </c>
    </row>
    <row r="319" spans="1:9" x14ac:dyDescent="0.25">
      <c r="A319" t="s">
        <v>996</v>
      </c>
      <c r="C319" s="3" t="str">
        <f>HYPERLINK("http://amigo.geneontology.org/amigo/term/GO:0031267","GO:0031267")</f>
        <v>GO:0031267</v>
      </c>
      <c r="D319" t="s">
        <v>997</v>
      </c>
      <c r="E319">
        <v>103</v>
      </c>
      <c r="F319">
        <v>9</v>
      </c>
      <c r="G319">
        <v>4.6121768717952202E-3</v>
      </c>
      <c r="H319">
        <v>6.4570476205133204E-2</v>
      </c>
      <c r="I319" t="s">
        <v>505</v>
      </c>
    </row>
    <row r="320" spans="1:9" x14ac:dyDescent="0.25">
      <c r="A320" t="s">
        <v>998</v>
      </c>
      <c r="C320" s="3" t="str">
        <f>HYPERLINK("http://amigo.geneontology.org/amigo/term/GO:0017016","GO:0017016")</f>
        <v>GO:0017016</v>
      </c>
      <c r="D320" t="s">
        <v>999</v>
      </c>
      <c r="E320">
        <v>103</v>
      </c>
      <c r="F320">
        <v>9</v>
      </c>
      <c r="G320">
        <v>4.6121768717952202E-3</v>
      </c>
      <c r="H320">
        <v>6.4570476205133204E-2</v>
      </c>
      <c r="I320" t="s">
        <v>505</v>
      </c>
    </row>
    <row r="321" spans="1:9" x14ac:dyDescent="0.25">
      <c r="A321" t="s">
        <v>1000</v>
      </c>
      <c r="C321" s="3" t="str">
        <f>HYPERLINK("http://amigo.geneontology.org/amigo/term/GO:0006112","GO:0006112")</f>
        <v>GO:0006112</v>
      </c>
      <c r="D321" t="s">
        <v>1001</v>
      </c>
      <c r="E321">
        <v>36</v>
      </c>
      <c r="F321">
        <v>5</v>
      </c>
      <c r="G321">
        <v>4.6998233124351599E-3</v>
      </c>
      <c r="H321">
        <v>6.5797526374092197E-2</v>
      </c>
      <c r="I321" t="s">
        <v>1002</v>
      </c>
    </row>
    <row r="322" spans="1:9" x14ac:dyDescent="0.25">
      <c r="A322" t="s">
        <v>1003</v>
      </c>
      <c r="C322" s="3" t="str">
        <f>HYPERLINK("http://amigo.geneontology.org/amigo/term/GO:0005977","GO:0005977")</f>
        <v>GO:0005977</v>
      </c>
      <c r="D322" t="s">
        <v>1004</v>
      </c>
      <c r="E322">
        <v>36</v>
      </c>
      <c r="F322">
        <v>5</v>
      </c>
      <c r="G322">
        <v>4.6998233124351599E-3</v>
      </c>
      <c r="H322">
        <v>6.5797526374092197E-2</v>
      </c>
      <c r="I322" t="s">
        <v>1002</v>
      </c>
    </row>
    <row r="323" spans="1:9" x14ac:dyDescent="0.25">
      <c r="A323" t="s">
        <v>1005</v>
      </c>
      <c r="C323" s="3" t="str">
        <f>HYPERLINK("http://amigo.geneontology.org/amigo/term/GO:0016310","GO:0016310")</f>
        <v>GO:0016310</v>
      </c>
      <c r="D323" t="s">
        <v>1006</v>
      </c>
      <c r="E323">
        <v>6439</v>
      </c>
      <c r="F323">
        <v>234</v>
      </c>
      <c r="G323">
        <v>4.71469576225128E-3</v>
      </c>
      <c r="H323">
        <v>6.6005740671517904E-2</v>
      </c>
      <c r="I323" t="s">
        <v>1007</v>
      </c>
    </row>
    <row r="324" spans="1:9" x14ac:dyDescent="0.25">
      <c r="A324" t="s">
        <v>1008</v>
      </c>
      <c r="C324" s="3" t="str">
        <f>HYPERLINK("http://amigo.geneontology.org/amigo/term/GO:0046271","GO:0046271")</f>
        <v>GO:0046271</v>
      </c>
      <c r="D324" t="s">
        <v>1009</v>
      </c>
      <c r="E324">
        <v>85</v>
      </c>
      <c r="F324">
        <v>8</v>
      </c>
      <c r="G324">
        <v>4.7225008493188003E-3</v>
      </c>
      <c r="H324">
        <v>6.6115011890463302E-2</v>
      </c>
      <c r="I324" t="s">
        <v>1010</v>
      </c>
    </row>
    <row r="325" spans="1:9" x14ac:dyDescent="0.25">
      <c r="A325" t="s">
        <v>1011</v>
      </c>
      <c r="C325" s="3" t="str">
        <f>HYPERLINK("http://amigo.geneontology.org/amigo/term/GO:0046274","GO:0046274")</f>
        <v>GO:0046274</v>
      </c>
      <c r="D325" t="s">
        <v>1012</v>
      </c>
      <c r="E325">
        <v>85</v>
      </c>
      <c r="F325">
        <v>8</v>
      </c>
      <c r="G325">
        <v>4.7225008493188003E-3</v>
      </c>
      <c r="H325">
        <v>6.6115011890463302E-2</v>
      </c>
      <c r="I325" t="s">
        <v>1010</v>
      </c>
    </row>
    <row r="326" spans="1:9" x14ac:dyDescent="0.25">
      <c r="A326" t="s">
        <v>1013</v>
      </c>
      <c r="C326" s="3" t="str">
        <f>HYPERLINK("http://amigo.geneontology.org/amigo/term/GO:0052716","GO:0052716")</f>
        <v>GO:0052716</v>
      </c>
      <c r="D326" t="s">
        <v>1014</v>
      </c>
      <c r="E326">
        <v>85</v>
      </c>
      <c r="F326">
        <v>8</v>
      </c>
      <c r="G326">
        <v>4.7225008493188003E-3</v>
      </c>
      <c r="H326">
        <v>6.6115011890463302E-2</v>
      </c>
      <c r="I326" t="s">
        <v>1010</v>
      </c>
    </row>
    <row r="327" spans="1:9" x14ac:dyDescent="0.25">
      <c r="A327" t="s">
        <v>1015</v>
      </c>
      <c r="C327" s="3" t="str">
        <f>HYPERLINK("http://amigo.geneontology.org/amigo/term/GO:0008374","GO:0008374")</f>
        <v>GO:0008374</v>
      </c>
      <c r="D327" t="s">
        <v>1016</v>
      </c>
      <c r="E327">
        <v>163</v>
      </c>
      <c r="F327">
        <v>12</v>
      </c>
      <c r="G327">
        <v>4.8188998033951496E-3</v>
      </c>
      <c r="H327">
        <v>6.7464597247532093E-2</v>
      </c>
      <c r="I327" t="s">
        <v>1017</v>
      </c>
    </row>
    <row r="328" spans="1:9" x14ac:dyDescent="0.25">
      <c r="A328" t="s">
        <v>1018</v>
      </c>
      <c r="C328" s="3" t="str">
        <f>HYPERLINK("http://amigo.geneontology.org/amigo/term/GO:0070838","GO:0070838")</f>
        <v>GO:0070838</v>
      </c>
      <c r="D328" t="s">
        <v>1019</v>
      </c>
      <c r="E328">
        <v>250</v>
      </c>
      <c r="F328">
        <v>16</v>
      </c>
      <c r="G328">
        <v>5.03274175749644E-3</v>
      </c>
      <c r="H328">
        <v>7.04583846049502E-2</v>
      </c>
      <c r="I328" t="s">
        <v>1020</v>
      </c>
    </row>
    <row r="329" spans="1:9" x14ac:dyDescent="0.25">
      <c r="A329" t="s">
        <v>1021</v>
      </c>
      <c r="C329" s="3" t="str">
        <f>HYPERLINK("http://amigo.geneontology.org/amigo/term/GO:0004449","GO:0004449")</f>
        <v>GO:0004449</v>
      </c>
      <c r="D329" t="s">
        <v>1022</v>
      </c>
      <c r="E329">
        <v>12</v>
      </c>
      <c r="F329">
        <v>3</v>
      </c>
      <c r="G329">
        <v>5.2104416397114901E-3</v>
      </c>
      <c r="H329">
        <v>6.7735741316249307E-2</v>
      </c>
      <c r="I329" t="s">
        <v>1023</v>
      </c>
    </row>
    <row r="330" spans="1:9" x14ac:dyDescent="0.25">
      <c r="A330" t="s">
        <v>1024</v>
      </c>
      <c r="C330" s="3" t="str">
        <f>HYPERLINK("http://amigo.geneontology.org/amigo/term/GO:0004084","GO:0004084")</f>
        <v>GO:0004084</v>
      </c>
      <c r="D330" t="s">
        <v>1025</v>
      </c>
      <c r="E330">
        <v>12</v>
      </c>
      <c r="F330">
        <v>3</v>
      </c>
      <c r="G330">
        <v>5.2104416397114901E-3</v>
      </c>
      <c r="H330">
        <v>6.7735741316249307E-2</v>
      </c>
      <c r="I330" t="s">
        <v>1026</v>
      </c>
    </row>
    <row r="331" spans="1:9" x14ac:dyDescent="0.25">
      <c r="A331" t="s">
        <v>1027</v>
      </c>
      <c r="C331" s="3" t="str">
        <f>HYPERLINK("http://amigo.geneontology.org/amigo/term/GO:0005093","GO:0005093")</f>
        <v>GO:0005093</v>
      </c>
      <c r="D331" t="s">
        <v>1028</v>
      </c>
      <c r="E331">
        <v>12</v>
      </c>
      <c r="F331">
        <v>3</v>
      </c>
      <c r="G331">
        <v>5.2104416397114901E-3</v>
      </c>
      <c r="H331">
        <v>7.2946182955960795E-2</v>
      </c>
      <c r="I331" t="s">
        <v>1029</v>
      </c>
    </row>
    <row r="332" spans="1:9" x14ac:dyDescent="0.25">
      <c r="A332" t="s">
        <v>1030</v>
      </c>
      <c r="C332" s="3" t="str">
        <f>HYPERLINK("http://amigo.geneontology.org/amigo/term/GO:0004014","GO:0004014")</f>
        <v>GO:0004014</v>
      </c>
      <c r="D332" t="s">
        <v>1031</v>
      </c>
      <c r="E332">
        <v>12</v>
      </c>
      <c r="F332">
        <v>3</v>
      </c>
      <c r="G332">
        <v>5.2104416397114901E-3</v>
      </c>
      <c r="H332">
        <v>7.2946182955960795E-2</v>
      </c>
      <c r="I332" t="s">
        <v>1032</v>
      </c>
    </row>
    <row r="333" spans="1:9" x14ac:dyDescent="0.25">
      <c r="A333" t="s">
        <v>1033</v>
      </c>
      <c r="C333" s="3" t="str">
        <f>HYPERLINK("http://amigo.geneontology.org/amigo/term/GO:0008215","GO:0008215")</f>
        <v>GO:0008215</v>
      </c>
      <c r="D333" t="s">
        <v>1034</v>
      </c>
      <c r="E333">
        <v>12</v>
      </c>
      <c r="F333">
        <v>3</v>
      </c>
      <c r="G333">
        <v>5.2104416397114901E-3</v>
      </c>
      <c r="H333">
        <v>7.2946182955960795E-2</v>
      </c>
      <c r="I333" t="s">
        <v>1032</v>
      </c>
    </row>
    <row r="334" spans="1:9" x14ac:dyDescent="0.25">
      <c r="A334" t="s">
        <v>1035</v>
      </c>
      <c r="C334" s="3" t="str">
        <f>HYPERLINK("http://amigo.geneontology.org/amigo/term/GO:0006597","GO:0006597")</f>
        <v>GO:0006597</v>
      </c>
      <c r="D334" t="s">
        <v>1036</v>
      </c>
      <c r="E334">
        <v>12</v>
      </c>
      <c r="F334">
        <v>3</v>
      </c>
      <c r="G334">
        <v>5.2104416397114901E-3</v>
      </c>
      <c r="H334">
        <v>7.2946182955960795E-2</v>
      </c>
      <c r="I334" t="s">
        <v>1032</v>
      </c>
    </row>
    <row r="335" spans="1:9" x14ac:dyDescent="0.25">
      <c r="A335" t="s">
        <v>1037</v>
      </c>
      <c r="C335" s="3" t="str">
        <f>HYPERLINK("http://amigo.geneontology.org/amigo/term/GO:0047334","GO:0047334")</f>
        <v>GO:0047334</v>
      </c>
      <c r="D335" t="s">
        <v>1038</v>
      </c>
      <c r="E335">
        <v>12</v>
      </c>
      <c r="F335">
        <v>3</v>
      </c>
      <c r="G335">
        <v>5.2104416397114901E-3</v>
      </c>
      <c r="H335">
        <v>7.2946182955960795E-2</v>
      </c>
      <c r="I335" t="s">
        <v>1039</v>
      </c>
    </row>
    <row r="336" spans="1:9" x14ac:dyDescent="0.25">
      <c r="A336" t="s">
        <v>1040</v>
      </c>
      <c r="C336" s="3" t="str">
        <f>HYPERLINK("http://amigo.geneontology.org/amigo/term/GO:0030243","GO:0030243")</f>
        <v>GO:0030243</v>
      </c>
      <c r="D336" t="s">
        <v>1041</v>
      </c>
      <c r="E336">
        <v>207</v>
      </c>
      <c r="F336">
        <v>14</v>
      </c>
      <c r="G336">
        <v>5.2124922066779803E-3</v>
      </c>
      <c r="H336">
        <v>6.7762398686813705E-2</v>
      </c>
      <c r="I336" t="s">
        <v>1042</v>
      </c>
    </row>
    <row r="337" spans="1:9" x14ac:dyDescent="0.25">
      <c r="A337" t="s">
        <v>1043</v>
      </c>
      <c r="C337" s="3" t="str">
        <f>HYPERLINK("http://amigo.geneontology.org/amigo/term/GO:0010012","GO:0010012")</f>
        <v>GO:0010012</v>
      </c>
      <c r="D337" t="s">
        <v>1044</v>
      </c>
      <c r="E337">
        <v>4</v>
      </c>
      <c r="F337">
        <v>2</v>
      </c>
      <c r="G337">
        <v>5.4586012139350697E-3</v>
      </c>
      <c r="H337">
        <v>7.0961815781155999E-2</v>
      </c>
      <c r="I337" t="s">
        <v>1045</v>
      </c>
    </row>
    <row r="338" spans="1:9" x14ac:dyDescent="0.25">
      <c r="A338" t="s">
        <v>1046</v>
      </c>
      <c r="C338" s="3" t="str">
        <f>HYPERLINK("http://amigo.geneontology.org/amigo/term/GO:0060145","GO:0060145")</f>
        <v>GO:0060145</v>
      </c>
      <c r="D338" t="s">
        <v>1047</v>
      </c>
      <c r="E338">
        <v>4</v>
      </c>
      <c r="F338">
        <v>2</v>
      </c>
      <c r="G338">
        <v>5.4586012139350697E-3</v>
      </c>
      <c r="H338">
        <v>7.0961815781155999E-2</v>
      </c>
      <c r="I338" t="s">
        <v>900</v>
      </c>
    </row>
    <row r="339" spans="1:9" x14ac:dyDescent="0.25">
      <c r="A339" t="s">
        <v>1048</v>
      </c>
      <c r="C339" s="3" t="str">
        <f>HYPERLINK("http://amigo.geneontology.org/amigo/term/GO:0045827","GO:0045827")</f>
        <v>GO:0045827</v>
      </c>
      <c r="D339" t="s">
        <v>1049</v>
      </c>
      <c r="E339">
        <v>4</v>
      </c>
      <c r="F339">
        <v>2</v>
      </c>
      <c r="G339">
        <v>5.4586012139350697E-3</v>
      </c>
      <c r="H339">
        <v>7.0961815781155999E-2</v>
      </c>
      <c r="I339" t="s">
        <v>815</v>
      </c>
    </row>
    <row r="340" spans="1:9" x14ac:dyDescent="0.25">
      <c r="A340" t="s">
        <v>1050</v>
      </c>
      <c r="C340" s="3" t="str">
        <f>HYPERLINK("http://amigo.geneontology.org/amigo/term/GO:0055122","GO:0055122")</f>
        <v>GO:0055122</v>
      </c>
      <c r="D340" t="s">
        <v>1051</v>
      </c>
      <c r="E340">
        <v>4</v>
      </c>
      <c r="F340">
        <v>2</v>
      </c>
      <c r="G340">
        <v>5.4586012139350697E-3</v>
      </c>
      <c r="H340">
        <v>7.0961815781155999E-2</v>
      </c>
      <c r="I340" t="s">
        <v>911</v>
      </c>
    </row>
    <row r="341" spans="1:9" x14ac:dyDescent="0.25">
      <c r="A341" t="s">
        <v>1052</v>
      </c>
      <c r="C341" s="3" t="str">
        <f>HYPERLINK("http://amigo.geneontology.org/amigo/term/GO:0043266","GO:0043266")</f>
        <v>GO:0043266</v>
      </c>
      <c r="D341" t="s">
        <v>1053</v>
      </c>
      <c r="E341">
        <v>4</v>
      </c>
      <c r="F341">
        <v>2</v>
      </c>
      <c r="G341">
        <v>5.4586012139350697E-3</v>
      </c>
      <c r="H341">
        <v>7.0961815781155999E-2</v>
      </c>
      <c r="I341" t="s">
        <v>928</v>
      </c>
    </row>
    <row r="342" spans="1:9" x14ac:dyDescent="0.25">
      <c r="A342" t="s">
        <v>1054</v>
      </c>
      <c r="C342" s="3" t="str">
        <f>HYPERLINK("http://amigo.geneontology.org/amigo/term/GO:0032989","GO:0032989")</f>
        <v>GO:0032989</v>
      </c>
      <c r="D342" t="s">
        <v>1055</v>
      </c>
      <c r="E342">
        <v>230</v>
      </c>
      <c r="F342">
        <v>15</v>
      </c>
      <c r="G342">
        <v>5.4665427712385301E-3</v>
      </c>
      <c r="H342">
        <v>7.1065056026100901E-2</v>
      </c>
      <c r="I342" t="s">
        <v>1056</v>
      </c>
    </row>
    <row r="343" spans="1:9" x14ac:dyDescent="0.25">
      <c r="A343" t="s">
        <v>1057</v>
      </c>
      <c r="C343" s="3" t="str">
        <f>HYPERLINK("http://amigo.geneontology.org/amigo/term/GO:0072511","GO:0072511")</f>
        <v>GO:0072511</v>
      </c>
      <c r="D343" t="s">
        <v>1058</v>
      </c>
      <c r="E343">
        <v>253</v>
      </c>
      <c r="F343">
        <v>16</v>
      </c>
      <c r="G343">
        <v>5.6296094456779302E-3</v>
      </c>
      <c r="H343">
        <v>7.3184922793813098E-2</v>
      </c>
      <c r="I343" t="s">
        <v>1020</v>
      </c>
    </row>
    <row r="344" spans="1:9" x14ac:dyDescent="0.25">
      <c r="A344" t="s">
        <v>1059</v>
      </c>
      <c r="C344" s="3" t="str">
        <f>HYPERLINK("http://amigo.geneontology.org/amigo/term/GO:0042995","GO:0042995")</f>
        <v>GO:0042995</v>
      </c>
      <c r="D344" t="s">
        <v>1060</v>
      </c>
      <c r="E344">
        <v>24</v>
      </c>
      <c r="F344">
        <v>4</v>
      </c>
      <c r="G344">
        <v>5.8261301750162598E-3</v>
      </c>
      <c r="H344">
        <v>7.5739692275211407E-2</v>
      </c>
      <c r="I344" t="s">
        <v>971</v>
      </c>
    </row>
    <row r="345" spans="1:9" x14ac:dyDescent="0.25">
      <c r="A345" t="s">
        <v>1061</v>
      </c>
      <c r="C345" s="3" t="str">
        <f>HYPERLINK("http://amigo.geneontology.org/amigo/term/GO:0016679","GO:0016679")</f>
        <v>GO:0016679</v>
      </c>
      <c r="D345" t="s">
        <v>1062</v>
      </c>
      <c r="E345">
        <v>147</v>
      </c>
      <c r="F345">
        <v>11</v>
      </c>
      <c r="G345">
        <v>6.0229287664148104E-3</v>
      </c>
      <c r="H345">
        <v>7.82980739633925E-2</v>
      </c>
      <c r="I345" t="s">
        <v>865</v>
      </c>
    </row>
    <row r="346" spans="1:9" x14ac:dyDescent="0.25">
      <c r="A346" t="s">
        <v>1063</v>
      </c>
      <c r="C346" s="3" t="str">
        <f>HYPERLINK("http://amigo.geneontology.org/amigo/term/GO:0050790","GO:0050790")</f>
        <v>GO:0050790</v>
      </c>
      <c r="D346" t="s">
        <v>1064</v>
      </c>
      <c r="E346">
        <v>622</v>
      </c>
      <c r="F346">
        <v>31</v>
      </c>
      <c r="G346">
        <v>6.7021003981329501E-3</v>
      </c>
      <c r="H346">
        <v>8.7127305175728406E-2</v>
      </c>
      <c r="I346" t="s">
        <v>1065</v>
      </c>
    </row>
    <row r="347" spans="1:9" x14ac:dyDescent="0.25">
      <c r="A347" t="s">
        <v>1066</v>
      </c>
      <c r="C347" s="3" t="str">
        <f>HYPERLINK("http://amigo.geneontology.org/amigo/term/GO:0015662","GO:0015662")</f>
        <v>GO:0015662</v>
      </c>
      <c r="D347" t="s">
        <v>1067</v>
      </c>
      <c r="E347">
        <v>55</v>
      </c>
      <c r="F347">
        <v>6</v>
      </c>
      <c r="G347">
        <v>6.7794351664491603E-3</v>
      </c>
      <c r="H347">
        <v>8.8132657163839001E-2</v>
      </c>
      <c r="I347" t="s">
        <v>871</v>
      </c>
    </row>
    <row r="348" spans="1:9" x14ac:dyDescent="0.25">
      <c r="A348" t="s">
        <v>1068</v>
      </c>
      <c r="C348" s="3" t="str">
        <f>HYPERLINK("http://amigo.geneontology.org/amigo/term/GO:0009055","GO:0009055")</f>
        <v>GO:0009055</v>
      </c>
      <c r="D348" t="s">
        <v>1069</v>
      </c>
      <c r="E348">
        <v>856</v>
      </c>
      <c r="F348">
        <v>40</v>
      </c>
      <c r="G348">
        <v>6.7939779300005597E-3</v>
      </c>
      <c r="H348">
        <v>8.8321713090007303E-2</v>
      </c>
      <c r="I348" t="s">
        <v>1070</v>
      </c>
    </row>
    <row r="349" spans="1:9" x14ac:dyDescent="0.25">
      <c r="A349" t="s">
        <v>1071</v>
      </c>
      <c r="C349" s="3" t="str">
        <f>HYPERLINK("http://amigo.geneontology.org/amigo/term/GO:0042737","GO:0042737")</f>
        <v>GO:0042737</v>
      </c>
      <c r="D349" t="s">
        <v>1072</v>
      </c>
      <c r="E349">
        <v>473</v>
      </c>
      <c r="F349">
        <v>25</v>
      </c>
      <c r="G349">
        <v>6.9496077072873702E-3</v>
      </c>
      <c r="H349">
        <v>9.0344900194735803E-2</v>
      </c>
      <c r="I349" t="s">
        <v>1073</v>
      </c>
    </row>
    <row r="350" spans="1:9" x14ac:dyDescent="0.25">
      <c r="A350" t="s">
        <v>1074</v>
      </c>
      <c r="C350" s="3" t="str">
        <f>HYPERLINK("http://amigo.geneontology.org/amigo/term/GO:0006816","GO:0006816")</f>
        <v>GO:0006816</v>
      </c>
      <c r="D350" t="s">
        <v>1075</v>
      </c>
      <c r="E350">
        <v>110</v>
      </c>
      <c r="F350">
        <v>9</v>
      </c>
      <c r="G350">
        <v>7.0607254319832499E-3</v>
      </c>
      <c r="H350">
        <v>9.1789430615782194E-2</v>
      </c>
      <c r="I350" t="s">
        <v>594</v>
      </c>
    </row>
    <row r="351" spans="1:9" x14ac:dyDescent="0.25">
      <c r="A351" t="s">
        <v>1076</v>
      </c>
      <c r="C351" s="3" t="str">
        <f>HYPERLINK("http://amigo.geneontology.org/amigo/term/GO:0031226","GO:0031226")</f>
        <v>GO:0031226</v>
      </c>
      <c r="D351" t="s">
        <v>1077</v>
      </c>
      <c r="E351">
        <v>56</v>
      </c>
      <c r="F351">
        <v>6</v>
      </c>
      <c r="G351">
        <v>7.3991361626297401E-3</v>
      </c>
      <c r="H351">
        <v>9.6188770114186598E-2</v>
      </c>
      <c r="I351" t="s">
        <v>1078</v>
      </c>
    </row>
    <row r="352" spans="1:9" x14ac:dyDescent="0.25">
      <c r="A352" t="s">
        <v>1079</v>
      </c>
      <c r="C352" s="3" t="str">
        <f>HYPERLINK("http://amigo.geneontology.org/amigo/term/GO:0004143","GO:0004143")</f>
        <v>GO:0004143</v>
      </c>
      <c r="D352" t="s">
        <v>1080</v>
      </c>
      <c r="E352">
        <v>40</v>
      </c>
      <c r="F352">
        <v>5</v>
      </c>
      <c r="G352">
        <v>7.4148015169931102E-3</v>
      </c>
      <c r="H352">
        <v>9.6392419720910394E-2</v>
      </c>
      <c r="I352" t="s">
        <v>1081</v>
      </c>
    </row>
    <row r="353" spans="1:9" x14ac:dyDescent="0.25">
      <c r="A353" t="s">
        <v>1082</v>
      </c>
      <c r="C353" s="3" t="str">
        <f>HYPERLINK("http://amigo.geneontology.org/amigo/term/GO:0007205","GO:0007205")</f>
        <v>GO:0007205</v>
      </c>
      <c r="D353" t="s">
        <v>1083</v>
      </c>
      <c r="E353">
        <v>40</v>
      </c>
      <c r="F353">
        <v>5</v>
      </c>
      <c r="G353">
        <v>7.4148015169931102E-3</v>
      </c>
      <c r="H353">
        <v>9.6392419720910394E-2</v>
      </c>
      <c r="I353" t="s">
        <v>1081</v>
      </c>
    </row>
    <row r="354" spans="1:9" x14ac:dyDescent="0.25">
      <c r="A354" t="s">
        <v>1084</v>
      </c>
      <c r="C354" s="3" t="str">
        <f>HYPERLINK("http://amigo.geneontology.org/amigo/term/GO:0046906","GO:0046906")</f>
        <v>GO:0046906</v>
      </c>
      <c r="D354" t="s">
        <v>1085</v>
      </c>
      <c r="E354">
        <v>2625</v>
      </c>
      <c r="F354">
        <v>103</v>
      </c>
      <c r="G354">
        <v>7.9511155375788598E-3</v>
      </c>
      <c r="H354">
        <v>0.103364501988525</v>
      </c>
      <c r="I354" t="s">
        <v>1086</v>
      </c>
    </row>
    <row r="355" spans="1:9" x14ac:dyDescent="0.25">
      <c r="A355" t="s">
        <v>1087</v>
      </c>
      <c r="C355" s="3" t="str">
        <f>HYPERLINK("http://amigo.geneontology.org/amigo/term/GO:0009696","GO:0009696")</f>
        <v>GO:0009696</v>
      </c>
      <c r="D355" t="s">
        <v>1088</v>
      </c>
      <c r="E355">
        <v>57</v>
      </c>
      <c r="F355">
        <v>6</v>
      </c>
      <c r="G355">
        <v>8.0586721756748404E-3</v>
      </c>
      <c r="H355">
        <v>0.104762738283772</v>
      </c>
      <c r="I355" t="s">
        <v>1089</v>
      </c>
    </row>
    <row r="356" spans="1:9" x14ac:dyDescent="0.25">
      <c r="A356" t="s">
        <v>1090</v>
      </c>
      <c r="C356" s="3" t="str">
        <f>HYPERLINK("http://amigo.geneontology.org/amigo/term/GO:0009697","GO:0009697")</f>
        <v>GO:0009697</v>
      </c>
      <c r="D356" t="s">
        <v>1091</v>
      </c>
      <c r="E356">
        <v>57</v>
      </c>
      <c r="F356">
        <v>6</v>
      </c>
      <c r="G356">
        <v>8.0586721756748404E-3</v>
      </c>
      <c r="H356">
        <v>0.104762738283772</v>
      </c>
      <c r="I356" t="s">
        <v>1089</v>
      </c>
    </row>
    <row r="357" spans="1:9" x14ac:dyDescent="0.25">
      <c r="A357" t="s">
        <v>1092</v>
      </c>
      <c r="C357" s="3" t="str">
        <f>HYPERLINK("http://amigo.geneontology.org/amigo/term/GO:0009808","GO:0009808")</f>
        <v>GO:0009808</v>
      </c>
      <c r="D357" t="s">
        <v>1093</v>
      </c>
      <c r="E357">
        <v>93</v>
      </c>
      <c r="F357">
        <v>8</v>
      </c>
      <c r="G357">
        <v>8.0691110813739201E-3</v>
      </c>
      <c r="H357">
        <v>0.10489844405786</v>
      </c>
      <c r="I357" t="s">
        <v>1010</v>
      </c>
    </row>
    <row r="358" spans="1:9" x14ac:dyDescent="0.25">
      <c r="A358" t="s">
        <v>1094</v>
      </c>
      <c r="C358" s="3" t="str">
        <f>HYPERLINK("http://amigo.geneontology.org/amigo/term/GO:0032409","GO:0032409")</f>
        <v>GO:0032409</v>
      </c>
      <c r="D358" t="s">
        <v>1095</v>
      </c>
      <c r="E358">
        <v>14</v>
      </c>
      <c r="F358">
        <v>3</v>
      </c>
      <c r="G358">
        <v>8.2336136865919195E-3</v>
      </c>
      <c r="H358">
        <v>9.8803364239103103E-2</v>
      </c>
      <c r="I358" t="s">
        <v>1096</v>
      </c>
    </row>
    <row r="359" spans="1:9" x14ac:dyDescent="0.25">
      <c r="A359" t="s">
        <v>1097</v>
      </c>
      <c r="C359" s="3" t="str">
        <f>HYPERLINK("http://amigo.geneontology.org/amigo/term/GO:0022898","GO:0022898")</f>
        <v>GO:0022898</v>
      </c>
      <c r="D359" t="s">
        <v>1098</v>
      </c>
      <c r="E359">
        <v>14</v>
      </c>
      <c r="F359">
        <v>3</v>
      </c>
      <c r="G359">
        <v>8.2336136865919195E-3</v>
      </c>
      <c r="H359">
        <v>9.8803364239103103E-2</v>
      </c>
      <c r="I359" t="s">
        <v>1096</v>
      </c>
    </row>
    <row r="360" spans="1:9" x14ac:dyDescent="0.25">
      <c r="A360" t="s">
        <v>1099</v>
      </c>
      <c r="C360" s="3" t="str">
        <f>HYPERLINK("http://amigo.geneontology.org/amigo/term/GO:0032412","GO:0032412")</f>
        <v>GO:0032412</v>
      </c>
      <c r="D360" t="s">
        <v>1100</v>
      </c>
      <c r="E360">
        <v>14</v>
      </c>
      <c r="F360">
        <v>3</v>
      </c>
      <c r="G360">
        <v>8.2336136865919195E-3</v>
      </c>
      <c r="H360">
        <v>9.8803364239103103E-2</v>
      </c>
      <c r="I360" t="s">
        <v>1096</v>
      </c>
    </row>
    <row r="361" spans="1:9" x14ac:dyDescent="0.25">
      <c r="A361" t="s">
        <v>1101</v>
      </c>
      <c r="C361" s="3" t="str">
        <f>HYPERLINK("http://amigo.geneontology.org/amigo/term/GO:0015368","GO:0015368")</f>
        <v>GO:0015368</v>
      </c>
      <c r="D361" t="s">
        <v>1102</v>
      </c>
      <c r="E361">
        <v>14</v>
      </c>
      <c r="F361">
        <v>3</v>
      </c>
      <c r="G361">
        <v>8.2336136865919195E-3</v>
      </c>
      <c r="H361">
        <v>9.8803364239103103E-2</v>
      </c>
      <c r="I361" t="s">
        <v>1103</v>
      </c>
    </row>
    <row r="362" spans="1:9" x14ac:dyDescent="0.25">
      <c r="A362" t="s">
        <v>1104</v>
      </c>
      <c r="C362" s="3" t="str">
        <f>HYPERLINK("http://amigo.geneontology.org/amigo/term/GO:0051139","GO:0051139")</f>
        <v>GO:0051139</v>
      </c>
      <c r="D362" t="s">
        <v>1105</v>
      </c>
      <c r="E362">
        <v>14</v>
      </c>
      <c r="F362">
        <v>3</v>
      </c>
      <c r="G362">
        <v>8.2336136865919195E-3</v>
      </c>
      <c r="H362">
        <v>9.8803364239103103E-2</v>
      </c>
      <c r="I362" t="s">
        <v>1103</v>
      </c>
    </row>
    <row r="363" spans="1:9" x14ac:dyDescent="0.25">
      <c r="A363" t="s">
        <v>1106</v>
      </c>
      <c r="C363" s="3" t="str">
        <f>HYPERLINK("http://amigo.geneontology.org/amigo/term/GO:0015369","GO:0015369")</f>
        <v>GO:0015369</v>
      </c>
      <c r="D363" t="s">
        <v>1107</v>
      </c>
      <c r="E363">
        <v>14</v>
      </c>
      <c r="F363">
        <v>3</v>
      </c>
      <c r="G363">
        <v>8.2336136865919195E-3</v>
      </c>
      <c r="H363">
        <v>0.107036977925695</v>
      </c>
      <c r="I363" t="s">
        <v>1103</v>
      </c>
    </row>
    <row r="364" spans="1:9" x14ac:dyDescent="0.25">
      <c r="A364" t="s">
        <v>1108</v>
      </c>
      <c r="C364" s="3" t="str">
        <f>HYPERLINK("http://amigo.geneontology.org/amigo/term/GO:0030244","GO:0030244")</f>
        <v>GO:0030244</v>
      </c>
      <c r="D364" t="s">
        <v>1109</v>
      </c>
      <c r="E364">
        <v>175</v>
      </c>
      <c r="F364">
        <v>12</v>
      </c>
      <c r="G364">
        <v>8.3469379799915901E-3</v>
      </c>
      <c r="H364">
        <v>0.100163255759899</v>
      </c>
      <c r="I364" t="s">
        <v>1110</v>
      </c>
    </row>
    <row r="365" spans="1:9" x14ac:dyDescent="0.25">
      <c r="A365" t="s">
        <v>1111</v>
      </c>
      <c r="C365" s="3" t="str">
        <f>HYPERLINK("http://amigo.geneontology.org/amigo/term/GO:0010817","GO:0010817")</f>
        <v>GO:0010817</v>
      </c>
      <c r="D365" t="s">
        <v>1112</v>
      </c>
      <c r="E365">
        <v>384</v>
      </c>
      <c r="F365">
        <v>21</v>
      </c>
      <c r="G365">
        <v>8.7922296445700297E-3</v>
      </c>
      <c r="H365">
        <v>0.10550675573484</v>
      </c>
      <c r="I365" t="s">
        <v>1113</v>
      </c>
    </row>
    <row r="366" spans="1:9" x14ac:dyDescent="0.25">
      <c r="A366" t="s">
        <v>1114</v>
      </c>
      <c r="C366" s="3" t="str">
        <f>HYPERLINK("http://amigo.geneontology.org/amigo/term/GO:0009897","GO:0009897")</f>
        <v>GO:0009897</v>
      </c>
      <c r="D366" t="s">
        <v>1115</v>
      </c>
      <c r="E366">
        <v>5</v>
      </c>
      <c r="F366">
        <v>2</v>
      </c>
      <c r="G366">
        <v>8.9119941872038196E-3</v>
      </c>
      <c r="H366">
        <v>0.106943930246445</v>
      </c>
      <c r="I366" t="s">
        <v>895</v>
      </c>
    </row>
    <row r="367" spans="1:9" x14ac:dyDescent="0.25">
      <c r="A367" t="s">
        <v>1116</v>
      </c>
      <c r="C367" s="3" t="str">
        <f>HYPERLINK("http://amigo.geneontology.org/amigo/term/GO:0008395","GO:0008395")</f>
        <v>GO:0008395</v>
      </c>
      <c r="D367" t="s">
        <v>1117</v>
      </c>
      <c r="E367">
        <v>5</v>
      </c>
      <c r="F367">
        <v>2</v>
      </c>
      <c r="G367">
        <v>8.9119941872038196E-3</v>
      </c>
      <c r="H367">
        <v>0.106943930246445</v>
      </c>
      <c r="I367" t="s">
        <v>1045</v>
      </c>
    </row>
    <row r="368" spans="1:9" x14ac:dyDescent="0.25">
      <c r="A368" t="s">
        <v>1118</v>
      </c>
      <c r="C368" s="3" t="str">
        <f>HYPERLINK("http://amigo.geneontology.org/amigo/term/GO:0015179","GO:0015179")</f>
        <v>GO:0015179</v>
      </c>
      <c r="D368" t="s">
        <v>1119</v>
      </c>
      <c r="E368">
        <v>5</v>
      </c>
      <c r="F368">
        <v>2</v>
      </c>
      <c r="G368">
        <v>8.9119941872038196E-3</v>
      </c>
      <c r="H368">
        <v>0.106943930246445</v>
      </c>
      <c r="I368" t="s">
        <v>1120</v>
      </c>
    </row>
    <row r="369" spans="1:9" x14ac:dyDescent="0.25">
      <c r="A369" t="s">
        <v>1121</v>
      </c>
      <c r="C369" s="3" t="str">
        <f>HYPERLINK("http://amigo.geneontology.org/amigo/term/GO:0015174","GO:0015174")</f>
        <v>GO:0015174</v>
      </c>
      <c r="D369" t="s">
        <v>1122</v>
      </c>
      <c r="E369">
        <v>5</v>
      </c>
      <c r="F369">
        <v>2</v>
      </c>
      <c r="G369">
        <v>8.9119941872038196E-3</v>
      </c>
      <c r="H369">
        <v>0.106943930246445</v>
      </c>
      <c r="I369" t="s">
        <v>1120</v>
      </c>
    </row>
    <row r="370" spans="1:9" x14ac:dyDescent="0.25">
      <c r="A370" t="s">
        <v>1123</v>
      </c>
      <c r="C370" s="3" t="str">
        <f>HYPERLINK("http://amigo.geneontology.org/amigo/term/GO:0015181","GO:0015181")</f>
        <v>GO:0015181</v>
      </c>
      <c r="D370" t="s">
        <v>1124</v>
      </c>
      <c r="E370">
        <v>5</v>
      </c>
      <c r="F370">
        <v>2</v>
      </c>
      <c r="G370">
        <v>8.9119941872038196E-3</v>
      </c>
      <c r="H370">
        <v>0.106943930246445</v>
      </c>
      <c r="I370" t="s">
        <v>1120</v>
      </c>
    </row>
    <row r="371" spans="1:9" x14ac:dyDescent="0.25">
      <c r="A371" t="s">
        <v>1125</v>
      </c>
      <c r="C371" s="3" t="str">
        <f>HYPERLINK("http://amigo.geneontology.org/amigo/term/GO:0015189","GO:0015189")</f>
        <v>GO:0015189</v>
      </c>
      <c r="D371" t="s">
        <v>1126</v>
      </c>
      <c r="E371">
        <v>5</v>
      </c>
      <c r="F371">
        <v>2</v>
      </c>
      <c r="G371">
        <v>8.9119941872038196E-3</v>
      </c>
      <c r="H371">
        <v>0.106943930246445</v>
      </c>
      <c r="I371" t="s">
        <v>1120</v>
      </c>
    </row>
    <row r="372" spans="1:9" x14ac:dyDescent="0.25">
      <c r="A372" t="s">
        <v>1127</v>
      </c>
      <c r="C372" s="3" t="str">
        <f>HYPERLINK("http://amigo.geneontology.org/amigo/term/GO:0010115","GO:0010115")</f>
        <v>GO:0010115</v>
      </c>
      <c r="D372" t="s">
        <v>1128</v>
      </c>
      <c r="E372">
        <v>5</v>
      </c>
      <c r="F372">
        <v>2</v>
      </c>
      <c r="G372">
        <v>8.9119941872038196E-3</v>
      </c>
      <c r="H372">
        <v>0.106943930246445</v>
      </c>
      <c r="I372" t="s">
        <v>815</v>
      </c>
    </row>
    <row r="373" spans="1:9" x14ac:dyDescent="0.25">
      <c r="A373" t="s">
        <v>1129</v>
      </c>
      <c r="C373" s="3" t="str">
        <f>HYPERLINK("http://amigo.geneontology.org/amigo/term/GO:0045834","GO:0045834")</f>
        <v>GO:0045834</v>
      </c>
      <c r="D373" t="s">
        <v>1130</v>
      </c>
      <c r="E373">
        <v>5</v>
      </c>
      <c r="F373">
        <v>2</v>
      </c>
      <c r="G373">
        <v>8.9119941872038196E-3</v>
      </c>
      <c r="H373">
        <v>0.106943930246445</v>
      </c>
      <c r="I373" t="s">
        <v>815</v>
      </c>
    </row>
    <row r="374" spans="1:9" x14ac:dyDescent="0.25">
      <c r="A374" t="s">
        <v>1131</v>
      </c>
      <c r="C374" s="3" t="str">
        <f>HYPERLINK("http://amigo.geneontology.org/amigo/term/GO:0045828","GO:0045828")</f>
        <v>GO:0045828</v>
      </c>
      <c r="D374" t="s">
        <v>1132</v>
      </c>
      <c r="E374">
        <v>5</v>
      </c>
      <c r="F374">
        <v>2</v>
      </c>
      <c r="G374">
        <v>8.9119941872038196E-3</v>
      </c>
      <c r="H374">
        <v>0.106943930246445</v>
      </c>
      <c r="I374" t="s">
        <v>815</v>
      </c>
    </row>
    <row r="375" spans="1:9" x14ac:dyDescent="0.25">
      <c r="A375" t="s">
        <v>1133</v>
      </c>
      <c r="C375" s="3" t="str">
        <f>HYPERLINK("http://amigo.geneontology.org/amigo/term/GO:0046889","GO:0046889")</f>
        <v>GO:0046889</v>
      </c>
      <c r="D375" t="s">
        <v>1134</v>
      </c>
      <c r="E375">
        <v>5</v>
      </c>
      <c r="F375">
        <v>2</v>
      </c>
      <c r="G375">
        <v>8.9119941872038196E-3</v>
      </c>
      <c r="H375">
        <v>0.106943930246445</v>
      </c>
      <c r="I375" t="s">
        <v>815</v>
      </c>
    </row>
    <row r="376" spans="1:9" x14ac:dyDescent="0.25">
      <c r="A376" t="s">
        <v>1135</v>
      </c>
      <c r="C376" s="3" t="str">
        <f>HYPERLINK("http://amigo.geneontology.org/amigo/term/GO:0032984","GO:0032984")</f>
        <v>GO:0032984</v>
      </c>
      <c r="D376" t="s">
        <v>1136</v>
      </c>
      <c r="E376">
        <v>59</v>
      </c>
      <c r="F376">
        <v>6</v>
      </c>
      <c r="G376">
        <v>9.5026545349868301E-3</v>
      </c>
      <c r="H376">
        <v>0.114031854419841</v>
      </c>
      <c r="I376" t="s">
        <v>652</v>
      </c>
    </row>
    <row r="377" spans="1:9" x14ac:dyDescent="0.25">
      <c r="A377" t="s">
        <v>1137</v>
      </c>
      <c r="C377" s="3" t="str">
        <f>HYPERLINK("http://amigo.geneontology.org/amigo/term/GO:0043624","GO:0043624")</f>
        <v>GO:0043624</v>
      </c>
      <c r="D377" t="s">
        <v>1138</v>
      </c>
      <c r="E377">
        <v>59</v>
      </c>
      <c r="F377">
        <v>6</v>
      </c>
      <c r="G377">
        <v>9.5026545349868301E-3</v>
      </c>
      <c r="H377">
        <v>0.114031854419841</v>
      </c>
      <c r="I377" t="s">
        <v>652</v>
      </c>
    </row>
    <row r="378" spans="1:9" x14ac:dyDescent="0.25">
      <c r="A378" t="s">
        <v>1139</v>
      </c>
      <c r="C378" s="3" t="str">
        <f>HYPERLINK("http://amigo.geneontology.org/amigo/term/GO:0008509","GO:0008509")</f>
        <v>GO:0008509</v>
      </c>
      <c r="D378" t="s">
        <v>1140</v>
      </c>
      <c r="E378">
        <v>292</v>
      </c>
      <c r="F378">
        <v>17</v>
      </c>
      <c r="G378">
        <v>9.7475807916028098E-3</v>
      </c>
      <c r="H378">
        <v>0.116970969499233</v>
      </c>
      <c r="I378" t="s">
        <v>1141</v>
      </c>
    </row>
    <row r="379" spans="1:9" x14ac:dyDescent="0.25">
      <c r="A379" t="s">
        <v>1142</v>
      </c>
      <c r="C379" s="3" t="str">
        <f>HYPERLINK("http://amigo.geneontology.org/amigo/term/GO:0046524","GO:0046524")</f>
        <v>GO:0046524</v>
      </c>
      <c r="D379" t="s">
        <v>1143</v>
      </c>
      <c r="E379">
        <v>15</v>
      </c>
      <c r="F379">
        <v>3</v>
      </c>
      <c r="G379">
        <v>1.0058758961198301E-2</v>
      </c>
      <c r="H379">
        <v>0.12070510753437901</v>
      </c>
      <c r="I379" t="s">
        <v>1144</v>
      </c>
    </row>
    <row r="380" spans="1:9" x14ac:dyDescent="0.25">
      <c r="A380" t="s">
        <v>1145</v>
      </c>
      <c r="C380" s="3" t="str">
        <f>HYPERLINK("http://amigo.geneontology.org/amigo/term/GO:0003002","GO:0003002")</f>
        <v>GO:0003002</v>
      </c>
      <c r="D380" t="s">
        <v>1146</v>
      </c>
      <c r="E380">
        <v>118</v>
      </c>
      <c r="F380">
        <v>9</v>
      </c>
      <c r="G380">
        <v>1.09572624256903E-2</v>
      </c>
      <c r="H380">
        <v>0.13148714910828399</v>
      </c>
      <c r="I380" t="s">
        <v>1147</v>
      </c>
    </row>
    <row r="381" spans="1:9" x14ac:dyDescent="0.25">
      <c r="A381" t="s">
        <v>1148</v>
      </c>
      <c r="C381" s="3" t="str">
        <f>HYPERLINK("http://amigo.geneontology.org/amigo/term/GO:0016192","GO:0016192")</f>
        <v>GO:0016192</v>
      </c>
      <c r="D381" t="s">
        <v>1149</v>
      </c>
      <c r="E381">
        <v>804</v>
      </c>
      <c r="F381">
        <v>37</v>
      </c>
      <c r="G381">
        <v>1.11743937329202E-2</v>
      </c>
      <c r="H381">
        <v>0.134092724795043</v>
      </c>
      <c r="I381" t="s">
        <v>1150</v>
      </c>
    </row>
    <row r="382" spans="1:9" x14ac:dyDescent="0.25">
      <c r="A382" t="s">
        <v>1151</v>
      </c>
      <c r="C382" s="3" t="str">
        <f>HYPERLINK("http://amigo.geneontology.org/amigo/term/GO:0042744","GO:0042744")</f>
        <v>GO:0042744</v>
      </c>
      <c r="D382" t="s">
        <v>1152</v>
      </c>
      <c r="E382">
        <v>227</v>
      </c>
      <c r="F382">
        <v>14</v>
      </c>
      <c r="G382">
        <v>1.12902246624519E-2</v>
      </c>
      <c r="H382">
        <v>0.135482695949423</v>
      </c>
      <c r="I382" t="s">
        <v>1153</v>
      </c>
    </row>
    <row r="383" spans="1:9" x14ac:dyDescent="0.25">
      <c r="A383" t="s">
        <v>1154</v>
      </c>
      <c r="C383" s="3" t="str">
        <f>HYPERLINK("http://amigo.geneontology.org/amigo/term/GO:0043269","GO:0043269")</f>
        <v>GO:0043269</v>
      </c>
      <c r="D383" t="s">
        <v>1155</v>
      </c>
      <c r="E383">
        <v>140</v>
      </c>
      <c r="F383">
        <v>10</v>
      </c>
      <c r="G383">
        <v>1.1698320532091499E-2</v>
      </c>
      <c r="H383">
        <v>0.14037984638509801</v>
      </c>
      <c r="I383" t="s">
        <v>1156</v>
      </c>
    </row>
    <row r="384" spans="1:9" x14ac:dyDescent="0.25">
      <c r="A384" t="s">
        <v>1157</v>
      </c>
      <c r="C384" s="3" t="str">
        <f>HYPERLINK("http://amigo.geneontology.org/amigo/term/GO:0022411","GO:0022411")</f>
        <v>GO:0022411</v>
      </c>
      <c r="D384" t="s">
        <v>1158</v>
      </c>
      <c r="E384">
        <v>62</v>
      </c>
      <c r="F384">
        <v>6</v>
      </c>
      <c r="G384">
        <v>1.2000726791264E-2</v>
      </c>
      <c r="H384">
        <v>0.144008721495168</v>
      </c>
      <c r="I384" t="s">
        <v>652</v>
      </c>
    </row>
    <row r="385" spans="1:9" x14ac:dyDescent="0.25">
      <c r="A385" t="s">
        <v>1159</v>
      </c>
      <c r="C385" s="3" t="str">
        <f>HYPERLINK("http://amigo.geneontology.org/amigo/term/GO:0016880","GO:0016880")</f>
        <v>GO:0016880</v>
      </c>
      <c r="D385" t="s">
        <v>1160</v>
      </c>
      <c r="E385">
        <v>16</v>
      </c>
      <c r="F385">
        <v>3</v>
      </c>
      <c r="G385">
        <v>1.2099903226371901E-2</v>
      </c>
      <c r="H385">
        <v>0.133098935490091</v>
      </c>
      <c r="I385" t="s">
        <v>1161</v>
      </c>
    </row>
    <row r="386" spans="1:9" x14ac:dyDescent="0.25">
      <c r="A386" t="s">
        <v>1162</v>
      </c>
      <c r="C386" s="3" t="str">
        <f>HYPERLINK("http://amigo.geneontology.org/amigo/term/GO:0016211","GO:0016211")</f>
        <v>GO:0016211</v>
      </c>
      <c r="D386" t="s">
        <v>1163</v>
      </c>
      <c r="E386">
        <v>16</v>
      </c>
      <c r="F386">
        <v>3</v>
      </c>
      <c r="G386">
        <v>1.2099903226371901E-2</v>
      </c>
      <c r="H386">
        <v>0.133098935490091</v>
      </c>
      <c r="I386" t="s">
        <v>1161</v>
      </c>
    </row>
    <row r="387" spans="1:9" x14ac:dyDescent="0.25">
      <c r="A387" t="s">
        <v>1164</v>
      </c>
      <c r="C387" s="3" t="str">
        <f>HYPERLINK("http://amigo.geneontology.org/amigo/term/GO:0004356","GO:0004356")</f>
        <v>GO:0004356</v>
      </c>
      <c r="D387" t="s">
        <v>1165</v>
      </c>
      <c r="E387">
        <v>16</v>
      </c>
      <c r="F387">
        <v>3</v>
      </c>
      <c r="G387">
        <v>1.2099903226371901E-2</v>
      </c>
      <c r="H387">
        <v>0.133098935490091</v>
      </c>
      <c r="I387" t="s">
        <v>1161</v>
      </c>
    </row>
    <row r="388" spans="1:9" x14ac:dyDescent="0.25">
      <c r="A388" t="s">
        <v>1166</v>
      </c>
      <c r="C388" s="3" t="str">
        <f>HYPERLINK("http://amigo.geneontology.org/amigo/term/GO:0006542","GO:0006542")</f>
        <v>GO:0006542</v>
      </c>
      <c r="D388" t="s">
        <v>1167</v>
      </c>
      <c r="E388">
        <v>16</v>
      </c>
      <c r="F388">
        <v>3</v>
      </c>
      <c r="G388">
        <v>1.2099903226371901E-2</v>
      </c>
      <c r="H388">
        <v>0.133098935490091</v>
      </c>
      <c r="I388" t="s">
        <v>1161</v>
      </c>
    </row>
    <row r="389" spans="1:9" x14ac:dyDescent="0.25">
      <c r="A389" t="s">
        <v>1168</v>
      </c>
      <c r="C389" s="3" t="str">
        <f>HYPERLINK("http://amigo.geneontology.org/amigo/term/GO:0042330","GO:0042330")</f>
        <v>GO:0042330</v>
      </c>
      <c r="D389" t="s">
        <v>1169</v>
      </c>
      <c r="E389">
        <v>16</v>
      </c>
      <c r="F389">
        <v>3</v>
      </c>
      <c r="G389">
        <v>1.2099903226371901E-2</v>
      </c>
      <c r="H389">
        <v>0.133098935490091</v>
      </c>
      <c r="I389" t="s">
        <v>1170</v>
      </c>
    </row>
    <row r="390" spans="1:9" x14ac:dyDescent="0.25">
      <c r="A390" t="s">
        <v>1171</v>
      </c>
      <c r="C390" s="3" t="str">
        <f>HYPERLINK("http://amigo.geneontology.org/amigo/term/GO:0006935","GO:0006935")</f>
        <v>GO:0006935</v>
      </c>
      <c r="D390" t="s">
        <v>1172</v>
      </c>
      <c r="E390">
        <v>16</v>
      </c>
      <c r="F390">
        <v>3</v>
      </c>
      <c r="G390">
        <v>1.2099903226371901E-2</v>
      </c>
      <c r="H390">
        <v>0.145198838716463</v>
      </c>
      <c r="I390" t="s">
        <v>1170</v>
      </c>
    </row>
    <row r="391" spans="1:9" x14ac:dyDescent="0.25">
      <c r="A391" t="s">
        <v>1173</v>
      </c>
      <c r="C391" s="3" t="str">
        <f>HYPERLINK("http://amigo.geneontology.org/amigo/term/GO:0050918","GO:0050918")</f>
        <v>GO:0050918</v>
      </c>
      <c r="D391" t="s">
        <v>1174</v>
      </c>
      <c r="E391">
        <v>16</v>
      </c>
      <c r="F391">
        <v>3</v>
      </c>
      <c r="G391">
        <v>1.2099903226371901E-2</v>
      </c>
      <c r="H391">
        <v>0.145198838716463</v>
      </c>
      <c r="I391" t="s">
        <v>1170</v>
      </c>
    </row>
    <row r="392" spans="1:9" x14ac:dyDescent="0.25">
      <c r="A392" t="s">
        <v>1175</v>
      </c>
      <c r="C392" s="3" t="str">
        <f>HYPERLINK("http://amigo.geneontology.org/amigo/term/GO:0010183","GO:0010183")</f>
        <v>GO:0010183</v>
      </c>
      <c r="D392" t="s">
        <v>1176</v>
      </c>
      <c r="E392">
        <v>16</v>
      </c>
      <c r="F392">
        <v>3</v>
      </c>
      <c r="G392">
        <v>1.2099903226371901E-2</v>
      </c>
      <c r="H392">
        <v>0.145198838716463</v>
      </c>
      <c r="I392" t="s">
        <v>1170</v>
      </c>
    </row>
    <row r="393" spans="1:9" x14ac:dyDescent="0.25">
      <c r="A393" t="s">
        <v>1177</v>
      </c>
      <c r="C393" s="3" t="str">
        <f>HYPERLINK("http://amigo.geneontology.org/amigo/term/GO:0006165","GO:0006165")</f>
        <v>GO:0006165</v>
      </c>
      <c r="D393" t="s">
        <v>1178</v>
      </c>
      <c r="E393">
        <v>276</v>
      </c>
      <c r="F393">
        <v>16</v>
      </c>
      <c r="G393">
        <v>1.2351402545121499E-2</v>
      </c>
      <c r="H393">
        <v>0.135865427996337</v>
      </c>
      <c r="I393" t="s">
        <v>1179</v>
      </c>
    </row>
    <row r="394" spans="1:9" x14ac:dyDescent="0.25">
      <c r="A394" t="s">
        <v>1180</v>
      </c>
      <c r="C394" s="3" t="str">
        <f>HYPERLINK("http://amigo.geneontology.org/amigo/term/GO:0020037","GO:0020037")</f>
        <v>GO:0020037</v>
      </c>
      <c r="D394" t="s">
        <v>1181</v>
      </c>
      <c r="E394">
        <v>2527</v>
      </c>
      <c r="F394">
        <v>98</v>
      </c>
      <c r="G394">
        <v>1.26445872695007E-2</v>
      </c>
      <c r="H394">
        <v>0.139090459964508</v>
      </c>
      <c r="I394" t="s">
        <v>1182</v>
      </c>
    </row>
    <row r="395" spans="1:9" x14ac:dyDescent="0.25">
      <c r="A395" t="s">
        <v>1183</v>
      </c>
      <c r="C395" s="3" t="str">
        <f>HYPERLINK("http://amigo.geneontology.org/amigo/term/GO:0019751","GO:0019751")</f>
        <v>GO:0019751</v>
      </c>
      <c r="D395" t="s">
        <v>83</v>
      </c>
      <c r="E395">
        <v>142</v>
      </c>
      <c r="F395">
        <v>10</v>
      </c>
      <c r="G395">
        <v>1.28294791360018E-2</v>
      </c>
      <c r="H395">
        <v>0.141124270496019</v>
      </c>
      <c r="I395" t="s">
        <v>1184</v>
      </c>
    </row>
    <row r="396" spans="1:9" x14ac:dyDescent="0.25">
      <c r="A396" t="s">
        <v>1185</v>
      </c>
      <c r="C396" s="3" t="str">
        <f>HYPERLINK("http://amigo.geneontology.org/amigo/term/GO:0017171","GO:0017171")</f>
        <v>GO:0017171</v>
      </c>
      <c r="D396" t="s">
        <v>1186</v>
      </c>
      <c r="E396">
        <v>759</v>
      </c>
      <c r="F396">
        <v>35</v>
      </c>
      <c r="G396">
        <v>1.29234939268801E-2</v>
      </c>
      <c r="H396">
        <v>0.142158433195681</v>
      </c>
      <c r="I396" t="s">
        <v>1187</v>
      </c>
    </row>
    <row r="397" spans="1:9" x14ac:dyDescent="0.25">
      <c r="A397" t="s">
        <v>1188</v>
      </c>
      <c r="C397" s="3" t="str">
        <f>HYPERLINK("http://amigo.geneontology.org/amigo/term/GO:0008236","GO:0008236")</f>
        <v>GO:0008236</v>
      </c>
      <c r="D397" t="s">
        <v>1189</v>
      </c>
      <c r="E397">
        <v>759</v>
      </c>
      <c r="F397">
        <v>35</v>
      </c>
      <c r="G397">
        <v>1.29234939268801E-2</v>
      </c>
      <c r="H397">
        <v>0.142158433195681</v>
      </c>
      <c r="I397" t="s">
        <v>1187</v>
      </c>
    </row>
    <row r="398" spans="1:9" x14ac:dyDescent="0.25">
      <c r="A398" t="s">
        <v>1190</v>
      </c>
      <c r="C398" s="3" t="str">
        <f>HYPERLINK("http://amigo.geneontology.org/amigo/term/GO:0035690","GO:0035690")</f>
        <v>GO:0035690</v>
      </c>
      <c r="D398" t="s">
        <v>1191</v>
      </c>
      <c r="E398">
        <v>101</v>
      </c>
      <c r="F398">
        <v>8</v>
      </c>
      <c r="G398">
        <v>1.2940294249045799E-2</v>
      </c>
      <c r="H398">
        <v>0.142343236739504</v>
      </c>
      <c r="I398" t="s">
        <v>1192</v>
      </c>
    </row>
    <row r="399" spans="1:9" x14ac:dyDescent="0.25">
      <c r="A399" t="s">
        <v>1193</v>
      </c>
      <c r="C399" s="3" t="str">
        <f>HYPERLINK("http://amigo.geneontology.org/amigo/term/GO:1902358","GO:1902358")</f>
        <v>GO:1902358</v>
      </c>
      <c r="D399" t="s">
        <v>1194</v>
      </c>
      <c r="E399">
        <v>30</v>
      </c>
      <c r="F399">
        <v>4</v>
      </c>
      <c r="G399">
        <v>1.2988780922394401E-2</v>
      </c>
      <c r="H399">
        <v>0.142876590146338</v>
      </c>
      <c r="I399" t="s">
        <v>1195</v>
      </c>
    </row>
    <row r="400" spans="1:9" x14ac:dyDescent="0.25">
      <c r="A400" t="s">
        <v>1196</v>
      </c>
      <c r="C400" s="3" t="str">
        <f>HYPERLINK("http://amigo.geneontology.org/amigo/term/GO:0045833","GO:0045833")</f>
        <v>GO:0045833</v>
      </c>
      <c r="D400" t="s">
        <v>1197</v>
      </c>
      <c r="E400">
        <v>6</v>
      </c>
      <c r="F400">
        <v>2</v>
      </c>
      <c r="G400">
        <v>1.3095885022835501E-2</v>
      </c>
      <c r="H400">
        <v>0.14405473525119</v>
      </c>
      <c r="I400" t="s">
        <v>815</v>
      </c>
    </row>
    <row r="401" spans="1:9" x14ac:dyDescent="0.25">
      <c r="A401" t="s">
        <v>1198</v>
      </c>
      <c r="C401" s="3" t="str">
        <f>HYPERLINK("http://amigo.geneontology.org/amigo/term/GO:0051055","GO:0051055")</f>
        <v>GO:0051055</v>
      </c>
      <c r="D401" t="s">
        <v>1199</v>
      </c>
      <c r="E401">
        <v>6</v>
      </c>
      <c r="F401">
        <v>2</v>
      </c>
      <c r="G401">
        <v>1.3095885022835501E-2</v>
      </c>
      <c r="H401">
        <v>0.14405473525119</v>
      </c>
      <c r="I401" t="s">
        <v>815</v>
      </c>
    </row>
    <row r="402" spans="1:9" x14ac:dyDescent="0.25">
      <c r="A402" t="s">
        <v>1200</v>
      </c>
      <c r="C402" s="3" t="str">
        <f>HYPERLINK("http://amigo.geneontology.org/amigo/term/GO:0005674","GO:0005674")</f>
        <v>GO:0005674</v>
      </c>
      <c r="D402" t="s">
        <v>1201</v>
      </c>
      <c r="E402">
        <v>6</v>
      </c>
      <c r="F402">
        <v>2</v>
      </c>
      <c r="G402">
        <v>1.3095885022835501E-2</v>
      </c>
      <c r="H402">
        <v>0.14405473525119</v>
      </c>
      <c r="I402" t="s">
        <v>1202</v>
      </c>
    </row>
    <row r="403" spans="1:9" x14ac:dyDescent="0.25">
      <c r="A403" t="s">
        <v>1203</v>
      </c>
      <c r="C403" s="3" t="str">
        <f>HYPERLINK("http://amigo.geneontology.org/amigo/term/GO:0043036","GO:0043036")</f>
        <v>GO:0043036</v>
      </c>
      <c r="D403" t="s">
        <v>1204</v>
      </c>
      <c r="E403">
        <v>6</v>
      </c>
      <c r="F403">
        <v>2</v>
      </c>
      <c r="G403">
        <v>1.3095885022835501E-2</v>
      </c>
      <c r="H403">
        <v>0.14405473525119</v>
      </c>
      <c r="I403" t="s">
        <v>1205</v>
      </c>
    </row>
    <row r="404" spans="1:9" x14ac:dyDescent="0.25">
      <c r="A404" t="s">
        <v>1206</v>
      </c>
      <c r="C404" s="3" t="str">
        <f>HYPERLINK("http://amigo.geneontology.org/amigo/term/GO:0009569","GO:0009569")</f>
        <v>GO:0009569</v>
      </c>
      <c r="D404" t="s">
        <v>1207</v>
      </c>
      <c r="E404">
        <v>6</v>
      </c>
      <c r="F404">
        <v>2</v>
      </c>
      <c r="G404">
        <v>1.3095885022835501E-2</v>
      </c>
      <c r="H404">
        <v>0.14405473525119</v>
      </c>
      <c r="I404" t="s">
        <v>1205</v>
      </c>
    </row>
    <row r="405" spans="1:9" x14ac:dyDescent="0.25">
      <c r="A405" t="s">
        <v>1208</v>
      </c>
      <c r="C405" s="3" t="str">
        <f>HYPERLINK("http://amigo.geneontology.org/amigo/term/GO:0019156","GO:0019156")</f>
        <v>GO:0019156</v>
      </c>
      <c r="D405" t="s">
        <v>1209</v>
      </c>
      <c r="E405">
        <v>6</v>
      </c>
      <c r="F405">
        <v>2</v>
      </c>
      <c r="G405">
        <v>1.3095885022835501E-2</v>
      </c>
      <c r="H405">
        <v>0.14405473525119</v>
      </c>
      <c r="I405" t="s">
        <v>1205</v>
      </c>
    </row>
    <row r="406" spans="1:9" x14ac:dyDescent="0.25">
      <c r="A406" t="s">
        <v>1210</v>
      </c>
      <c r="C406" s="3" t="str">
        <f>HYPERLINK("http://amigo.geneontology.org/amigo/term/GO:0016772","GO:0016772")</f>
        <v>GO:0016772</v>
      </c>
      <c r="D406" t="s">
        <v>1211</v>
      </c>
      <c r="E406">
        <v>6904</v>
      </c>
      <c r="F406">
        <v>244</v>
      </c>
      <c r="G406">
        <v>1.33050001173429E-2</v>
      </c>
      <c r="H406">
        <v>0.146355001290772</v>
      </c>
      <c r="I406" t="s">
        <v>1212</v>
      </c>
    </row>
    <row r="407" spans="1:9" x14ac:dyDescent="0.25">
      <c r="A407" t="s">
        <v>1213</v>
      </c>
      <c r="C407" s="3" t="str">
        <f>HYPERLINK("http://amigo.geneontology.org/amigo/term/GO:0005506","GO:0005506")</f>
        <v>GO:0005506</v>
      </c>
      <c r="D407" t="s">
        <v>1214</v>
      </c>
      <c r="E407">
        <v>1961</v>
      </c>
      <c r="F407">
        <v>78</v>
      </c>
      <c r="G407">
        <v>1.41646563956845E-2</v>
      </c>
      <c r="H407">
        <v>0.15581122035252901</v>
      </c>
      <c r="I407" t="s">
        <v>1215</v>
      </c>
    </row>
    <row r="408" spans="1:9" x14ac:dyDescent="0.25">
      <c r="A408" t="s">
        <v>1216</v>
      </c>
      <c r="C408" s="3" t="str">
        <f>HYPERLINK("http://amigo.geneontology.org/amigo/term/GO:0004550","GO:0004550")</f>
        <v>GO:0004550</v>
      </c>
      <c r="D408" t="s">
        <v>1217</v>
      </c>
      <c r="E408">
        <v>17</v>
      </c>
      <c r="F408">
        <v>3</v>
      </c>
      <c r="G408">
        <v>1.43608681497027E-2</v>
      </c>
      <c r="H408">
        <v>0.15796954964672999</v>
      </c>
      <c r="I408" t="s">
        <v>1218</v>
      </c>
    </row>
    <row r="409" spans="1:9" x14ac:dyDescent="0.25">
      <c r="A409" t="s">
        <v>1219</v>
      </c>
      <c r="C409" s="3" t="str">
        <f>HYPERLINK("http://amigo.geneontology.org/amigo/term/GO:0006183","GO:0006183")</f>
        <v>GO:0006183</v>
      </c>
      <c r="D409" t="s">
        <v>1220</v>
      </c>
      <c r="E409">
        <v>17</v>
      </c>
      <c r="F409">
        <v>3</v>
      </c>
      <c r="G409">
        <v>1.43608681497027E-2</v>
      </c>
      <c r="H409">
        <v>0.15796954964672999</v>
      </c>
      <c r="I409" t="s">
        <v>1218</v>
      </c>
    </row>
    <row r="410" spans="1:9" x14ac:dyDescent="0.25">
      <c r="A410" t="s">
        <v>1221</v>
      </c>
      <c r="C410" s="3" t="str">
        <f>HYPERLINK("http://amigo.geneontology.org/amigo/term/GO:0046051","GO:0046051")</f>
        <v>GO:0046051</v>
      </c>
      <c r="D410" t="s">
        <v>1222</v>
      </c>
      <c r="E410">
        <v>17</v>
      </c>
      <c r="F410">
        <v>3</v>
      </c>
      <c r="G410">
        <v>1.43608681497027E-2</v>
      </c>
      <c r="H410">
        <v>0.15796954964672999</v>
      </c>
      <c r="I410" t="s">
        <v>1218</v>
      </c>
    </row>
    <row r="411" spans="1:9" x14ac:dyDescent="0.25">
      <c r="A411" t="s">
        <v>1223</v>
      </c>
      <c r="C411" s="3" t="str">
        <f>HYPERLINK("http://amigo.geneontology.org/amigo/term/GO:0006228","GO:0006228")</f>
        <v>GO:0006228</v>
      </c>
      <c r="D411" t="s">
        <v>1224</v>
      </c>
      <c r="E411">
        <v>17</v>
      </c>
      <c r="F411">
        <v>3</v>
      </c>
      <c r="G411">
        <v>1.43608681497027E-2</v>
      </c>
      <c r="H411">
        <v>0.15796954964672999</v>
      </c>
      <c r="I411" t="s">
        <v>1218</v>
      </c>
    </row>
    <row r="412" spans="1:9" x14ac:dyDescent="0.25">
      <c r="A412" t="s">
        <v>1225</v>
      </c>
      <c r="C412" s="3" t="str">
        <f>HYPERLINK("http://amigo.geneontology.org/amigo/term/GO:0017001","GO:0017001")</f>
        <v>GO:0017001</v>
      </c>
      <c r="D412" t="s">
        <v>1226</v>
      </c>
      <c r="E412">
        <v>234</v>
      </c>
      <c r="F412">
        <v>14</v>
      </c>
      <c r="G412">
        <v>1.43933780036397E-2</v>
      </c>
      <c r="H412">
        <v>0.158327158040037</v>
      </c>
      <c r="I412" t="s">
        <v>1153</v>
      </c>
    </row>
    <row r="413" spans="1:9" x14ac:dyDescent="0.25">
      <c r="A413" t="s">
        <v>1227</v>
      </c>
      <c r="C413" s="3" t="str">
        <f>HYPERLINK("http://amigo.geneontology.org/amigo/term/GO:0009132","GO:0009132")</f>
        <v>GO:0009132</v>
      </c>
      <c r="D413" t="s">
        <v>1228</v>
      </c>
      <c r="E413">
        <v>281</v>
      </c>
      <c r="F413">
        <v>16</v>
      </c>
      <c r="G413">
        <v>1.4421936190506E-2</v>
      </c>
      <c r="H413">
        <v>0.15864129809556601</v>
      </c>
      <c r="I413" t="s">
        <v>1179</v>
      </c>
    </row>
    <row r="414" spans="1:9" x14ac:dyDescent="0.25">
      <c r="A414" t="s">
        <v>1229</v>
      </c>
      <c r="C414" s="3" t="str">
        <f>HYPERLINK("http://amigo.geneontology.org/amigo/term/GO:0051049","GO:0051049")</f>
        <v>GO:0051049</v>
      </c>
      <c r="D414" t="s">
        <v>1230</v>
      </c>
      <c r="E414">
        <v>145</v>
      </c>
      <c r="F414">
        <v>10</v>
      </c>
      <c r="G414">
        <v>1.46776880142068E-2</v>
      </c>
      <c r="H414">
        <v>0.16145456815627501</v>
      </c>
      <c r="I414" t="s">
        <v>1156</v>
      </c>
    </row>
    <row r="415" spans="1:9" x14ac:dyDescent="0.25">
      <c r="A415" t="s">
        <v>1231</v>
      </c>
      <c r="C415" s="3" t="str">
        <f>HYPERLINK("http://amigo.geneontology.org/amigo/term/GO:0034762","GO:0034762")</f>
        <v>GO:0034762</v>
      </c>
      <c r="D415" t="s">
        <v>1232</v>
      </c>
      <c r="E415">
        <v>84</v>
      </c>
      <c r="F415">
        <v>7</v>
      </c>
      <c r="G415">
        <v>1.5072104060558599E-2</v>
      </c>
      <c r="H415">
        <v>0.165793144666144</v>
      </c>
      <c r="I415" t="s">
        <v>1233</v>
      </c>
    </row>
    <row r="416" spans="1:9" x14ac:dyDescent="0.25">
      <c r="A416" t="s">
        <v>1234</v>
      </c>
      <c r="C416" s="3" t="str">
        <f>HYPERLINK("http://amigo.geneontology.org/amigo/term/GO:0034765","GO:0034765")</f>
        <v>GO:0034765</v>
      </c>
      <c r="D416" t="s">
        <v>1235</v>
      </c>
      <c r="E416">
        <v>84</v>
      </c>
      <c r="F416">
        <v>7</v>
      </c>
      <c r="G416">
        <v>1.5072104060558599E-2</v>
      </c>
      <c r="H416">
        <v>0.165793144666144</v>
      </c>
      <c r="I416" t="s">
        <v>1233</v>
      </c>
    </row>
    <row r="417" spans="1:9" x14ac:dyDescent="0.25">
      <c r="A417" t="s">
        <v>1236</v>
      </c>
      <c r="C417" s="3" t="str">
        <f>HYPERLINK("http://amigo.geneontology.org/amigo/term/GO:0042743","GO:0042743")</f>
        <v>GO:0042743</v>
      </c>
      <c r="D417" t="s">
        <v>1237</v>
      </c>
      <c r="E417">
        <v>259</v>
      </c>
      <c r="F417">
        <v>15</v>
      </c>
      <c r="G417">
        <v>1.51859886646687E-2</v>
      </c>
      <c r="H417">
        <v>0.16704587531135501</v>
      </c>
      <c r="I417" t="s">
        <v>1238</v>
      </c>
    </row>
    <row r="418" spans="1:9" x14ac:dyDescent="0.25">
      <c r="A418" t="s">
        <v>1239</v>
      </c>
      <c r="C418" s="3" t="str">
        <f>HYPERLINK("http://amigo.geneontology.org/amigo/term/GO:0035335","GO:0035335")</f>
        <v>GO:0035335</v>
      </c>
      <c r="D418" t="s">
        <v>1240</v>
      </c>
      <c r="E418">
        <v>48</v>
      </c>
      <c r="F418">
        <v>5</v>
      </c>
      <c r="G418">
        <v>1.5782456284081502E-2</v>
      </c>
      <c r="H418">
        <v>0.17360701912489701</v>
      </c>
      <c r="I418" t="s">
        <v>1241</v>
      </c>
    </row>
    <row r="419" spans="1:9" x14ac:dyDescent="0.25">
      <c r="A419" t="s">
        <v>1242</v>
      </c>
      <c r="C419" s="3" t="str">
        <f>HYPERLINK("http://amigo.geneontology.org/amigo/term/GO:1904062","GO:1904062")</f>
        <v>GO:1904062</v>
      </c>
      <c r="D419" t="s">
        <v>1243</v>
      </c>
      <c r="E419">
        <v>66</v>
      </c>
      <c r="F419">
        <v>6</v>
      </c>
      <c r="G419">
        <v>1.60046045114767E-2</v>
      </c>
      <c r="H419">
        <v>0.17605064962624301</v>
      </c>
      <c r="I419" t="s">
        <v>1244</v>
      </c>
    </row>
    <row r="420" spans="1:9" x14ac:dyDescent="0.25">
      <c r="A420" t="s">
        <v>1245</v>
      </c>
      <c r="C420" s="3" t="str">
        <f>HYPERLINK("http://amigo.geneontology.org/amigo/term/GO:0008964","GO:0008964")</f>
        <v>GO:0008964</v>
      </c>
      <c r="D420" t="s">
        <v>1246</v>
      </c>
      <c r="E420">
        <v>18</v>
      </c>
      <c r="F420">
        <v>3</v>
      </c>
      <c r="G420">
        <v>1.6844455760867998E-2</v>
      </c>
      <c r="H420">
        <v>0.16844455760867999</v>
      </c>
      <c r="I420" t="s">
        <v>1247</v>
      </c>
    </row>
    <row r="421" spans="1:9" x14ac:dyDescent="0.25">
      <c r="A421" t="s">
        <v>1248</v>
      </c>
      <c r="C421" s="3" t="str">
        <f>HYPERLINK("http://amigo.geneontology.org/amigo/term/GO:0052542","GO:0052542")</f>
        <v>GO:0052542</v>
      </c>
      <c r="D421" t="s">
        <v>1249</v>
      </c>
      <c r="E421">
        <v>18</v>
      </c>
      <c r="F421">
        <v>3</v>
      </c>
      <c r="G421">
        <v>1.6844455760867998E-2</v>
      </c>
      <c r="H421">
        <v>0.16844455760867999</v>
      </c>
      <c r="I421" t="s">
        <v>1250</v>
      </c>
    </row>
    <row r="422" spans="1:9" x14ac:dyDescent="0.25">
      <c r="A422" t="s">
        <v>1251</v>
      </c>
      <c r="C422" s="3" t="str">
        <f>HYPERLINK("http://amigo.geneontology.org/amigo/term/GO:0009638","GO:0009638")</f>
        <v>GO:0009638</v>
      </c>
      <c r="D422" t="s">
        <v>1252</v>
      </c>
      <c r="E422">
        <v>18</v>
      </c>
      <c r="F422">
        <v>3</v>
      </c>
      <c r="G422">
        <v>1.6844455760867998E-2</v>
      </c>
      <c r="H422">
        <v>0.18528901336954801</v>
      </c>
      <c r="I422" t="s">
        <v>1253</v>
      </c>
    </row>
    <row r="423" spans="1:9" x14ac:dyDescent="0.25">
      <c r="A423" t="s">
        <v>1254</v>
      </c>
      <c r="C423" s="3" t="str">
        <f>HYPERLINK("http://amigo.geneontology.org/amigo/term/GO:0046174","GO:0046174")</f>
        <v>GO:0046174</v>
      </c>
      <c r="D423" t="s">
        <v>1255</v>
      </c>
      <c r="E423">
        <v>18</v>
      </c>
      <c r="F423">
        <v>3</v>
      </c>
      <c r="G423">
        <v>1.6844455760867998E-2</v>
      </c>
      <c r="H423">
        <v>0.18528901336954801</v>
      </c>
      <c r="I423" t="s">
        <v>1256</v>
      </c>
    </row>
    <row r="424" spans="1:9" x14ac:dyDescent="0.25">
      <c r="A424" t="s">
        <v>1257</v>
      </c>
      <c r="C424" s="3" t="str">
        <f>HYPERLINK("http://amigo.geneontology.org/amigo/term/GO:0015103","GO:0015103")</f>
        <v>GO:0015103</v>
      </c>
      <c r="D424" t="s">
        <v>1258</v>
      </c>
      <c r="E424">
        <v>149</v>
      </c>
      <c r="F424">
        <v>10</v>
      </c>
      <c r="G424">
        <v>1.7441730316638301E-2</v>
      </c>
      <c r="H424">
        <v>0.17441730316638299</v>
      </c>
      <c r="I424" t="s">
        <v>1259</v>
      </c>
    </row>
    <row r="425" spans="1:9" x14ac:dyDescent="0.25">
      <c r="A425" t="s">
        <v>1260</v>
      </c>
      <c r="C425" s="3" t="str">
        <f>HYPERLINK("http://amigo.geneontology.org/amigo/term/GO:0032351","GO:0032351")</f>
        <v>GO:0032351</v>
      </c>
      <c r="D425" t="s">
        <v>1261</v>
      </c>
      <c r="E425">
        <v>7</v>
      </c>
      <c r="F425">
        <v>2</v>
      </c>
      <c r="G425">
        <v>1.7962037829701301E-2</v>
      </c>
      <c r="H425">
        <v>0.17962037829701299</v>
      </c>
      <c r="I425" t="s">
        <v>815</v>
      </c>
    </row>
    <row r="426" spans="1:9" x14ac:dyDescent="0.25">
      <c r="A426" t="s">
        <v>1262</v>
      </c>
      <c r="C426" s="3" t="str">
        <f>HYPERLINK("http://amigo.geneontology.org/amigo/term/GO:0032353","GO:0032353")</f>
        <v>GO:0032353</v>
      </c>
      <c r="D426" t="s">
        <v>1263</v>
      </c>
      <c r="E426">
        <v>7</v>
      </c>
      <c r="F426">
        <v>2</v>
      </c>
      <c r="G426">
        <v>1.7962037829701301E-2</v>
      </c>
      <c r="H426">
        <v>0.17962037829701299</v>
      </c>
      <c r="I426" t="s">
        <v>815</v>
      </c>
    </row>
    <row r="427" spans="1:9" x14ac:dyDescent="0.25">
      <c r="A427" t="s">
        <v>1264</v>
      </c>
      <c r="C427" s="3" t="str">
        <f>HYPERLINK("http://amigo.geneontology.org/amigo/term/GO:0071545","GO:0071545")</f>
        <v>GO:0071545</v>
      </c>
      <c r="D427" t="s">
        <v>1265</v>
      </c>
      <c r="E427">
        <v>7</v>
      </c>
      <c r="F427">
        <v>2</v>
      </c>
      <c r="G427">
        <v>1.7962037829701301E-2</v>
      </c>
      <c r="H427">
        <v>0.17962037829701299</v>
      </c>
      <c r="I427" t="s">
        <v>1266</v>
      </c>
    </row>
    <row r="428" spans="1:9" x14ac:dyDescent="0.25">
      <c r="A428" t="s">
        <v>1267</v>
      </c>
      <c r="C428" s="3" t="str">
        <f>HYPERLINK("http://amigo.geneontology.org/amigo/term/GO:0046855","GO:0046855")</f>
        <v>GO:0046855</v>
      </c>
      <c r="D428" t="s">
        <v>1268</v>
      </c>
      <c r="E428">
        <v>7</v>
      </c>
      <c r="F428">
        <v>2</v>
      </c>
      <c r="G428">
        <v>1.7962037829701301E-2</v>
      </c>
      <c r="H428">
        <v>0.17962037829701299</v>
      </c>
      <c r="I428" t="s">
        <v>1266</v>
      </c>
    </row>
    <row r="429" spans="1:9" x14ac:dyDescent="0.25">
      <c r="A429" t="s">
        <v>1269</v>
      </c>
      <c r="C429" s="3" t="str">
        <f>HYPERLINK("http://amigo.geneontology.org/amigo/term/GO:0046189","GO:0046189")</f>
        <v>GO:0046189</v>
      </c>
      <c r="D429" t="s">
        <v>1270</v>
      </c>
      <c r="E429">
        <v>68</v>
      </c>
      <c r="F429">
        <v>6</v>
      </c>
      <c r="G429">
        <v>1.8316485601554602E-2</v>
      </c>
      <c r="H429">
        <v>0.183164856015546</v>
      </c>
      <c r="I429" t="s">
        <v>1089</v>
      </c>
    </row>
    <row r="430" spans="1:9" x14ac:dyDescent="0.25">
      <c r="A430" t="s">
        <v>1271</v>
      </c>
      <c r="C430" s="3" t="str">
        <f>HYPERLINK("http://amigo.geneontology.org/amigo/term/GO:0046434","GO:0046434")</f>
        <v>GO:0046434</v>
      </c>
      <c r="D430" t="s">
        <v>1272</v>
      </c>
      <c r="E430">
        <v>290</v>
      </c>
      <c r="F430">
        <v>16</v>
      </c>
      <c r="G430">
        <v>1.88176233776912E-2</v>
      </c>
      <c r="H430">
        <v>0.18817623377691201</v>
      </c>
      <c r="I430" t="s">
        <v>1273</v>
      </c>
    </row>
    <row r="431" spans="1:9" x14ac:dyDescent="0.25">
      <c r="A431" t="s">
        <v>1274</v>
      </c>
      <c r="C431" s="3" t="str">
        <f>HYPERLINK("http://amigo.geneontology.org/amigo/term/GO:0005871","GO:0005871")</f>
        <v>GO:0005871</v>
      </c>
      <c r="D431" t="s">
        <v>1275</v>
      </c>
      <c r="E431">
        <v>130</v>
      </c>
      <c r="F431">
        <v>9</v>
      </c>
      <c r="G431">
        <v>1.9552250932783299E-2</v>
      </c>
      <c r="H431">
        <v>0.19552250932783299</v>
      </c>
      <c r="I431" t="s">
        <v>1276</v>
      </c>
    </row>
    <row r="432" spans="1:9" x14ac:dyDescent="0.25">
      <c r="A432" t="s">
        <v>1277</v>
      </c>
      <c r="C432" s="3" t="str">
        <f>HYPERLINK("http://amigo.geneontology.org/amigo/term/GO:0019566","GO:0019566")</f>
        <v>GO:0019566</v>
      </c>
      <c r="D432" t="s">
        <v>1278</v>
      </c>
      <c r="E432">
        <v>19</v>
      </c>
      <c r="F432">
        <v>3</v>
      </c>
      <c r="G432">
        <v>1.9552525388499799E-2</v>
      </c>
      <c r="H432">
        <v>0.195525253884998</v>
      </c>
      <c r="I432" t="s">
        <v>1279</v>
      </c>
    </row>
    <row r="433" spans="1:9" x14ac:dyDescent="0.25">
      <c r="A433" t="s">
        <v>1280</v>
      </c>
      <c r="C433" s="3" t="str">
        <f>HYPERLINK("http://amigo.geneontology.org/amigo/term/GO:0046373","GO:0046373")</f>
        <v>GO:0046373</v>
      </c>
      <c r="D433" t="s">
        <v>1281</v>
      </c>
      <c r="E433">
        <v>19</v>
      </c>
      <c r="F433">
        <v>3</v>
      </c>
      <c r="G433">
        <v>1.9552525388499799E-2</v>
      </c>
      <c r="H433">
        <v>0.195525253884998</v>
      </c>
      <c r="I433" t="s">
        <v>1279</v>
      </c>
    </row>
    <row r="434" spans="1:9" x14ac:dyDescent="0.25">
      <c r="A434" t="s">
        <v>1282</v>
      </c>
      <c r="C434" s="3" t="str">
        <f>HYPERLINK("http://amigo.geneontology.org/amigo/term/GO:0046556","GO:0046556")</f>
        <v>GO:0046556</v>
      </c>
      <c r="D434" t="s">
        <v>1283</v>
      </c>
      <c r="E434">
        <v>19</v>
      </c>
      <c r="F434">
        <v>3</v>
      </c>
      <c r="G434">
        <v>1.9552525388499799E-2</v>
      </c>
      <c r="H434">
        <v>0.195525253884998</v>
      </c>
      <c r="I434" t="s">
        <v>1279</v>
      </c>
    </row>
    <row r="435" spans="1:9" x14ac:dyDescent="0.25">
      <c r="A435" t="s">
        <v>1284</v>
      </c>
      <c r="C435" s="3" t="str">
        <f>HYPERLINK("http://amigo.geneontology.org/amigo/term/GO:0046164","GO:0046164")</f>
        <v>GO:0046164</v>
      </c>
      <c r="D435" t="s">
        <v>1285</v>
      </c>
      <c r="E435">
        <v>19</v>
      </c>
      <c r="F435">
        <v>3</v>
      </c>
      <c r="G435">
        <v>1.9552525388499799E-2</v>
      </c>
      <c r="H435">
        <v>0.195525253884998</v>
      </c>
      <c r="I435" t="s">
        <v>1256</v>
      </c>
    </row>
    <row r="436" spans="1:9" x14ac:dyDescent="0.25">
      <c r="A436" t="s">
        <v>1286</v>
      </c>
      <c r="C436" s="3" t="str">
        <f>HYPERLINK("http://amigo.geneontology.org/amigo/term/GO:0005096","GO:0005096")</f>
        <v>GO:0005096</v>
      </c>
      <c r="D436" t="s">
        <v>1287</v>
      </c>
      <c r="E436">
        <v>51</v>
      </c>
      <c r="F436">
        <v>5</v>
      </c>
      <c r="G436">
        <v>2.0087767623046E-2</v>
      </c>
      <c r="H436">
        <v>0.20087767623045999</v>
      </c>
      <c r="I436" t="s">
        <v>1288</v>
      </c>
    </row>
    <row r="437" spans="1:9" x14ac:dyDescent="0.25">
      <c r="A437" t="s">
        <v>1289</v>
      </c>
      <c r="C437" s="3" t="str">
        <f>HYPERLINK("http://amigo.geneontology.org/amigo/term/GO:0048029","GO:0048029")</f>
        <v>GO:0048029</v>
      </c>
      <c r="D437" t="s">
        <v>1290</v>
      </c>
      <c r="E437">
        <v>70</v>
      </c>
      <c r="F437">
        <v>6</v>
      </c>
      <c r="G437">
        <v>2.0846780659280899E-2</v>
      </c>
      <c r="H437">
        <v>0.208467806592809</v>
      </c>
      <c r="I437" t="s">
        <v>696</v>
      </c>
    </row>
    <row r="438" spans="1:9" x14ac:dyDescent="0.25">
      <c r="A438" t="s">
        <v>1291</v>
      </c>
      <c r="C438" s="3" t="str">
        <f>HYPERLINK("http://amigo.geneontology.org/amigo/term/GO:0019899","GO:0019899")</f>
        <v>GO:0019899</v>
      </c>
      <c r="D438" t="s">
        <v>1292</v>
      </c>
      <c r="E438">
        <v>294</v>
      </c>
      <c r="F438">
        <v>16</v>
      </c>
      <c r="G438">
        <v>2.1071894716759399E-2</v>
      </c>
      <c r="H438">
        <v>0.21071894716759401</v>
      </c>
      <c r="I438" t="s">
        <v>1293</v>
      </c>
    </row>
    <row r="439" spans="1:9" x14ac:dyDescent="0.25">
      <c r="A439" t="s">
        <v>1294</v>
      </c>
      <c r="C439" s="3" t="str">
        <f>HYPERLINK("http://amigo.geneontology.org/amigo/term/GO:0018904","GO:0018904")</f>
        <v>GO:0018904</v>
      </c>
      <c r="D439" t="s">
        <v>1295</v>
      </c>
      <c r="E439">
        <v>90</v>
      </c>
      <c r="F439">
        <v>7</v>
      </c>
      <c r="G439">
        <v>2.12583129673099E-2</v>
      </c>
      <c r="H439">
        <v>0.212583129673099</v>
      </c>
      <c r="I439" t="s">
        <v>1296</v>
      </c>
    </row>
    <row r="440" spans="1:9" x14ac:dyDescent="0.25">
      <c r="A440" t="s">
        <v>1297</v>
      </c>
      <c r="C440" s="3" t="str">
        <f>HYPERLINK("http://amigo.geneontology.org/amigo/term/GO:0006662","GO:0006662")</f>
        <v>GO:0006662</v>
      </c>
      <c r="D440" t="s">
        <v>1298</v>
      </c>
      <c r="E440">
        <v>90</v>
      </c>
      <c r="F440">
        <v>7</v>
      </c>
      <c r="G440">
        <v>2.12583129673099E-2</v>
      </c>
      <c r="H440">
        <v>0.212583129673099</v>
      </c>
      <c r="I440" t="s">
        <v>1296</v>
      </c>
    </row>
    <row r="441" spans="1:9" x14ac:dyDescent="0.25">
      <c r="A441" t="s">
        <v>1299</v>
      </c>
      <c r="C441" s="3" t="str">
        <f>HYPERLINK("http://amigo.geneontology.org/amigo/term/GO:0018298","GO:0018298")</f>
        <v>GO:0018298</v>
      </c>
      <c r="D441" t="s">
        <v>1300</v>
      </c>
      <c r="E441">
        <v>90</v>
      </c>
      <c r="F441">
        <v>7</v>
      </c>
      <c r="G441">
        <v>2.12583129673099E-2</v>
      </c>
      <c r="H441">
        <v>0.212583129673099</v>
      </c>
      <c r="I441" t="s">
        <v>1301</v>
      </c>
    </row>
    <row r="442" spans="1:9" x14ac:dyDescent="0.25">
      <c r="A442" t="s">
        <v>1302</v>
      </c>
      <c r="C442" s="3" t="str">
        <f>HYPERLINK("http://amigo.geneontology.org/amigo/term/GO:0017000","GO:0017000")</f>
        <v>GO:0017000</v>
      </c>
      <c r="D442" t="s">
        <v>1303</v>
      </c>
      <c r="E442">
        <v>90</v>
      </c>
      <c r="F442">
        <v>7</v>
      </c>
      <c r="G442">
        <v>2.12583129673099E-2</v>
      </c>
      <c r="H442">
        <v>0.212583129673099</v>
      </c>
      <c r="I442" t="s">
        <v>1304</v>
      </c>
    </row>
    <row r="443" spans="1:9" x14ac:dyDescent="0.25">
      <c r="A443" t="s">
        <v>1305</v>
      </c>
      <c r="C443" s="3" t="str">
        <f>HYPERLINK("http://amigo.geneontology.org/amigo/term/GO:0015718","GO:0015718")</f>
        <v>GO:0015718</v>
      </c>
      <c r="D443" t="s">
        <v>1306</v>
      </c>
      <c r="E443">
        <v>52</v>
      </c>
      <c r="F443">
        <v>5</v>
      </c>
      <c r="G443">
        <v>2.16773582674963E-2</v>
      </c>
      <c r="H443">
        <v>0.21677358267496299</v>
      </c>
      <c r="I443" t="s">
        <v>1307</v>
      </c>
    </row>
    <row r="444" spans="1:9" x14ac:dyDescent="0.25">
      <c r="A444" t="s">
        <v>1308</v>
      </c>
      <c r="C444" s="3" t="str">
        <f>HYPERLINK("http://amigo.geneontology.org/amigo/term/GO:0006596","GO:0006596")</f>
        <v>GO:0006596</v>
      </c>
      <c r="D444" t="s">
        <v>1309</v>
      </c>
      <c r="E444">
        <v>52</v>
      </c>
      <c r="F444">
        <v>5</v>
      </c>
      <c r="G444">
        <v>2.16773582674963E-2</v>
      </c>
      <c r="H444">
        <v>0.21677358267496299</v>
      </c>
      <c r="I444" t="s">
        <v>1310</v>
      </c>
    </row>
    <row r="445" spans="1:9" x14ac:dyDescent="0.25">
      <c r="A445" t="s">
        <v>1311</v>
      </c>
      <c r="C445" s="3" t="str">
        <f>HYPERLINK("http://amigo.geneontology.org/amigo/term/GO:0008271","GO:0008271")</f>
        <v>GO:0008271</v>
      </c>
      <c r="D445" t="s">
        <v>1312</v>
      </c>
      <c r="E445">
        <v>35</v>
      </c>
      <c r="F445">
        <v>4</v>
      </c>
      <c r="G445">
        <v>2.1997251426871901E-2</v>
      </c>
      <c r="H445">
        <v>0.219972514268719</v>
      </c>
      <c r="I445" t="s">
        <v>1195</v>
      </c>
    </row>
    <row r="446" spans="1:9" x14ac:dyDescent="0.25">
      <c r="A446" t="s">
        <v>1313</v>
      </c>
      <c r="C446" s="3" t="str">
        <f>HYPERLINK("http://amigo.geneontology.org/amigo/term/GO:0008028","GO:0008028")</f>
        <v>GO:0008028</v>
      </c>
      <c r="D446" t="s">
        <v>1314</v>
      </c>
      <c r="E446">
        <v>20</v>
      </c>
      <c r="F446">
        <v>3</v>
      </c>
      <c r="G446">
        <v>2.2486066277050999E-2</v>
      </c>
      <c r="H446">
        <v>0.22486066277051001</v>
      </c>
      <c r="I446" t="s">
        <v>1315</v>
      </c>
    </row>
    <row r="447" spans="1:9" x14ac:dyDescent="0.25">
      <c r="A447" t="s">
        <v>1316</v>
      </c>
      <c r="C447" s="3" t="str">
        <f>HYPERLINK("http://amigo.geneontology.org/amigo/term/GO:0016607","GO:0016607")</f>
        <v>GO:0016607</v>
      </c>
      <c r="D447" t="s">
        <v>1317</v>
      </c>
      <c r="E447">
        <v>20</v>
      </c>
      <c r="F447">
        <v>3</v>
      </c>
      <c r="G447">
        <v>2.2486066277050999E-2</v>
      </c>
      <c r="H447">
        <v>0.22486066277051001</v>
      </c>
      <c r="I447" t="s">
        <v>1318</v>
      </c>
    </row>
    <row r="448" spans="1:9" x14ac:dyDescent="0.25">
      <c r="A448" t="s">
        <v>1319</v>
      </c>
      <c r="C448" s="3" t="str">
        <f>HYPERLINK("http://amigo.geneontology.org/amigo/term/GO:0046039","GO:0046039")</f>
        <v>GO:0046039</v>
      </c>
      <c r="D448" t="s">
        <v>1320</v>
      </c>
      <c r="E448">
        <v>20</v>
      </c>
      <c r="F448">
        <v>3</v>
      </c>
      <c r="G448">
        <v>2.2486066277050999E-2</v>
      </c>
      <c r="H448">
        <v>0.22486066277051001</v>
      </c>
      <c r="I448" t="s">
        <v>1218</v>
      </c>
    </row>
    <row r="449" spans="1:9" x14ac:dyDescent="0.25">
      <c r="A449" t="s">
        <v>1321</v>
      </c>
      <c r="C449" s="3" t="str">
        <f>HYPERLINK("http://amigo.geneontology.org/amigo/term/GO:0004674","GO:0004674")</f>
        <v>GO:0004674</v>
      </c>
      <c r="D449" t="s">
        <v>1322</v>
      </c>
      <c r="E449">
        <v>2443</v>
      </c>
      <c r="F449">
        <v>93</v>
      </c>
      <c r="G449">
        <v>2.25799990931554E-2</v>
      </c>
      <c r="H449">
        <v>0.22579999093155401</v>
      </c>
      <c r="I449" t="s">
        <v>1323</v>
      </c>
    </row>
    <row r="450" spans="1:9" x14ac:dyDescent="0.25">
      <c r="A450" t="s">
        <v>1324</v>
      </c>
      <c r="C450" s="3" t="str">
        <f>HYPERLINK("http://amigo.geneontology.org/amigo/term/GO:0006986","GO:0006986")</f>
        <v>GO:0006986</v>
      </c>
      <c r="D450" t="s">
        <v>1325</v>
      </c>
      <c r="E450">
        <v>53</v>
      </c>
      <c r="F450">
        <v>5</v>
      </c>
      <c r="G450">
        <v>2.3346452177636302E-2</v>
      </c>
      <c r="H450">
        <v>0.23346452177636301</v>
      </c>
      <c r="I450" t="s">
        <v>1326</v>
      </c>
    </row>
    <row r="451" spans="1:9" x14ac:dyDescent="0.25">
      <c r="A451" t="s">
        <v>1327</v>
      </c>
      <c r="C451" s="3" t="str">
        <f>HYPERLINK("http://amigo.geneontology.org/amigo/term/GO:0035967","GO:0035967")</f>
        <v>GO:0035967</v>
      </c>
      <c r="D451" t="s">
        <v>1328</v>
      </c>
      <c r="E451">
        <v>53</v>
      </c>
      <c r="F451">
        <v>5</v>
      </c>
      <c r="G451">
        <v>2.3346452177636302E-2</v>
      </c>
      <c r="H451">
        <v>0.23346452177636301</v>
      </c>
      <c r="I451" t="s">
        <v>1326</v>
      </c>
    </row>
    <row r="452" spans="1:9" x14ac:dyDescent="0.25">
      <c r="A452" t="s">
        <v>1329</v>
      </c>
      <c r="C452" s="3" t="str">
        <f>HYPERLINK("http://amigo.geneontology.org/amigo/term/GO:0034620","GO:0034620")</f>
        <v>GO:0034620</v>
      </c>
      <c r="D452" t="s">
        <v>1330</v>
      </c>
      <c r="E452">
        <v>53</v>
      </c>
      <c r="F452">
        <v>5</v>
      </c>
      <c r="G452">
        <v>2.3346452177636302E-2</v>
      </c>
      <c r="H452">
        <v>0.23346452177636301</v>
      </c>
      <c r="I452" t="s">
        <v>1326</v>
      </c>
    </row>
    <row r="453" spans="1:9" x14ac:dyDescent="0.25">
      <c r="A453" t="s">
        <v>1331</v>
      </c>
      <c r="C453" s="3" t="str">
        <f>HYPERLINK("http://amigo.geneontology.org/amigo/term/GO:0030968","GO:0030968")</f>
        <v>GO:0030968</v>
      </c>
      <c r="D453" t="s">
        <v>1332</v>
      </c>
      <c r="E453">
        <v>53</v>
      </c>
      <c r="F453">
        <v>5</v>
      </c>
      <c r="G453">
        <v>2.3346452177636302E-2</v>
      </c>
      <c r="H453">
        <v>0.23346452177636301</v>
      </c>
      <c r="I453" t="s">
        <v>1326</v>
      </c>
    </row>
    <row r="454" spans="1:9" x14ac:dyDescent="0.25">
      <c r="A454" t="s">
        <v>1333</v>
      </c>
      <c r="C454" s="3" t="str">
        <f>HYPERLINK("http://amigo.geneontology.org/amigo/term/GO:0016917","GO:0016917")</f>
        <v>GO:0016917</v>
      </c>
      <c r="D454" t="s">
        <v>1334</v>
      </c>
      <c r="E454">
        <v>8</v>
      </c>
      <c r="F454">
        <v>2</v>
      </c>
      <c r="G454">
        <v>2.3464492897013599E-2</v>
      </c>
      <c r="H454">
        <v>0.234644928970136</v>
      </c>
      <c r="I454" t="s">
        <v>1335</v>
      </c>
    </row>
    <row r="455" spans="1:9" x14ac:dyDescent="0.25">
      <c r="A455" t="s">
        <v>1336</v>
      </c>
      <c r="C455" s="3" t="str">
        <f>HYPERLINK("http://amigo.geneontology.org/amigo/term/GO:0099528","GO:0099528")</f>
        <v>GO:0099528</v>
      </c>
      <c r="D455" t="s">
        <v>1337</v>
      </c>
      <c r="E455">
        <v>8</v>
      </c>
      <c r="F455">
        <v>2</v>
      </c>
      <c r="G455">
        <v>2.3464492897013599E-2</v>
      </c>
      <c r="H455">
        <v>0.234644928970136</v>
      </c>
      <c r="I455" t="s">
        <v>1335</v>
      </c>
    </row>
    <row r="456" spans="1:9" x14ac:dyDescent="0.25">
      <c r="A456" t="s">
        <v>1338</v>
      </c>
      <c r="C456" s="3" t="str">
        <f>HYPERLINK("http://amigo.geneontology.org/amigo/term/GO:0004965","GO:0004965")</f>
        <v>GO:0004965</v>
      </c>
      <c r="D456" t="s">
        <v>1339</v>
      </c>
      <c r="E456">
        <v>8</v>
      </c>
      <c r="F456">
        <v>2</v>
      </c>
      <c r="G456">
        <v>2.3464492897013599E-2</v>
      </c>
      <c r="H456">
        <v>0.234644928970136</v>
      </c>
      <c r="I456" t="s">
        <v>1335</v>
      </c>
    </row>
    <row r="457" spans="1:9" x14ac:dyDescent="0.25">
      <c r="A457" t="s">
        <v>1340</v>
      </c>
      <c r="C457" s="3" t="str">
        <f>HYPERLINK("http://amigo.geneontology.org/amigo/term/GO:1902930","GO:1902930")</f>
        <v>GO:1902930</v>
      </c>
      <c r="D457" t="s">
        <v>1341</v>
      </c>
      <c r="E457">
        <v>8</v>
      </c>
      <c r="F457">
        <v>2</v>
      </c>
      <c r="G457">
        <v>2.3464492897013599E-2</v>
      </c>
      <c r="H457">
        <v>0.234644928970136</v>
      </c>
      <c r="I457" t="s">
        <v>815</v>
      </c>
    </row>
    <row r="458" spans="1:9" x14ac:dyDescent="0.25">
      <c r="A458" t="s">
        <v>1342</v>
      </c>
      <c r="C458" s="3" t="str">
        <f>HYPERLINK("http://amigo.geneontology.org/amigo/term/GO:0018958","GO:0018958")</f>
        <v>GO:0018958</v>
      </c>
      <c r="D458" t="s">
        <v>1343</v>
      </c>
      <c r="E458">
        <v>72</v>
      </c>
      <c r="F458">
        <v>6</v>
      </c>
      <c r="G458">
        <v>2.3603606346367701E-2</v>
      </c>
      <c r="H458">
        <v>0.236036063463677</v>
      </c>
      <c r="I458" t="s">
        <v>1089</v>
      </c>
    </row>
    <row r="459" spans="1:9" x14ac:dyDescent="0.25">
      <c r="A459" t="s">
        <v>1344</v>
      </c>
      <c r="C459" s="3" t="str">
        <f>HYPERLINK("http://amigo.geneontology.org/amigo/term/GO:0019139","GO:0019139")</f>
        <v>GO:0019139</v>
      </c>
      <c r="D459" t="s">
        <v>1345</v>
      </c>
      <c r="E459">
        <v>36</v>
      </c>
      <c r="F459">
        <v>4</v>
      </c>
      <c r="G459">
        <v>2.4159429942360498E-2</v>
      </c>
      <c r="H459">
        <v>0.241594299423605</v>
      </c>
      <c r="I459" t="s">
        <v>1346</v>
      </c>
    </row>
    <row r="460" spans="1:9" x14ac:dyDescent="0.25">
      <c r="A460" t="s">
        <v>1347</v>
      </c>
      <c r="C460" s="3" t="str">
        <f>HYPERLINK("http://amigo.geneontology.org/amigo/term/GO:0098661","GO:0098661")</f>
        <v>GO:0098661</v>
      </c>
      <c r="D460" t="s">
        <v>1348</v>
      </c>
      <c r="E460">
        <v>36</v>
      </c>
      <c r="F460">
        <v>4</v>
      </c>
      <c r="G460">
        <v>2.4159429942360498E-2</v>
      </c>
      <c r="H460">
        <v>0.241594299423605</v>
      </c>
      <c r="I460" t="s">
        <v>1195</v>
      </c>
    </row>
    <row r="461" spans="1:9" x14ac:dyDescent="0.25">
      <c r="A461" t="s">
        <v>1349</v>
      </c>
      <c r="C461" s="3" t="str">
        <f>HYPERLINK("http://amigo.geneontology.org/amigo/term/GO:0006928","GO:0006928")</f>
        <v>GO:0006928</v>
      </c>
      <c r="D461" t="s">
        <v>1350</v>
      </c>
      <c r="E461">
        <v>180</v>
      </c>
      <c r="F461">
        <v>11</v>
      </c>
      <c r="G461">
        <v>2.4353275160668202E-2</v>
      </c>
      <c r="H461">
        <v>0.243532751606682</v>
      </c>
      <c r="I461" t="s">
        <v>1351</v>
      </c>
    </row>
    <row r="462" spans="1:9" x14ac:dyDescent="0.25">
      <c r="A462" t="s">
        <v>1352</v>
      </c>
      <c r="C462" s="3" t="str">
        <f>HYPERLINK("http://amigo.geneontology.org/amigo/term/GO:0007186","GO:0007186")</f>
        <v>GO:0007186</v>
      </c>
      <c r="D462" t="s">
        <v>1353</v>
      </c>
      <c r="E462">
        <v>93</v>
      </c>
      <c r="F462">
        <v>7</v>
      </c>
      <c r="G462">
        <v>2.4931153354794101E-2</v>
      </c>
      <c r="H462">
        <v>0.249311533547941</v>
      </c>
      <c r="I462" t="s">
        <v>1354</v>
      </c>
    </row>
    <row r="463" spans="1:9" x14ac:dyDescent="0.25">
      <c r="A463" t="s">
        <v>1355</v>
      </c>
      <c r="C463" s="3" t="str">
        <f>HYPERLINK("http://amigo.geneontology.org/amigo/term/GO:0016846","GO:0016846")</f>
        <v>GO:0016846</v>
      </c>
      <c r="D463" t="s">
        <v>1356</v>
      </c>
      <c r="E463">
        <v>54</v>
      </c>
      <c r="F463">
        <v>5</v>
      </c>
      <c r="G463">
        <v>2.5096273688221701E-2</v>
      </c>
      <c r="H463">
        <v>0.225866463193995</v>
      </c>
      <c r="I463" t="s">
        <v>1357</v>
      </c>
    </row>
    <row r="464" spans="1:9" x14ac:dyDescent="0.25">
      <c r="A464" t="s">
        <v>1358</v>
      </c>
      <c r="C464" s="3" t="str">
        <f>HYPERLINK("http://amigo.geneontology.org/amigo/term/GO:0009145","GO:0009145")</f>
        <v>GO:0009145</v>
      </c>
      <c r="D464" t="s">
        <v>1359</v>
      </c>
      <c r="E464">
        <v>479</v>
      </c>
      <c r="F464">
        <v>23</v>
      </c>
      <c r="G464">
        <v>2.5594971925307301E-2</v>
      </c>
      <c r="H464">
        <v>0.23035474732776601</v>
      </c>
      <c r="I464" t="s">
        <v>1360</v>
      </c>
    </row>
    <row r="465" spans="1:9" x14ac:dyDescent="0.25">
      <c r="A465" t="s">
        <v>1361</v>
      </c>
      <c r="C465" s="3" t="str">
        <f>HYPERLINK("http://amigo.geneontology.org/amigo/term/GO:0009206","GO:0009206")</f>
        <v>GO:0009206</v>
      </c>
      <c r="D465" t="s">
        <v>1362</v>
      </c>
      <c r="E465">
        <v>479</v>
      </c>
      <c r="F465">
        <v>23</v>
      </c>
      <c r="G465">
        <v>2.5594971925307301E-2</v>
      </c>
      <c r="H465">
        <v>0.23035474732776601</v>
      </c>
      <c r="I465" t="s">
        <v>1360</v>
      </c>
    </row>
    <row r="466" spans="1:9" x14ac:dyDescent="0.25">
      <c r="A466" t="s">
        <v>1363</v>
      </c>
      <c r="C466" s="3" t="str">
        <f>HYPERLINK("http://amigo.geneontology.org/amigo/term/GO:0016872","GO:0016872")</f>
        <v>GO:0016872</v>
      </c>
      <c r="D466" t="s">
        <v>1364</v>
      </c>
      <c r="E466">
        <v>21</v>
      </c>
      <c r="F466">
        <v>3</v>
      </c>
      <c r="G466">
        <v>2.5645266107921099E-2</v>
      </c>
      <c r="H466">
        <v>0.23080739497128999</v>
      </c>
      <c r="I466" t="s">
        <v>1365</v>
      </c>
    </row>
    <row r="467" spans="1:9" x14ac:dyDescent="0.25">
      <c r="A467" t="s">
        <v>1366</v>
      </c>
      <c r="C467" s="3" t="str">
        <f>HYPERLINK("http://amigo.geneontology.org/amigo/term/GO:1901682","GO:1901682")</f>
        <v>GO:1901682</v>
      </c>
      <c r="D467" t="s">
        <v>1367</v>
      </c>
      <c r="E467">
        <v>37</v>
      </c>
      <c r="F467">
        <v>4</v>
      </c>
      <c r="G467">
        <v>2.64456104727506E-2</v>
      </c>
      <c r="H467">
        <v>0.23801049425475501</v>
      </c>
      <c r="I467" t="s">
        <v>1195</v>
      </c>
    </row>
    <row r="468" spans="1:9" x14ac:dyDescent="0.25">
      <c r="A468" t="s">
        <v>1368</v>
      </c>
      <c r="C468" s="3" t="str">
        <f>HYPERLINK("http://amigo.geneontology.org/amigo/term/GO:0015116","GO:0015116")</f>
        <v>GO:0015116</v>
      </c>
      <c r="D468" t="s">
        <v>1369</v>
      </c>
      <c r="E468">
        <v>37</v>
      </c>
      <c r="F468">
        <v>4</v>
      </c>
      <c r="G468">
        <v>2.64456104727506E-2</v>
      </c>
      <c r="H468">
        <v>0.23801049425475501</v>
      </c>
      <c r="I468" t="s">
        <v>1195</v>
      </c>
    </row>
    <row r="469" spans="1:9" x14ac:dyDescent="0.25">
      <c r="A469" t="s">
        <v>1370</v>
      </c>
      <c r="C469" s="3" t="str">
        <f>HYPERLINK("http://amigo.geneontology.org/amigo/term/GO:0008272","GO:0008272")</f>
        <v>GO:0008272</v>
      </c>
      <c r="D469" t="s">
        <v>1371</v>
      </c>
      <c r="E469">
        <v>37</v>
      </c>
      <c r="F469">
        <v>4</v>
      </c>
      <c r="G469">
        <v>2.64456104727506E-2</v>
      </c>
      <c r="H469">
        <v>0.23801049425475501</v>
      </c>
      <c r="I469" t="s">
        <v>1195</v>
      </c>
    </row>
    <row r="470" spans="1:9" x14ac:dyDescent="0.25">
      <c r="A470" t="s">
        <v>1372</v>
      </c>
      <c r="C470" s="3" t="str">
        <f>HYPERLINK("http://amigo.geneontology.org/amigo/term/GO:0008138","GO:0008138")</f>
        <v>GO:0008138</v>
      </c>
      <c r="D470" t="s">
        <v>1373</v>
      </c>
      <c r="E470">
        <v>55</v>
      </c>
      <c r="F470">
        <v>5</v>
      </c>
      <c r="G470">
        <v>2.69279575418329E-2</v>
      </c>
      <c r="H470">
        <v>0.24235161787649601</v>
      </c>
      <c r="I470" t="s">
        <v>1241</v>
      </c>
    </row>
    <row r="471" spans="1:9" x14ac:dyDescent="0.25">
      <c r="A471" t="s">
        <v>1374</v>
      </c>
      <c r="C471" s="3" t="str">
        <f>HYPERLINK("http://amigo.geneontology.org/amigo/term/GO:0032879","GO:0032879")</f>
        <v>GO:0032879</v>
      </c>
      <c r="D471" t="s">
        <v>1375</v>
      </c>
      <c r="E471">
        <v>160</v>
      </c>
      <c r="F471">
        <v>10</v>
      </c>
      <c r="G471">
        <v>2.7003451656269401E-2</v>
      </c>
      <c r="H471">
        <v>0.24303106490642501</v>
      </c>
      <c r="I471" t="s">
        <v>1156</v>
      </c>
    </row>
    <row r="472" spans="1:9" x14ac:dyDescent="0.25">
      <c r="A472" t="s">
        <v>1376</v>
      </c>
      <c r="C472" s="3" t="str">
        <f>HYPERLINK("http://amigo.geneontology.org/amigo/term/GO:0003993","GO:0003993")</f>
        <v>GO:0003993</v>
      </c>
      <c r="D472" t="s">
        <v>1377</v>
      </c>
      <c r="E472">
        <v>139</v>
      </c>
      <c r="F472">
        <v>9</v>
      </c>
      <c r="G472">
        <v>2.8615998127719401E-2</v>
      </c>
      <c r="H472">
        <v>0.25754398314947402</v>
      </c>
      <c r="I472" t="s">
        <v>1378</v>
      </c>
    </row>
    <row r="473" spans="1:9" x14ac:dyDescent="0.25">
      <c r="A473" t="s">
        <v>1379</v>
      </c>
      <c r="C473" s="3" t="str">
        <f>HYPERLINK("http://amigo.geneontology.org/amigo/term/GO:0072348","GO:0072348")</f>
        <v>GO:0072348</v>
      </c>
      <c r="D473" t="s">
        <v>1380</v>
      </c>
      <c r="E473">
        <v>38</v>
      </c>
      <c r="F473">
        <v>4</v>
      </c>
      <c r="G473">
        <v>2.88569788662301E-2</v>
      </c>
      <c r="H473">
        <v>0.25971280979607098</v>
      </c>
      <c r="I473" t="s">
        <v>1195</v>
      </c>
    </row>
    <row r="474" spans="1:9" x14ac:dyDescent="0.25">
      <c r="A474" t="s">
        <v>1381</v>
      </c>
      <c r="C474" s="3" t="str">
        <f>HYPERLINK("http://amigo.geneontology.org/amigo/term/GO:0071236","GO:0071236")</f>
        <v>GO:0071236</v>
      </c>
      <c r="D474" t="s">
        <v>1382</v>
      </c>
      <c r="E474">
        <v>96</v>
      </c>
      <c r="F474">
        <v>7</v>
      </c>
      <c r="G474">
        <v>2.9016205621510902E-2</v>
      </c>
      <c r="H474">
        <v>0.26114585059359802</v>
      </c>
      <c r="I474" t="s">
        <v>1383</v>
      </c>
    </row>
    <row r="475" spans="1:9" x14ac:dyDescent="0.25">
      <c r="A475" t="s">
        <v>1384</v>
      </c>
      <c r="C475" s="3" t="str">
        <f>HYPERLINK("http://amigo.geneontology.org/amigo/term/GO:0004448","GO:0004448")</f>
        <v>GO:0004448</v>
      </c>
      <c r="D475" t="s">
        <v>1385</v>
      </c>
      <c r="E475">
        <v>22</v>
      </c>
      <c r="F475">
        <v>3</v>
      </c>
      <c r="G475">
        <v>2.9029575613725898E-2</v>
      </c>
      <c r="H475">
        <v>0.26126618052353301</v>
      </c>
      <c r="I475" t="s">
        <v>1023</v>
      </c>
    </row>
    <row r="476" spans="1:9" x14ac:dyDescent="0.25">
      <c r="A476" t="s">
        <v>1386</v>
      </c>
      <c r="C476" s="3" t="str">
        <f>HYPERLINK("http://amigo.geneontology.org/amigo/term/GO:0008422","GO:0008422")</f>
        <v>GO:0008422</v>
      </c>
      <c r="D476" t="s">
        <v>1387</v>
      </c>
      <c r="E476">
        <v>22</v>
      </c>
      <c r="F476">
        <v>3</v>
      </c>
      <c r="G476">
        <v>2.9029575613725898E-2</v>
      </c>
      <c r="H476">
        <v>0.26126618052353301</v>
      </c>
      <c r="I476" t="s">
        <v>1388</v>
      </c>
    </row>
    <row r="477" spans="1:9" x14ac:dyDescent="0.25">
      <c r="A477" t="s">
        <v>1389</v>
      </c>
      <c r="C477" s="3" t="str">
        <f>HYPERLINK("http://amigo.geneontology.org/amigo/term/GO:0062014","GO:0062014")</f>
        <v>GO:0062014</v>
      </c>
      <c r="D477" t="s">
        <v>1390</v>
      </c>
      <c r="E477">
        <v>9</v>
      </c>
      <c r="F477">
        <v>2</v>
      </c>
      <c r="G477">
        <v>2.95594723470523E-2</v>
      </c>
      <c r="H477">
        <v>0.26603525112347098</v>
      </c>
      <c r="I477" t="s">
        <v>815</v>
      </c>
    </row>
    <row r="478" spans="1:9" x14ac:dyDescent="0.25">
      <c r="A478" t="s">
        <v>1391</v>
      </c>
      <c r="C478" s="3" t="str">
        <f>HYPERLINK("http://amigo.geneontology.org/amigo/term/GO:0010258","GO:0010258")</f>
        <v>GO:0010258</v>
      </c>
      <c r="D478" t="s">
        <v>1392</v>
      </c>
      <c r="E478">
        <v>9</v>
      </c>
      <c r="F478">
        <v>2</v>
      </c>
      <c r="G478">
        <v>2.95594723470523E-2</v>
      </c>
      <c r="H478">
        <v>0.26603525112347098</v>
      </c>
      <c r="I478" t="s">
        <v>1393</v>
      </c>
    </row>
    <row r="479" spans="1:9" x14ac:dyDescent="0.25">
      <c r="A479" t="s">
        <v>1394</v>
      </c>
      <c r="C479" s="3" t="str">
        <f>HYPERLINK("http://amigo.geneontology.org/amigo/term/GO:0009584","GO:0009584")</f>
        <v>GO:0009584</v>
      </c>
      <c r="D479" t="s">
        <v>1395</v>
      </c>
      <c r="E479">
        <v>9</v>
      </c>
      <c r="F479">
        <v>2</v>
      </c>
      <c r="G479">
        <v>2.95594723470523E-2</v>
      </c>
      <c r="H479">
        <v>0.26603525112347098</v>
      </c>
      <c r="I479" t="s">
        <v>911</v>
      </c>
    </row>
    <row r="480" spans="1:9" x14ac:dyDescent="0.25">
      <c r="A480" t="s">
        <v>1396</v>
      </c>
      <c r="C480" s="3" t="str">
        <f>HYPERLINK("http://amigo.geneontology.org/amigo/term/GO:0019637","GO:0019637")</f>
        <v>GO:0019637</v>
      </c>
      <c r="D480" t="s">
        <v>1397</v>
      </c>
      <c r="E480">
        <v>2063</v>
      </c>
      <c r="F480">
        <v>79</v>
      </c>
      <c r="G480">
        <v>2.96661743318383E-2</v>
      </c>
      <c r="H480">
        <v>0.26699556898654497</v>
      </c>
      <c r="I480" t="s">
        <v>1398</v>
      </c>
    </row>
    <row r="481" spans="1:9" x14ac:dyDescent="0.25">
      <c r="A481" t="s">
        <v>1399</v>
      </c>
      <c r="C481" s="3" t="str">
        <f>HYPERLINK("http://amigo.geneontology.org/amigo/term/GO:0046939","GO:0046939")</f>
        <v>GO:0046939</v>
      </c>
      <c r="D481" t="s">
        <v>1400</v>
      </c>
      <c r="E481">
        <v>307</v>
      </c>
      <c r="F481">
        <v>16</v>
      </c>
      <c r="G481">
        <v>2.98253099981723E-2</v>
      </c>
      <c r="H481">
        <v>0.26842778998354999</v>
      </c>
      <c r="I481" t="s">
        <v>1179</v>
      </c>
    </row>
    <row r="482" spans="1:9" x14ac:dyDescent="0.25">
      <c r="A482" t="s">
        <v>1401</v>
      </c>
      <c r="C482" s="3" t="str">
        <f>HYPERLINK("http://amigo.geneontology.org/amigo/term/GO:0072512","GO:0072512")</f>
        <v>GO:0072512</v>
      </c>
      <c r="D482" t="s">
        <v>1402</v>
      </c>
      <c r="E482">
        <v>1</v>
      </c>
      <c r="F482">
        <v>1</v>
      </c>
      <c r="G482">
        <v>3.07995692730367E-2</v>
      </c>
      <c r="H482">
        <v>0.27719612345733002</v>
      </c>
      <c r="I482" t="s">
        <v>1403</v>
      </c>
    </row>
    <row r="483" spans="1:9" x14ac:dyDescent="0.25">
      <c r="A483" t="s">
        <v>1404</v>
      </c>
      <c r="C483" s="3" t="str">
        <f>HYPERLINK("http://amigo.geneontology.org/amigo/term/GO:0015690","GO:0015690")</f>
        <v>GO:0015690</v>
      </c>
      <c r="D483" t="s">
        <v>1405</v>
      </c>
      <c r="E483">
        <v>1</v>
      </c>
      <c r="F483">
        <v>1</v>
      </c>
      <c r="G483">
        <v>3.07995692730367E-2</v>
      </c>
      <c r="H483">
        <v>0.27719612345733002</v>
      </c>
      <c r="I483" t="s">
        <v>1403</v>
      </c>
    </row>
    <row r="484" spans="1:9" x14ac:dyDescent="0.25">
      <c r="A484" t="s">
        <v>1406</v>
      </c>
      <c r="C484" s="3" t="str">
        <f>HYPERLINK("http://amigo.geneontology.org/amigo/term/GO:0051286","GO:0051286")</f>
        <v>GO:0051286</v>
      </c>
      <c r="D484" t="s">
        <v>1407</v>
      </c>
      <c r="E484">
        <v>1</v>
      </c>
      <c r="F484">
        <v>1</v>
      </c>
      <c r="G484">
        <v>3.07995692730367E-2</v>
      </c>
      <c r="H484">
        <v>0.27719612345733002</v>
      </c>
      <c r="I484" t="s">
        <v>1408</v>
      </c>
    </row>
    <row r="485" spans="1:9" x14ac:dyDescent="0.25">
      <c r="A485" t="s">
        <v>1409</v>
      </c>
      <c r="C485" s="3" t="str">
        <f>HYPERLINK("http://amigo.geneontology.org/amigo/term/GO:0035838","GO:0035838")</f>
        <v>GO:0035838</v>
      </c>
      <c r="D485" t="s">
        <v>1410</v>
      </c>
      <c r="E485">
        <v>1</v>
      </c>
      <c r="F485">
        <v>1</v>
      </c>
      <c r="G485">
        <v>3.07995692730367E-2</v>
      </c>
      <c r="H485">
        <v>0.27719612345733002</v>
      </c>
      <c r="I485" t="s">
        <v>1408</v>
      </c>
    </row>
    <row r="486" spans="1:9" x14ac:dyDescent="0.25">
      <c r="A486" t="s">
        <v>1411</v>
      </c>
      <c r="C486" s="3" t="str">
        <f>HYPERLINK("http://amigo.geneontology.org/amigo/term/GO:0044463","GO:0044463")</f>
        <v>GO:0044463</v>
      </c>
      <c r="D486" t="s">
        <v>1412</v>
      </c>
      <c r="E486">
        <v>1</v>
      </c>
      <c r="F486">
        <v>1</v>
      </c>
      <c r="G486">
        <v>3.07995692730367E-2</v>
      </c>
      <c r="H486">
        <v>0.27719612345733002</v>
      </c>
      <c r="I486" t="s">
        <v>1408</v>
      </c>
    </row>
    <row r="487" spans="1:9" x14ac:dyDescent="0.25">
      <c r="A487" t="s">
        <v>1413</v>
      </c>
      <c r="C487" s="3" t="str">
        <f>HYPERLINK("http://amigo.geneontology.org/amigo/term/GO:0120038","GO:0120038")</f>
        <v>GO:0120038</v>
      </c>
      <c r="D487" t="s">
        <v>1414</v>
      </c>
      <c r="E487">
        <v>1</v>
      </c>
      <c r="F487">
        <v>1</v>
      </c>
      <c r="G487">
        <v>3.07995692730367E-2</v>
      </c>
      <c r="H487">
        <v>0.27719612345733002</v>
      </c>
      <c r="I487" t="s">
        <v>1408</v>
      </c>
    </row>
    <row r="488" spans="1:9" x14ac:dyDescent="0.25">
      <c r="A488" t="s">
        <v>1415</v>
      </c>
      <c r="C488" s="3" t="str">
        <f>HYPERLINK("http://amigo.geneontology.org/amigo/term/GO:0090404","GO:0090404")</f>
        <v>GO:0090404</v>
      </c>
      <c r="D488" t="s">
        <v>1416</v>
      </c>
      <c r="E488">
        <v>1</v>
      </c>
      <c r="F488">
        <v>1</v>
      </c>
      <c r="G488">
        <v>3.07995692730367E-2</v>
      </c>
      <c r="H488">
        <v>0.27719612345733002</v>
      </c>
      <c r="I488" t="s">
        <v>1408</v>
      </c>
    </row>
    <row r="489" spans="1:9" x14ac:dyDescent="0.25">
      <c r="A489" t="s">
        <v>1417</v>
      </c>
      <c r="C489" s="3" t="str">
        <f>HYPERLINK("http://amigo.geneontology.org/amigo/term/GO:0008887","GO:0008887")</f>
        <v>GO:0008887</v>
      </c>
      <c r="D489" t="s">
        <v>1418</v>
      </c>
      <c r="E489">
        <v>1</v>
      </c>
      <c r="F489">
        <v>1</v>
      </c>
      <c r="G489">
        <v>3.07995692730367E-2</v>
      </c>
      <c r="H489">
        <v>0.27719612345733002</v>
      </c>
      <c r="I489" t="s">
        <v>1419</v>
      </c>
    </row>
    <row r="490" spans="1:9" x14ac:dyDescent="0.25">
      <c r="A490" t="s">
        <v>1420</v>
      </c>
      <c r="C490" s="3" t="str">
        <f>HYPERLINK("http://amigo.geneontology.org/amigo/term/GO:1902288","GO:1902288")</f>
        <v>GO:1902288</v>
      </c>
      <c r="D490" t="s">
        <v>1421</v>
      </c>
      <c r="E490">
        <v>1</v>
      </c>
      <c r="F490">
        <v>1</v>
      </c>
      <c r="G490">
        <v>3.07995692730367E-2</v>
      </c>
      <c r="H490">
        <v>0.27719612345733002</v>
      </c>
      <c r="I490" t="s">
        <v>1422</v>
      </c>
    </row>
    <row r="491" spans="1:9" x14ac:dyDescent="0.25">
      <c r="A491" t="s">
        <v>1423</v>
      </c>
      <c r="C491" s="3" t="str">
        <f>HYPERLINK("http://amigo.geneontology.org/amigo/term/GO:1902290","GO:1902290")</f>
        <v>GO:1902290</v>
      </c>
      <c r="D491" t="s">
        <v>1424</v>
      </c>
      <c r="E491">
        <v>1</v>
      </c>
      <c r="F491">
        <v>1</v>
      </c>
      <c r="G491">
        <v>3.07995692730367E-2</v>
      </c>
      <c r="H491">
        <v>0.27719612345733002</v>
      </c>
      <c r="I491" t="s">
        <v>1422</v>
      </c>
    </row>
    <row r="492" spans="1:9" x14ac:dyDescent="0.25">
      <c r="A492" t="s">
        <v>1425</v>
      </c>
      <c r="C492" s="3" t="str">
        <f>HYPERLINK("http://amigo.geneontology.org/amigo/term/GO:0045848","GO:0045848")</f>
        <v>GO:0045848</v>
      </c>
      <c r="D492" t="s">
        <v>1426</v>
      </c>
      <c r="E492">
        <v>1</v>
      </c>
      <c r="F492">
        <v>1</v>
      </c>
      <c r="G492">
        <v>3.07995692730367E-2</v>
      </c>
      <c r="H492">
        <v>0.27719612345733002</v>
      </c>
      <c r="I492" t="s">
        <v>1427</v>
      </c>
    </row>
    <row r="493" spans="1:9" x14ac:dyDescent="0.25">
      <c r="A493" t="s">
        <v>1428</v>
      </c>
      <c r="C493" s="3" t="str">
        <f>HYPERLINK("http://amigo.geneontology.org/amigo/term/GO:0051365","GO:0051365")</f>
        <v>GO:0051365</v>
      </c>
      <c r="D493" t="s">
        <v>1429</v>
      </c>
      <c r="E493">
        <v>1</v>
      </c>
      <c r="F493">
        <v>1</v>
      </c>
      <c r="G493">
        <v>3.07995692730367E-2</v>
      </c>
      <c r="H493">
        <v>0.27719612345733002</v>
      </c>
      <c r="I493" t="s">
        <v>1427</v>
      </c>
    </row>
    <row r="494" spans="1:9" x14ac:dyDescent="0.25">
      <c r="A494" t="s">
        <v>1430</v>
      </c>
      <c r="C494" s="3" t="str">
        <f>HYPERLINK("http://amigo.geneontology.org/amigo/term/GO:0015172","GO:0015172")</f>
        <v>GO:0015172</v>
      </c>
      <c r="D494" t="s">
        <v>1431</v>
      </c>
      <c r="E494">
        <v>1</v>
      </c>
      <c r="F494">
        <v>1</v>
      </c>
      <c r="G494">
        <v>3.07995692730367E-2</v>
      </c>
      <c r="H494">
        <v>0.27719612345733002</v>
      </c>
      <c r="I494" t="s">
        <v>1432</v>
      </c>
    </row>
    <row r="495" spans="1:9" x14ac:dyDescent="0.25">
      <c r="A495" t="s">
        <v>1433</v>
      </c>
      <c r="C495" s="3" t="str">
        <f>HYPERLINK("http://amigo.geneontology.org/amigo/term/GO:0005313","GO:0005313")</f>
        <v>GO:0005313</v>
      </c>
      <c r="D495" t="s">
        <v>1434</v>
      </c>
      <c r="E495">
        <v>1</v>
      </c>
      <c r="F495">
        <v>1</v>
      </c>
      <c r="G495">
        <v>3.07995692730367E-2</v>
      </c>
      <c r="H495">
        <v>0.27719612345733002</v>
      </c>
      <c r="I495" t="s">
        <v>1432</v>
      </c>
    </row>
    <row r="496" spans="1:9" x14ac:dyDescent="0.25">
      <c r="A496" t="s">
        <v>1435</v>
      </c>
      <c r="C496" s="3" t="str">
        <f>HYPERLINK("http://amigo.geneontology.org/amigo/term/GO:0015800","GO:0015800")</f>
        <v>GO:0015800</v>
      </c>
      <c r="D496" t="s">
        <v>1436</v>
      </c>
      <c r="E496">
        <v>1</v>
      </c>
      <c r="F496">
        <v>1</v>
      </c>
      <c r="G496">
        <v>3.07995692730367E-2</v>
      </c>
      <c r="H496">
        <v>0.27719612345733002</v>
      </c>
      <c r="I496" t="s">
        <v>1432</v>
      </c>
    </row>
    <row r="497" spans="1:9" x14ac:dyDescent="0.25">
      <c r="A497" t="s">
        <v>1437</v>
      </c>
      <c r="C497" s="3" t="str">
        <f>HYPERLINK("http://amigo.geneontology.org/amigo/term/GO:0051938","GO:0051938")</f>
        <v>GO:0051938</v>
      </c>
      <c r="D497" t="s">
        <v>1438</v>
      </c>
      <c r="E497">
        <v>1</v>
      </c>
      <c r="F497">
        <v>1</v>
      </c>
      <c r="G497">
        <v>3.07995692730367E-2</v>
      </c>
      <c r="H497">
        <v>0.27719612345733002</v>
      </c>
      <c r="I497" t="s">
        <v>1432</v>
      </c>
    </row>
    <row r="498" spans="1:9" x14ac:dyDescent="0.25">
      <c r="A498" t="s">
        <v>1439</v>
      </c>
      <c r="C498" s="3" t="str">
        <f>HYPERLINK("http://amigo.geneontology.org/amigo/term/GO:0007338","GO:0007338")</f>
        <v>GO:0007338</v>
      </c>
      <c r="D498" t="s">
        <v>1440</v>
      </c>
      <c r="E498">
        <v>1</v>
      </c>
      <c r="F498">
        <v>1</v>
      </c>
      <c r="G498">
        <v>3.07995692730367E-2</v>
      </c>
      <c r="H498">
        <v>0.27719612345733002</v>
      </c>
      <c r="I498" t="s">
        <v>1441</v>
      </c>
    </row>
    <row r="499" spans="1:9" x14ac:dyDescent="0.25">
      <c r="A499" t="s">
        <v>1442</v>
      </c>
      <c r="C499" s="3" t="str">
        <f>HYPERLINK("http://amigo.geneontology.org/amigo/term/GO:0042351","GO:0042351")</f>
        <v>GO:0042351</v>
      </c>
      <c r="D499" t="s">
        <v>1443</v>
      </c>
      <c r="E499">
        <v>1</v>
      </c>
      <c r="F499">
        <v>1</v>
      </c>
      <c r="G499">
        <v>3.07995692730367E-2</v>
      </c>
      <c r="H499">
        <v>0.27719612345733002</v>
      </c>
      <c r="I499" t="s">
        <v>1444</v>
      </c>
    </row>
    <row r="500" spans="1:9" x14ac:dyDescent="0.25">
      <c r="A500" t="s">
        <v>1445</v>
      </c>
      <c r="C500" s="3" t="str">
        <f>HYPERLINK("http://amigo.geneontology.org/amigo/term/GO:0050577","GO:0050577")</f>
        <v>GO:0050577</v>
      </c>
      <c r="D500" t="s">
        <v>1446</v>
      </c>
      <c r="E500">
        <v>1</v>
      </c>
      <c r="F500">
        <v>1</v>
      </c>
      <c r="G500">
        <v>3.07995692730367E-2</v>
      </c>
      <c r="H500">
        <v>0.27719612345733002</v>
      </c>
      <c r="I500" t="s">
        <v>1444</v>
      </c>
    </row>
    <row r="501" spans="1:9" x14ac:dyDescent="0.25">
      <c r="A501" t="s">
        <v>1447</v>
      </c>
      <c r="C501" s="3" t="str">
        <f>HYPERLINK("http://amigo.geneontology.org/amigo/term/GO:0043667","GO:0043667")</f>
        <v>GO:0043667</v>
      </c>
      <c r="D501" t="s">
        <v>1448</v>
      </c>
      <c r="E501">
        <v>1</v>
      </c>
      <c r="F501">
        <v>1</v>
      </c>
      <c r="G501">
        <v>3.07995692730367E-2</v>
      </c>
      <c r="H501">
        <v>0.27719612345733002</v>
      </c>
      <c r="I501" t="s">
        <v>1449</v>
      </c>
    </row>
    <row r="502" spans="1:9" x14ac:dyDescent="0.25">
      <c r="A502" t="s">
        <v>1450</v>
      </c>
      <c r="C502" s="3" t="str">
        <f>HYPERLINK("http://amigo.geneontology.org/amigo/term/GO:0043668","GO:0043668")</f>
        <v>GO:0043668</v>
      </c>
      <c r="D502" t="s">
        <v>1451</v>
      </c>
      <c r="E502">
        <v>1</v>
      </c>
      <c r="F502">
        <v>1</v>
      </c>
      <c r="G502">
        <v>3.07995692730367E-2</v>
      </c>
      <c r="H502">
        <v>0.27719612345733002</v>
      </c>
      <c r="I502" t="s">
        <v>1449</v>
      </c>
    </row>
    <row r="503" spans="1:9" x14ac:dyDescent="0.25">
      <c r="A503" t="s">
        <v>1452</v>
      </c>
      <c r="C503" s="3" t="str">
        <f>HYPERLINK("http://amigo.geneontology.org/amigo/term/GO:0051192","GO:0051192")</f>
        <v>GO:0051192</v>
      </c>
      <c r="D503" t="s">
        <v>1453</v>
      </c>
      <c r="E503">
        <v>1</v>
      </c>
      <c r="F503">
        <v>1</v>
      </c>
      <c r="G503">
        <v>3.07995692730367E-2</v>
      </c>
      <c r="H503">
        <v>0.27719612345733002</v>
      </c>
      <c r="I503" t="s">
        <v>1454</v>
      </c>
    </row>
    <row r="504" spans="1:9" x14ac:dyDescent="0.25">
      <c r="A504" t="s">
        <v>1455</v>
      </c>
      <c r="C504" s="3" t="str">
        <f>HYPERLINK("http://amigo.geneontology.org/amigo/term/GO:0044620","GO:0044620")</f>
        <v>GO:0044620</v>
      </c>
      <c r="D504" t="s">
        <v>1456</v>
      </c>
      <c r="E504">
        <v>1</v>
      </c>
      <c r="F504">
        <v>1</v>
      </c>
      <c r="G504">
        <v>3.07995692730367E-2</v>
      </c>
      <c r="H504">
        <v>0.27719612345733002</v>
      </c>
      <c r="I504" t="s">
        <v>1454</v>
      </c>
    </row>
    <row r="505" spans="1:9" x14ac:dyDescent="0.25">
      <c r="A505" t="s">
        <v>1457</v>
      </c>
      <c r="C505" s="3" t="str">
        <f>HYPERLINK("http://amigo.geneontology.org/amigo/term/GO:0000036","GO:0000036")</f>
        <v>GO:0000036</v>
      </c>
      <c r="D505" t="s">
        <v>1458</v>
      </c>
      <c r="E505">
        <v>1</v>
      </c>
      <c r="F505">
        <v>1</v>
      </c>
      <c r="G505">
        <v>3.07995692730367E-2</v>
      </c>
      <c r="H505">
        <v>0.27719612345733002</v>
      </c>
      <c r="I505" t="s">
        <v>1454</v>
      </c>
    </row>
    <row r="506" spans="1:9" x14ac:dyDescent="0.25">
      <c r="A506" t="s">
        <v>1459</v>
      </c>
      <c r="C506" s="3" t="str">
        <f>HYPERLINK("http://amigo.geneontology.org/amigo/term/GO:0003951","GO:0003951")</f>
        <v>GO:0003951</v>
      </c>
      <c r="D506" t="s">
        <v>1460</v>
      </c>
      <c r="E506">
        <v>57</v>
      </c>
      <c r="F506">
        <v>5</v>
      </c>
      <c r="G506">
        <v>3.0840997459122901E-2</v>
      </c>
      <c r="H506">
        <v>0.27756897713210599</v>
      </c>
      <c r="I506" t="s">
        <v>1081</v>
      </c>
    </row>
    <row r="507" spans="1:9" x14ac:dyDescent="0.25">
      <c r="A507" t="s">
        <v>1461</v>
      </c>
      <c r="C507" s="3" t="str">
        <f>HYPERLINK("http://amigo.geneontology.org/amigo/term/GO:0042446","GO:0042446")</f>
        <v>GO:0042446</v>
      </c>
      <c r="D507" t="s">
        <v>1462</v>
      </c>
      <c r="E507">
        <v>259</v>
      </c>
      <c r="F507">
        <v>14</v>
      </c>
      <c r="G507">
        <v>3.1007990220812201E-2</v>
      </c>
      <c r="H507">
        <v>0.27907191198731002</v>
      </c>
      <c r="I507" t="s">
        <v>1463</v>
      </c>
    </row>
    <row r="508" spans="1:9" x14ac:dyDescent="0.25">
      <c r="A508" t="s">
        <v>1464</v>
      </c>
      <c r="C508" s="3" t="str">
        <f>HYPERLINK("http://amigo.geneontology.org/amigo/term/GO:0010927","GO:0010927")</f>
        <v>GO:0010927</v>
      </c>
      <c r="D508" t="s">
        <v>1465</v>
      </c>
      <c r="E508">
        <v>39</v>
      </c>
      <c r="F508">
        <v>4</v>
      </c>
      <c r="G508">
        <v>3.1394497105789697E-2</v>
      </c>
      <c r="H508">
        <v>0.28255047395210697</v>
      </c>
      <c r="I508" t="s">
        <v>1466</v>
      </c>
    </row>
    <row r="509" spans="1:9" x14ac:dyDescent="0.25">
      <c r="A509" t="s">
        <v>1467</v>
      </c>
      <c r="C509" s="3" t="str">
        <f>HYPERLINK("http://amigo.geneontology.org/amigo/term/GO:0010208","GO:0010208")</f>
        <v>GO:0010208</v>
      </c>
      <c r="D509" t="s">
        <v>1468</v>
      </c>
      <c r="E509">
        <v>39</v>
      </c>
      <c r="F509">
        <v>4</v>
      </c>
      <c r="G509">
        <v>3.1394497105789697E-2</v>
      </c>
      <c r="H509">
        <v>0.28255047395210697</v>
      </c>
      <c r="I509" t="s">
        <v>1466</v>
      </c>
    </row>
    <row r="510" spans="1:9" x14ac:dyDescent="0.25">
      <c r="A510" t="s">
        <v>1469</v>
      </c>
      <c r="C510" s="3" t="str">
        <f>HYPERLINK("http://amigo.geneontology.org/amigo/term/GO:0005875","GO:0005875")</f>
        <v>GO:0005875</v>
      </c>
      <c r="D510" t="s">
        <v>1470</v>
      </c>
      <c r="E510">
        <v>188</v>
      </c>
      <c r="F510">
        <v>11</v>
      </c>
      <c r="G510">
        <v>3.2057010614912201E-2</v>
      </c>
      <c r="H510">
        <v>0.28851309553421001</v>
      </c>
      <c r="I510" t="s">
        <v>1471</v>
      </c>
    </row>
    <row r="511" spans="1:9" x14ac:dyDescent="0.25">
      <c r="A511" t="s">
        <v>1472</v>
      </c>
      <c r="C511" s="3" t="str">
        <f>HYPERLINK("http://amigo.geneontology.org/amigo/term/GO:0010598","GO:0010598")</f>
        <v>GO:0010598</v>
      </c>
      <c r="D511" t="s">
        <v>1473</v>
      </c>
      <c r="E511">
        <v>23</v>
      </c>
      <c r="F511">
        <v>3</v>
      </c>
      <c r="G511">
        <v>3.2637769466899599E-2</v>
      </c>
      <c r="H511">
        <v>0.29373992520209702</v>
      </c>
      <c r="I511" t="s">
        <v>1474</v>
      </c>
    </row>
    <row r="512" spans="1:9" x14ac:dyDescent="0.25">
      <c r="A512" t="s">
        <v>1475</v>
      </c>
      <c r="C512" s="3" t="str">
        <f>HYPERLINK("http://amigo.geneontology.org/amigo/term/GO:0015936","GO:0015936")</f>
        <v>GO:0015936</v>
      </c>
      <c r="D512" t="s">
        <v>1476</v>
      </c>
      <c r="E512">
        <v>23</v>
      </c>
      <c r="F512">
        <v>3</v>
      </c>
      <c r="G512">
        <v>3.2637769466899599E-2</v>
      </c>
      <c r="H512">
        <v>0.29373992520209702</v>
      </c>
      <c r="I512" t="s">
        <v>883</v>
      </c>
    </row>
    <row r="513" spans="1:9" x14ac:dyDescent="0.25">
      <c r="A513" t="s">
        <v>1477</v>
      </c>
      <c r="C513" s="3" t="str">
        <f>HYPERLINK("http://amigo.geneontology.org/amigo/term/GO:0006468","GO:0006468")</f>
        <v>GO:0006468</v>
      </c>
      <c r="D513" t="s">
        <v>1478</v>
      </c>
      <c r="E513">
        <v>5693</v>
      </c>
      <c r="F513">
        <v>199</v>
      </c>
      <c r="G513">
        <v>3.4228099972764499E-2</v>
      </c>
      <c r="H513">
        <v>0.27382479978211599</v>
      </c>
      <c r="I513" t="s">
        <v>1479</v>
      </c>
    </row>
    <row r="514" spans="1:9" x14ac:dyDescent="0.25">
      <c r="A514" t="s">
        <v>1480</v>
      </c>
      <c r="C514" s="3" t="str">
        <f>HYPERLINK("http://amigo.geneontology.org/amigo/term/GO:0004672","GO:0004672")</f>
        <v>GO:0004672</v>
      </c>
      <c r="D514" t="s">
        <v>1481</v>
      </c>
      <c r="E514">
        <v>5633</v>
      </c>
      <c r="F514">
        <v>197</v>
      </c>
      <c r="G514">
        <v>3.44707321668664E-2</v>
      </c>
      <c r="H514">
        <v>0.27576585733493097</v>
      </c>
      <c r="I514" t="s">
        <v>1482</v>
      </c>
    </row>
    <row r="515" spans="1:9" x14ac:dyDescent="0.25">
      <c r="A515" t="s">
        <v>1483</v>
      </c>
      <c r="C515" s="3" t="str">
        <f>HYPERLINK("http://amigo.geneontology.org/amigo/term/GO:0046872","GO:0046872")</f>
        <v>GO:0046872</v>
      </c>
      <c r="D515" t="s">
        <v>1484</v>
      </c>
      <c r="E515">
        <v>11725</v>
      </c>
      <c r="F515">
        <v>393</v>
      </c>
      <c r="G515">
        <v>3.5356507137669697E-2</v>
      </c>
      <c r="H515">
        <v>0.28285205710135702</v>
      </c>
      <c r="I515" t="s">
        <v>1485</v>
      </c>
    </row>
    <row r="516" spans="1:9" x14ac:dyDescent="0.25">
      <c r="A516" t="s">
        <v>1486</v>
      </c>
      <c r="C516" s="3" t="str">
        <f>HYPERLINK("http://amigo.geneontology.org/amigo/term/GO:0044706","GO:0044706")</f>
        <v>GO:0044706</v>
      </c>
      <c r="D516" t="s">
        <v>1487</v>
      </c>
      <c r="E516">
        <v>576</v>
      </c>
      <c r="F516">
        <v>26</v>
      </c>
      <c r="G516">
        <v>3.58281295988346E-2</v>
      </c>
      <c r="H516">
        <v>0.28662503679067702</v>
      </c>
      <c r="I516" t="s">
        <v>1488</v>
      </c>
    </row>
    <row r="517" spans="1:9" x14ac:dyDescent="0.25">
      <c r="A517" t="s">
        <v>1489</v>
      </c>
      <c r="C517" s="3" t="str">
        <f>HYPERLINK("http://amigo.geneontology.org/amigo/term/GO:0009856","GO:0009856")</f>
        <v>GO:0009856</v>
      </c>
      <c r="D517" t="s">
        <v>1490</v>
      </c>
      <c r="E517">
        <v>576</v>
      </c>
      <c r="F517">
        <v>26</v>
      </c>
      <c r="G517">
        <v>3.58281295988346E-2</v>
      </c>
      <c r="H517">
        <v>0.28662503679067702</v>
      </c>
      <c r="I517" t="s">
        <v>1488</v>
      </c>
    </row>
    <row r="518" spans="1:9" x14ac:dyDescent="0.25">
      <c r="A518" t="s">
        <v>1491</v>
      </c>
      <c r="C518" s="3" t="str">
        <f>HYPERLINK("http://amigo.geneontology.org/amigo/term/GO:0010257","GO:0010257")</f>
        <v>GO:0010257</v>
      </c>
      <c r="D518" t="s">
        <v>1492</v>
      </c>
      <c r="E518">
        <v>10</v>
      </c>
      <c r="F518">
        <v>2</v>
      </c>
      <c r="G518">
        <v>3.6205289420601701E-2</v>
      </c>
      <c r="H518">
        <v>0.289642315364814</v>
      </c>
      <c r="I518" t="s">
        <v>1393</v>
      </c>
    </row>
    <row r="519" spans="1:9" x14ac:dyDescent="0.25">
      <c r="A519" t="s">
        <v>1493</v>
      </c>
      <c r="C519" s="3" t="str">
        <f>HYPERLINK("http://amigo.geneontology.org/amigo/term/GO:0046838","GO:0046838")</f>
        <v>GO:0046838</v>
      </c>
      <c r="D519" t="s">
        <v>1494</v>
      </c>
      <c r="E519">
        <v>10</v>
      </c>
      <c r="F519">
        <v>2</v>
      </c>
      <c r="G519">
        <v>3.6205289420601701E-2</v>
      </c>
      <c r="H519">
        <v>0.289642315364814</v>
      </c>
      <c r="I519" t="s">
        <v>1266</v>
      </c>
    </row>
    <row r="520" spans="1:9" x14ac:dyDescent="0.25">
      <c r="A520" t="s">
        <v>1495</v>
      </c>
      <c r="C520" s="3" t="str">
        <f>HYPERLINK("http://amigo.geneontology.org/amigo/term/GO:0005086","GO:0005086")</f>
        <v>GO:0005086</v>
      </c>
      <c r="D520" t="s">
        <v>1496</v>
      </c>
      <c r="E520">
        <v>24</v>
      </c>
      <c r="F520">
        <v>3</v>
      </c>
      <c r="G520">
        <v>3.64680036506803E-2</v>
      </c>
      <c r="H520">
        <v>0.29174402920544301</v>
      </c>
      <c r="I520" t="s">
        <v>1497</v>
      </c>
    </row>
    <row r="521" spans="1:9" x14ac:dyDescent="0.25">
      <c r="A521" t="s">
        <v>1498</v>
      </c>
      <c r="C521" s="3" t="str">
        <f>HYPERLINK("http://amigo.geneontology.org/amigo/term/GO:0051056","GO:0051056")</f>
        <v>GO:0051056</v>
      </c>
      <c r="D521" t="s">
        <v>1499</v>
      </c>
      <c r="E521">
        <v>24</v>
      </c>
      <c r="F521">
        <v>3</v>
      </c>
      <c r="G521">
        <v>3.64680036506803E-2</v>
      </c>
      <c r="H521">
        <v>0.29174402920544301</v>
      </c>
      <c r="I521" t="s">
        <v>1497</v>
      </c>
    </row>
    <row r="522" spans="1:9" x14ac:dyDescent="0.25">
      <c r="A522" t="s">
        <v>1500</v>
      </c>
      <c r="C522" s="3" t="str">
        <f>HYPERLINK("http://amigo.geneontology.org/amigo/term/GO:0046578","GO:0046578")</f>
        <v>GO:0046578</v>
      </c>
      <c r="D522" t="s">
        <v>1501</v>
      </c>
      <c r="E522">
        <v>24</v>
      </c>
      <c r="F522">
        <v>3</v>
      </c>
      <c r="G522">
        <v>3.64680036506803E-2</v>
      </c>
      <c r="H522">
        <v>0.29174402920544301</v>
      </c>
      <c r="I522" t="s">
        <v>1497</v>
      </c>
    </row>
    <row r="523" spans="1:9" x14ac:dyDescent="0.25">
      <c r="A523" t="s">
        <v>1502</v>
      </c>
      <c r="C523" s="3" t="str">
        <f>HYPERLINK("http://amigo.geneontology.org/amigo/term/GO:0032012","GO:0032012")</f>
        <v>GO:0032012</v>
      </c>
      <c r="D523" t="s">
        <v>1503</v>
      </c>
      <c r="E523">
        <v>24</v>
      </c>
      <c r="F523">
        <v>3</v>
      </c>
      <c r="G523">
        <v>3.64680036506803E-2</v>
      </c>
      <c r="H523">
        <v>0.29174402920544301</v>
      </c>
      <c r="I523" t="s">
        <v>1497</v>
      </c>
    </row>
    <row r="524" spans="1:9" x14ac:dyDescent="0.25">
      <c r="A524" t="s">
        <v>1504</v>
      </c>
      <c r="C524" s="3" t="str">
        <f>HYPERLINK("http://amigo.geneontology.org/amigo/term/GO:0004611","GO:0004611")</f>
        <v>GO:0004611</v>
      </c>
      <c r="D524" t="s">
        <v>1505</v>
      </c>
      <c r="E524">
        <v>24</v>
      </c>
      <c r="F524">
        <v>3</v>
      </c>
      <c r="G524">
        <v>3.64680036506803E-2</v>
      </c>
      <c r="H524">
        <v>0.29174402920544301</v>
      </c>
      <c r="I524" t="s">
        <v>1247</v>
      </c>
    </row>
    <row r="525" spans="1:9" x14ac:dyDescent="0.25">
      <c r="A525" t="s">
        <v>1506</v>
      </c>
      <c r="C525" s="3" t="str">
        <f>HYPERLINK("http://amigo.geneontology.org/amigo/term/GO:0004097","GO:0004097")</f>
        <v>GO:0004097</v>
      </c>
      <c r="D525" t="s">
        <v>1507</v>
      </c>
      <c r="E525">
        <v>24</v>
      </c>
      <c r="F525">
        <v>3</v>
      </c>
      <c r="G525">
        <v>3.64680036506803E-2</v>
      </c>
      <c r="H525">
        <v>0.29174402920544301</v>
      </c>
      <c r="I525" t="s">
        <v>1508</v>
      </c>
    </row>
    <row r="526" spans="1:9" x14ac:dyDescent="0.25">
      <c r="A526" t="s">
        <v>1509</v>
      </c>
      <c r="C526" s="3" t="str">
        <f>HYPERLINK("http://amigo.geneontology.org/amigo/term/GO:0030029","GO:0030029")</f>
        <v>GO:0030029</v>
      </c>
      <c r="D526" t="s">
        <v>1510</v>
      </c>
      <c r="E526">
        <v>193</v>
      </c>
      <c r="F526">
        <v>11</v>
      </c>
      <c r="G526">
        <v>3.7669762593903901E-2</v>
      </c>
      <c r="H526">
        <v>0.30135810075123098</v>
      </c>
      <c r="I526" t="s">
        <v>1511</v>
      </c>
    </row>
    <row r="527" spans="1:9" x14ac:dyDescent="0.25">
      <c r="A527" t="s">
        <v>1512</v>
      </c>
      <c r="C527" s="3" t="str">
        <f>HYPERLINK("http://amigo.geneontology.org/amigo/term/GO:0009142","GO:0009142")</f>
        <v>GO:0009142</v>
      </c>
      <c r="D527" t="s">
        <v>1513</v>
      </c>
      <c r="E527">
        <v>500</v>
      </c>
      <c r="F527">
        <v>23</v>
      </c>
      <c r="G527">
        <v>3.8681120906783002E-2</v>
      </c>
      <c r="H527">
        <v>0.30944896725426402</v>
      </c>
      <c r="I527" t="s">
        <v>1360</v>
      </c>
    </row>
    <row r="528" spans="1:9" x14ac:dyDescent="0.25">
      <c r="A528" t="s">
        <v>1514</v>
      </c>
      <c r="C528" s="3" t="str">
        <f>HYPERLINK("http://amigo.geneontology.org/amigo/term/GO:0009201","GO:0009201")</f>
        <v>GO:0009201</v>
      </c>
      <c r="D528" t="s">
        <v>1515</v>
      </c>
      <c r="E528">
        <v>500</v>
      </c>
      <c r="F528">
        <v>23</v>
      </c>
      <c r="G528">
        <v>3.8681120906783002E-2</v>
      </c>
      <c r="H528">
        <v>0.30944896725426402</v>
      </c>
      <c r="I528" t="s">
        <v>1360</v>
      </c>
    </row>
    <row r="529" spans="1:9" x14ac:dyDescent="0.25">
      <c r="A529" t="s">
        <v>1516</v>
      </c>
      <c r="C529" s="3" t="str">
        <f>HYPERLINK("http://amigo.geneontology.org/amigo/term/GO:0006897","GO:0006897")</f>
        <v>GO:0006897</v>
      </c>
      <c r="D529" t="s">
        <v>1517</v>
      </c>
      <c r="E529">
        <v>42</v>
      </c>
      <c r="F529">
        <v>4</v>
      </c>
      <c r="G529">
        <v>3.9770308762773501E-2</v>
      </c>
      <c r="H529">
        <v>0.31816247010218801</v>
      </c>
      <c r="I529" t="s">
        <v>1518</v>
      </c>
    </row>
    <row r="530" spans="1:9" x14ac:dyDescent="0.25">
      <c r="A530" t="s">
        <v>1519</v>
      </c>
      <c r="C530" s="3" t="str">
        <f>HYPERLINK("http://amigo.geneontology.org/amigo/term/GO:0015108","GO:0015108")</f>
        <v>GO:0015108</v>
      </c>
      <c r="D530" t="s">
        <v>1520</v>
      </c>
      <c r="E530">
        <v>42</v>
      </c>
      <c r="F530">
        <v>4</v>
      </c>
      <c r="G530">
        <v>3.9770308762773501E-2</v>
      </c>
      <c r="H530">
        <v>0.31816247010218801</v>
      </c>
      <c r="I530" t="s">
        <v>1521</v>
      </c>
    </row>
    <row r="531" spans="1:9" x14ac:dyDescent="0.25">
      <c r="A531" t="s">
        <v>1522</v>
      </c>
      <c r="C531" s="3" t="str">
        <f>HYPERLINK("http://amigo.geneontology.org/amigo/term/GO:0032350","GO:0032350")</f>
        <v>GO:0032350</v>
      </c>
      <c r="D531" t="s">
        <v>1523</v>
      </c>
      <c r="E531">
        <v>25</v>
      </c>
      <c r="F531">
        <v>3</v>
      </c>
      <c r="G531">
        <v>4.0517869470701497E-2</v>
      </c>
      <c r="H531">
        <v>0.32414295576561197</v>
      </c>
      <c r="I531" t="s">
        <v>1524</v>
      </c>
    </row>
    <row r="532" spans="1:9" x14ac:dyDescent="0.25">
      <c r="A532" t="s">
        <v>1525</v>
      </c>
      <c r="C532" s="3" t="str">
        <f>HYPERLINK("http://amigo.geneontology.org/amigo/term/GO:1901070","GO:1901070")</f>
        <v>GO:1901070</v>
      </c>
      <c r="D532" t="s">
        <v>1526</v>
      </c>
      <c r="E532">
        <v>25</v>
      </c>
      <c r="F532">
        <v>3</v>
      </c>
      <c r="G532">
        <v>4.0517869470701497E-2</v>
      </c>
      <c r="H532">
        <v>0.32414295576561197</v>
      </c>
      <c r="I532" t="s">
        <v>1218</v>
      </c>
    </row>
    <row r="533" spans="1:9" x14ac:dyDescent="0.25">
      <c r="A533" t="s">
        <v>1527</v>
      </c>
      <c r="C533" s="3" t="str">
        <f>HYPERLINK("http://amigo.geneontology.org/amigo/term/GO:0033037","GO:0033037")</f>
        <v>GO:0033037</v>
      </c>
      <c r="D533" t="s">
        <v>1528</v>
      </c>
      <c r="E533">
        <v>25</v>
      </c>
      <c r="F533">
        <v>3</v>
      </c>
      <c r="G533">
        <v>4.0517869470701497E-2</v>
      </c>
      <c r="H533">
        <v>0.32414295576561197</v>
      </c>
      <c r="I533" t="s">
        <v>1250</v>
      </c>
    </row>
    <row r="534" spans="1:9" x14ac:dyDescent="0.25">
      <c r="A534" t="s">
        <v>1529</v>
      </c>
      <c r="C534" s="3" t="str">
        <f>HYPERLINK("http://amigo.geneontology.org/amigo/term/GO:0052545","GO:0052545")</f>
        <v>GO:0052545</v>
      </c>
      <c r="D534" t="s">
        <v>1530</v>
      </c>
      <c r="E534">
        <v>25</v>
      </c>
      <c r="F534">
        <v>3</v>
      </c>
      <c r="G534">
        <v>4.0517869470701497E-2</v>
      </c>
      <c r="H534">
        <v>0.32414295576561197</v>
      </c>
      <c r="I534" t="s">
        <v>1250</v>
      </c>
    </row>
    <row r="535" spans="1:9" x14ac:dyDescent="0.25">
      <c r="A535" t="s">
        <v>1531</v>
      </c>
      <c r="C535" s="3" t="str">
        <f>HYPERLINK("http://amigo.geneontology.org/amigo/term/GO:0031225","GO:0031225")</f>
        <v>GO:0031225</v>
      </c>
      <c r="D535" t="s">
        <v>1532</v>
      </c>
      <c r="E535">
        <v>82</v>
      </c>
      <c r="F535">
        <v>6</v>
      </c>
      <c r="G535">
        <v>4.1023503298521301E-2</v>
      </c>
      <c r="H535">
        <v>0.32818802638817002</v>
      </c>
      <c r="I535" t="s">
        <v>1533</v>
      </c>
    </row>
    <row r="536" spans="1:9" x14ac:dyDescent="0.25">
      <c r="A536" t="s">
        <v>1534</v>
      </c>
      <c r="C536" s="3" t="str">
        <f>HYPERLINK("http://amigo.geneontology.org/amigo/term/GO:0043169","GO:0043169")</f>
        <v>GO:0043169</v>
      </c>
      <c r="D536" t="s">
        <v>1535</v>
      </c>
      <c r="E536">
        <v>11833</v>
      </c>
      <c r="F536">
        <v>395</v>
      </c>
      <c r="G536">
        <v>4.2204803083027702E-2</v>
      </c>
      <c r="H536">
        <v>0.337638424664222</v>
      </c>
      <c r="I536" t="s">
        <v>1536</v>
      </c>
    </row>
    <row r="537" spans="1:9" x14ac:dyDescent="0.25">
      <c r="A537" t="s">
        <v>1537</v>
      </c>
      <c r="C537" s="3" t="str">
        <f>HYPERLINK("http://amigo.geneontology.org/amigo/term/GO:0009986","GO:0009986")</f>
        <v>GO:0009986</v>
      </c>
      <c r="D537" t="s">
        <v>1538</v>
      </c>
      <c r="E537">
        <v>11</v>
      </c>
      <c r="F537">
        <v>2</v>
      </c>
      <c r="G537">
        <v>4.3362261282779403E-2</v>
      </c>
      <c r="H537">
        <v>0.346898090262235</v>
      </c>
      <c r="I537" t="s">
        <v>895</v>
      </c>
    </row>
    <row r="538" spans="1:9" x14ac:dyDescent="0.25">
      <c r="A538" t="s">
        <v>1539</v>
      </c>
      <c r="C538" s="3" t="str">
        <f>HYPERLINK("http://amigo.geneontology.org/amigo/term/GO:0010285","GO:0010285")</f>
        <v>GO:0010285</v>
      </c>
      <c r="D538" t="s">
        <v>1540</v>
      </c>
      <c r="E538">
        <v>11</v>
      </c>
      <c r="F538">
        <v>2</v>
      </c>
      <c r="G538">
        <v>4.3362261282779403E-2</v>
      </c>
      <c r="H538">
        <v>0.346898090262235</v>
      </c>
      <c r="I538" t="s">
        <v>1541</v>
      </c>
    </row>
    <row r="539" spans="1:9" x14ac:dyDescent="0.25">
      <c r="A539" t="s">
        <v>1542</v>
      </c>
      <c r="C539" s="3" t="str">
        <f>HYPERLINK("http://amigo.geneontology.org/amigo/term/GO:0034637","GO:0034637")</f>
        <v>GO:0034637</v>
      </c>
      <c r="D539" t="s">
        <v>1543</v>
      </c>
      <c r="E539">
        <v>616</v>
      </c>
      <c r="F539">
        <v>27</v>
      </c>
      <c r="G539">
        <v>4.4575802503319203E-2</v>
      </c>
      <c r="H539">
        <v>0.35660642002655302</v>
      </c>
      <c r="I539" t="s">
        <v>1544</v>
      </c>
    </row>
    <row r="540" spans="1:9" x14ac:dyDescent="0.25">
      <c r="A540" t="s">
        <v>1545</v>
      </c>
      <c r="C540" s="3" t="str">
        <f>HYPERLINK("http://amigo.geneontology.org/amigo/term/GO:1901616","GO:1901616")</f>
        <v>GO:1901616</v>
      </c>
      <c r="D540" t="s">
        <v>1546</v>
      </c>
      <c r="E540">
        <v>26</v>
      </c>
      <c r="F540">
        <v>3</v>
      </c>
      <c r="G540">
        <v>4.4784444365784798E-2</v>
      </c>
      <c r="H540">
        <v>0.35827555492627799</v>
      </c>
      <c r="I540" t="s">
        <v>1256</v>
      </c>
    </row>
    <row r="541" spans="1:9" x14ac:dyDescent="0.25">
      <c r="A541" t="s">
        <v>1547</v>
      </c>
      <c r="C541" s="3" t="str">
        <f>HYPERLINK("http://amigo.geneontology.org/amigo/term/GO:0044430","GO:0044430")</f>
        <v>GO:0044430</v>
      </c>
      <c r="D541" t="s">
        <v>1548</v>
      </c>
      <c r="E541">
        <v>429</v>
      </c>
      <c r="F541">
        <v>20</v>
      </c>
      <c r="G541">
        <v>4.5594943264593797E-2</v>
      </c>
      <c r="H541">
        <v>0.36475954611674999</v>
      </c>
      <c r="I541" t="s">
        <v>1549</v>
      </c>
    </row>
    <row r="542" spans="1:9" x14ac:dyDescent="0.25">
      <c r="A542" t="s">
        <v>1550</v>
      </c>
      <c r="C542" s="3" t="str">
        <f>HYPERLINK("http://amigo.geneontology.org/amigo/term/GO:0030118","GO:0030118")</f>
        <v>GO:0030118</v>
      </c>
      <c r="D542" t="s">
        <v>1551</v>
      </c>
      <c r="E542">
        <v>85</v>
      </c>
      <c r="F542">
        <v>6</v>
      </c>
      <c r="G542">
        <v>4.74953086570215E-2</v>
      </c>
      <c r="H542">
        <v>0.379962469256172</v>
      </c>
      <c r="I542" t="s">
        <v>1552</v>
      </c>
    </row>
    <row r="543" spans="1:9" x14ac:dyDescent="0.25">
      <c r="A543" t="s">
        <v>1553</v>
      </c>
      <c r="C543" s="3" t="str">
        <f>HYPERLINK("http://amigo.geneontology.org/amigo/term/GO:0016042","GO:0016042")</f>
        <v>GO:0016042</v>
      </c>
      <c r="D543" t="s">
        <v>1554</v>
      </c>
      <c r="E543">
        <v>301</v>
      </c>
      <c r="F543">
        <v>15</v>
      </c>
      <c r="G543">
        <v>4.7823224094607701E-2</v>
      </c>
      <c r="H543">
        <v>0.382585792756861</v>
      </c>
      <c r="I543" t="s">
        <v>1555</v>
      </c>
    </row>
    <row r="544" spans="1:9" x14ac:dyDescent="0.25">
      <c r="A544" t="s">
        <v>1556</v>
      </c>
      <c r="C544" s="3" t="str">
        <f>HYPERLINK("http://amigo.geneontology.org/amigo/term/GO:0009414","GO:0009414")</f>
        <v>GO:0009414</v>
      </c>
      <c r="D544" t="s">
        <v>1557</v>
      </c>
      <c r="E544">
        <v>153</v>
      </c>
      <c r="F544">
        <v>9</v>
      </c>
      <c r="G544">
        <v>4.79785611467844E-2</v>
      </c>
      <c r="H544">
        <v>0.38382848917427498</v>
      </c>
      <c r="I544" t="s">
        <v>1558</v>
      </c>
    </row>
    <row r="545" spans="1:9" x14ac:dyDescent="0.25">
      <c r="A545" t="s">
        <v>1559</v>
      </c>
      <c r="C545" s="3" t="str">
        <f>HYPERLINK("http://amigo.geneontology.org/amigo/term/GO:0009501","GO:0009501")</f>
        <v>GO:0009501</v>
      </c>
      <c r="D545" t="s">
        <v>1560</v>
      </c>
      <c r="E545">
        <v>27</v>
      </c>
      <c r="F545">
        <v>3</v>
      </c>
      <c r="G545">
        <v>4.9264339696809198E-2</v>
      </c>
      <c r="H545">
        <v>0.39411471757447297</v>
      </c>
      <c r="I545" t="s">
        <v>1561</v>
      </c>
    </row>
    <row r="546" spans="1:9" x14ac:dyDescent="0.25">
      <c r="A546" t="s">
        <v>1562</v>
      </c>
      <c r="C546" s="3" t="str">
        <f>HYPERLINK("http://amigo.geneontology.org/amigo/term/GO:0071496","GO:0071496")</f>
        <v>GO:0071496</v>
      </c>
      <c r="D546" t="s">
        <v>1563</v>
      </c>
      <c r="E546">
        <v>108</v>
      </c>
      <c r="F546">
        <v>7</v>
      </c>
      <c r="G546">
        <v>4.9787529182776097E-2</v>
      </c>
      <c r="H546">
        <v>0.398300233462209</v>
      </c>
      <c r="I546" t="s">
        <v>1564</v>
      </c>
    </row>
    <row r="547" spans="1:9" x14ac:dyDescent="0.25">
      <c r="A547" t="s">
        <v>1565</v>
      </c>
      <c r="C547" s="3" t="str">
        <f>HYPERLINK("http://amigo.geneontology.org/amigo/term/GO:0031668","GO:0031668")</f>
        <v>GO:0031668</v>
      </c>
      <c r="D547" t="s">
        <v>1566</v>
      </c>
      <c r="E547">
        <v>108</v>
      </c>
      <c r="F547">
        <v>7</v>
      </c>
      <c r="G547">
        <v>4.9787529182776097E-2</v>
      </c>
      <c r="H547">
        <v>0.398300233462209</v>
      </c>
      <c r="I547" t="s">
        <v>1564</v>
      </c>
    </row>
    <row r="548" spans="1:9" x14ac:dyDescent="0.25">
      <c r="A548" t="s">
        <v>1567</v>
      </c>
      <c r="C548" s="3" t="str">
        <f>HYPERLINK("http://amigo.geneontology.org/amigo/term/GO:0009690","GO:0009690")</f>
        <v>GO:0009690</v>
      </c>
      <c r="D548" t="s">
        <v>1568</v>
      </c>
      <c r="E548">
        <v>65</v>
      </c>
      <c r="F548">
        <v>5</v>
      </c>
      <c r="G548">
        <v>4.9931495979114802E-2</v>
      </c>
      <c r="H548">
        <v>0.39945196783291798</v>
      </c>
      <c r="I548" t="s">
        <v>1569</v>
      </c>
    </row>
    <row r="549" spans="1:9" x14ac:dyDescent="0.25">
      <c r="A549" t="s">
        <v>1570</v>
      </c>
    </row>
    <row r="550" spans="1:9" x14ac:dyDescent="0.25">
      <c r="A550" t="s">
        <v>1571</v>
      </c>
    </row>
    <row r="551" spans="1:9" x14ac:dyDescent="0.25">
      <c r="A551" t="s">
        <v>1572</v>
      </c>
    </row>
    <row r="552" spans="1:9" x14ac:dyDescent="0.25">
      <c r="A552" t="s">
        <v>1573</v>
      </c>
    </row>
    <row r="553" spans="1:9" x14ac:dyDescent="0.25">
      <c r="A553" t="s">
        <v>1574</v>
      </c>
    </row>
    <row r="554" spans="1:9" x14ac:dyDescent="0.25">
      <c r="A554" t="s">
        <v>1575</v>
      </c>
    </row>
    <row r="555" spans="1:9" x14ac:dyDescent="0.25">
      <c r="A555" t="s">
        <v>1576</v>
      </c>
    </row>
    <row r="556" spans="1:9" x14ac:dyDescent="0.25">
      <c r="A556" t="s">
        <v>1577</v>
      </c>
    </row>
    <row r="557" spans="1:9" x14ac:dyDescent="0.25">
      <c r="A557" t="s">
        <v>1578</v>
      </c>
    </row>
    <row r="558" spans="1:9" x14ac:dyDescent="0.25">
      <c r="A558" t="s">
        <v>1579</v>
      </c>
    </row>
    <row r="559" spans="1:9" x14ac:dyDescent="0.25">
      <c r="A559" t="s">
        <v>1580</v>
      </c>
    </row>
    <row r="560" spans="1:9" x14ac:dyDescent="0.25">
      <c r="A560" t="s">
        <v>1581</v>
      </c>
    </row>
    <row r="561" spans="1:1" x14ac:dyDescent="0.25">
      <c r="A561" t="s">
        <v>1582</v>
      </c>
    </row>
    <row r="562" spans="1:1" x14ac:dyDescent="0.25">
      <c r="A562" t="s">
        <v>1583</v>
      </c>
    </row>
    <row r="563" spans="1:1" x14ac:dyDescent="0.25">
      <c r="A563" t="s">
        <v>1584</v>
      </c>
    </row>
    <row r="564" spans="1:1" x14ac:dyDescent="0.25">
      <c r="A564" t="s">
        <v>1585</v>
      </c>
    </row>
    <row r="565" spans="1:1" x14ac:dyDescent="0.25">
      <c r="A565" t="s">
        <v>1586</v>
      </c>
    </row>
    <row r="566" spans="1:1" x14ac:dyDescent="0.25">
      <c r="A566" t="s">
        <v>1587</v>
      </c>
    </row>
    <row r="567" spans="1:1" x14ac:dyDescent="0.25">
      <c r="A567" t="s">
        <v>1588</v>
      </c>
    </row>
    <row r="568" spans="1:1" x14ac:dyDescent="0.25">
      <c r="A568" t="s">
        <v>1589</v>
      </c>
    </row>
    <row r="569" spans="1:1" x14ac:dyDescent="0.25">
      <c r="A569" t="s">
        <v>1590</v>
      </c>
    </row>
    <row r="570" spans="1:1" x14ac:dyDescent="0.25">
      <c r="A570" t="s">
        <v>1591</v>
      </c>
    </row>
    <row r="571" spans="1:1" x14ac:dyDescent="0.25">
      <c r="A571" t="s">
        <v>1592</v>
      </c>
    </row>
    <row r="572" spans="1:1" x14ac:dyDescent="0.25">
      <c r="A572" t="s">
        <v>1593</v>
      </c>
    </row>
    <row r="573" spans="1:1" x14ac:dyDescent="0.25">
      <c r="A573" t="s">
        <v>1594</v>
      </c>
    </row>
    <row r="574" spans="1:1" x14ac:dyDescent="0.25">
      <c r="A574" t="s">
        <v>1595</v>
      </c>
    </row>
    <row r="575" spans="1:1" x14ac:dyDescent="0.25">
      <c r="A575" t="s">
        <v>1596</v>
      </c>
    </row>
    <row r="576" spans="1:1" x14ac:dyDescent="0.25">
      <c r="A576" t="s">
        <v>1597</v>
      </c>
    </row>
    <row r="577" spans="1:1" x14ac:dyDescent="0.25">
      <c r="A577" t="s">
        <v>1598</v>
      </c>
    </row>
    <row r="578" spans="1:1" x14ac:dyDescent="0.25">
      <c r="A578" t="s">
        <v>1599</v>
      </c>
    </row>
    <row r="579" spans="1:1" x14ac:dyDescent="0.25">
      <c r="A579" t="s">
        <v>1600</v>
      </c>
    </row>
    <row r="580" spans="1:1" x14ac:dyDescent="0.25">
      <c r="A580" t="s">
        <v>1601</v>
      </c>
    </row>
    <row r="581" spans="1:1" x14ac:dyDescent="0.25">
      <c r="A581" t="s">
        <v>1602</v>
      </c>
    </row>
    <row r="582" spans="1:1" x14ac:dyDescent="0.25">
      <c r="A582" t="s">
        <v>1603</v>
      </c>
    </row>
    <row r="583" spans="1:1" x14ac:dyDescent="0.25">
      <c r="A583" t="s">
        <v>1604</v>
      </c>
    </row>
    <row r="584" spans="1:1" x14ac:dyDescent="0.25">
      <c r="A584" t="s">
        <v>1605</v>
      </c>
    </row>
    <row r="585" spans="1:1" x14ac:dyDescent="0.25">
      <c r="A585" t="s">
        <v>1606</v>
      </c>
    </row>
    <row r="586" spans="1:1" x14ac:dyDescent="0.25">
      <c r="A586" t="s">
        <v>1607</v>
      </c>
    </row>
    <row r="587" spans="1:1" x14ac:dyDescent="0.25">
      <c r="A587" t="s">
        <v>1608</v>
      </c>
    </row>
    <row r="588" spans="1:1" x14ac:dyDescent="0.25">
      <c r="A588" t="s">
        <v>1609</v>
      </c>
    </row>
    <row r="589" spans="1:1" x14ac:dyDescent="0.25">
      <c r="A589" t="s">
        <v>1610</v>
      </c>
    </row>
    <row r="590" spans="1:1" x14ac:dyDescent="0.25">
      <c r="A590" t="s">
        <v>1611</v>
      </c>
    </row>
    <row r="591" spans="1:1" x14ac:dyDescent="0.25">
      <c r="A591" t="s">
        <v>1612</v>
      </c>
    </row>
    <row r="592" spans="1:1" x14ac:dyDescent="0.25">
      <c r="A592" t="s">
        <v>1613</v>
      </c>
    </row>
    <row r="593" spans="1:1" x14ac:dyDescent="0.25">
      <c r="A593" t="s">
        <v>1614</v>
      </c>
    </row>
    <row r="594" spans="1:1" x14ac:dyDescent="0.25">
      <c r="A594" t="s">
        <v>1615</v>
      </c>
    </row>
    <row r="595" spans="1:1" x14ac:dyDescent="0.25">
      <c r="A595" t="s">
        <v>1616</v>
      </c>
    </row>
    <row r="596" spans="1:1" x14ac:dyDescent="0.25">
      <c r="A596" t="s">
        <v>1617</v>
      </c>
    </row>
    <row r="597" spans="1:1" x14ac:dyDescent="0.25">
      <c r="A597" t="s">
        <v>1618</v>
      </c>
    </row>
    <row r="598" spans="1:1" x14ac:dyDescent="0.25">
      <c r="A598" t="s">
        <v>1619</v>
      </c>
    </row>
    <row r="599" spans="1:1" x14ac:dyDescent="0.25">
      <c r="A599" t="s">
        <v>1620</v>
      </c>
    </row>
    <row r="600" spans="1:1" x14ac:dyDescent="0.25">
      <c r="A600" t="s">
        <v>1621</v>
      </c>
    </row>
    <row r="601" spans="1:1" x14ac:dyDescent="0.25">
      <c r="A601" t="s">
        <v>1622</v>
      </c>
    </row>
    <row r="602" spans="1:1" x14ac:dyDescent="0.25">
      <c r="A602" t="s">
        <v>1623</v>
      </c>
    </row>
    <row r="603" spans="1:1" x14ac:dyDescent="0.25">
      <c r="A603" t="s">
        <v>1624</v>
      </c>
    </row>
    <row r="604" spans="1:1" x14ac:dyDescent="0.25">
      <c r="A604" t="s">
        <v>1625</v>
      </c>
    </row>
    <row r="605" spans="1:1" x14ac:dyDescent="0.25">
      <c r="A605" t="s">
        <v>1626</v>
      </c>
    </row>
    <row r="606" spans="1:1" x14ac:dyDescent="0.25">
      <c r="A606" t="s">
        <v>1627</v>
      </c>
    </row>
    <row r="607" spans="1:1" x14ac:dyDescent="0.25">
      <c r="A607" t="s">
        <v>1628</v>
      </c>
    </row>
    <row r="608" spans="1:1" x14ac:dyDescent="0.25">
      <c r="A608" t="s">
        <v>1629</v>
      </c>
    </row>
    <row r="609" spans="1:1" x14ac:dyDescent="0.25">
      <c r="A609" t="s">
        <v>1630</v>
      </c>
    </row>
    <row r="610" spans="1:1" x14ac:dyDescent="0.25">
      <c r="A610" t="s">
        <v>1631</v>
      </c>
    </row>
    <row r="611" spans="1:1" x14ac:dyDescent="0.25">
      <c r="A611" t="s">
        <v>1632</v>
      </c>
    </row>
    <row r="612" spans="1:1" x14ac:dyDescent="0.25">
      <c r="A612" t="s">
        <v>1633</v>
      </c>
    </row>
    <row r="613" spans="1:1" x14ac:dyDescent="0.25">
      <c r="A613" t="s">
        <v>1634</v>
      </c>
    </row>
    <row r="614" spans="1:1" x14ac:dyDescent="0.25">
      <c r="A614" t="s">
        <v>1635</v>
      </c>
    </row>
    <row r="615" spans="1:1" x14ac:dyDescent="0.25">
      <c r="A615" t="s">
        <v>1636</v>
      </c>
    </row>
    <row r="616" spans="1:1" x14ac:dyDescent="0.25">
      <c r="A616" t="s">
        <v>1637</v>
      </c>
    </row>
    <row r="617" spans="1:1" x14ac:dyDescent="0.25">
      <c r="A617" t="s">
        <v>1638</v>
      </c>
    </row>
    <row r="618" spans="1:1" x14ac:dyDescent="0.25">
      <c r="A618" t="s">
        <v>1639</v>
      </c>
    </row>
    <row r="619" spans="1:1" x14ac:dyDescent="0.25">
      <c r="A619" t="s">
        <v>1640</v>
      </c>
    </row>
    <row r="620" spans="1:1" x14ac:dyDescent="0.25">
      <c r="A620" t="s">
        <v>1641</v>
      </c>
    </row>
    <row r="621" spans="1:1" x14ac:dyDescent="0.25">
      <c r="A621" t="s">
        <v>1642</v>
      </c>
    </row>
    <row r="622" spans="1:1" x14ac:dyDescent="0.25">
      <c r="A622" t="s">
        <v>1643</v>
      </c>
    </row>
    <row r="623" spans="1:1" x14ac:dyDescent="0.25">
      <c r="A623" t="s">
        <v>1644</v>
      </c>
    </row>
    <row r="624" spans="1:1" x14ac:dyDescent="0.25">
      <c r="A624" t="s">
        <v>1645</v>
      </c>
    </row>
    <row r="625" spans="1:1" x14ac:dyDescent="0.25">
      <c r="A625" t="s">
        <v>1646</v>
      </c>
    </row>
    <row r="626" spans="1:1" x14ac:dyDescent="0.25">
      <c r="A626" t="s">
        <v>1647</v>
      </c>
    </row>
    <row r="627" spans="1:1" x14ac:dyDescent="0.25">
      <c r="A627" t="s">
        <v>1648</v>
      </c>
    </row>
    <row r="628" spans="1:1" x14ac:dyDescent="0.25">
      <c r="A628" t="s">
        <v>1649</v>
      </c>
    </row>
    <row r="629" spans="1:1" x14ac:dyDescent="0.25">
      <c r="A629" t="s">
        <v>1650</v>
      </c>
    </row>
    <row r="630" spans="1:1" x14ac:dyDescent="0.25">
      <c r="A630" t="s">
        <v>1651</v>
      </c>
    </row>
    <row r="631" spans="1:1" x14ac:dyDescent="0.25">
      <c r="A631" t="s">
        <v>1652</v>
      </c>
    </row>
    <row r="632" spans="1:1" x14ac:dyDescent="0.25">
      <c r="A632" t="s">
        <v>1653</v>
      </c>
    </row>
    <row r="633" spans="1:1" x14ac:dyDescent="0.25">
      <c r="A633" t="s">
        <v>1654</v>
      </c>
    </row>
    <row r="634" spans="1:1" x14ac:dyDescent="0.25">
      <c r="A634" t="s">
        <v>1655</v>
      </c>
    </row>
    <row r="635" spans="1:1" x14ac:dyDescent="0.25">
      <c r="A635" t="s">
        <v>1656</v>
      </c>
    </row>
    <row r="636" spans="1:1" x14ac:dyDescent="0.25">
      <c r="A636" t="s">
        <v>1657</v>
      </c>
    </row>
    <row r="637" spans="1:1" x14ac:dyDescent="0.25">
      <c r="A637" t="s">
        <v>1658</v>
      </c>
    </row>
    <row r="638" spans="1:1" x14ac:dyDescent="0.25">
      <c r="A638" t="s">
        <v>1659</v>
      </c>
    </row>
    <row r="639" spans="1:1" x14ac:dyDescent="0.25">
      <c r="A639" t="s">
        <v>1660</v>
      </c>
    </row>
    <row r="640" spans="1:1" x14ac:dyDescent="0.25">
      <c r="A640" t="s">
        <v>1661</v>
      </c>
    </row>
    <row r="641" spans="1:1" x14ac:dyDescent="0.25">
      <c r="A641" t="s">
        <v>1662</v>
      </c>
    </row>
    <row r="642" spans="1:1" x14ac:dyDescent="0.25">
      <c r="A642" t="s">
        <v>1663</v>
      </c>
    </row>
    <row r="643" spans="1:1" x14ac:dyDescent="0.25">
      <c r="A643" t="s">
        <v>1664</v>
      </c>
    </row>
    <row r="644" spans="1:1" x14ac:dyDescent="0.25">
      <c r="A644" t="s">
        <v>1665</v>
      </c>
    </row>
    <row r="645" spans="1:1" x14ac:dyDescent="0.25">
      <c r="A645" t="s">
        <v>1666</v>
      </c>
    </row>
    <row r="646" spans="1:1" x14ac:dyDescent="0.25">
      <c r="A646" t="s">
        <v>1667</v>
      </c>
    </row>
    <row r="647" spans="1:1" x14ac:dyDescent="0.25">
      <c r="A647" t="s">
        <v>1668</v>
      </c>
    </row>
    <row r="648" spans="1:1" x14ac:dyDescent="0.25">
      <c r="A648" t="s">
        <v>1669</v>
      </c>
    </row>
    <row r="649" spans="1:1" x14ac:dyDescent="0.25">
      <c r="A649" t="s">
        <v>1670</v>
      </c>
    </row>
    <row r="650" spans="1:1" x14ac:dyDescent="0.25">
      <c r="A650" t="s">
        <v>1671</v>
      </c>
    </row>
    <row r="651" spans="1:1" x14ac:dyDescent="0.25">
      <c r="A651" t="s">
        <v>1672</v>
      </c>
    </row>
    <row r="652" spans="1:1" x14ac:dyDescent="0.25">
      <c r="A652" t="s">
        <v>1673</v>
      </c>
    </row>
    <row r="653" spans="1:1" x14ac:dyDescent="0.25">
      <c r="A653" t="s">
        <v>1674</v>
      </c>
    </row>
    <row r="654" spans="1:1" x14ac:dyDescent="0.25">
      <c r="A654" t="s">
        <v>1675</v>
      </c>
    </row>
    <row r="655" spans="1:1" x14ac:dyDescent="0.25">
      <c r="A655" t="s">
        <v>1676</v>
      </c>
    </row>
    <row r="656" spans="1:1" x14ac:dyDescent="0.25">
      <c r="A656" t="s">
        <v>1677</v>
      </c>
    </row>
    <row r="657" spans="1:1" x14ac:dyDescent="0.25">
      <c r="A657" t="s">
        <v>1678</v>
      </c>
    </row>
    <row r="658" spans="1:1" x14ac:dyDescent="0.25">
      <c r="A658" t="s">
        <v>1679</v>
      </c>
    </row>
    <row r="659" spans="1:1" x14ac:dyDescent="0.25">
      <c r="A659" t="s">
        <v>1680</v>
      </c>
    </row>
    <row r="660" spans="1:1" x14ac:dyDescent="0.25">
      <c r="A660" t="s">
        <v>1681</v>
      </c>
    </row>
    <row r="661" spans="1:1" x14ac:dyDescent="0.25">
      <c r="A661" t="s">
        <v>1682</v>
      </c>
    </row>
    <row r="662" spans="1:1" x14ac:dyDescent="0.25">
      <c r="A662" t="s">
        <v>1683</v>
      </c>
    </row>
    <row r="663" spans="1:1" x14ac:dyDescent="0.25">
      <c r="A663" t="s">
        <v>1684</v>
      </c>
    </row>
    <row r="664" spans="1:1" x14ac:dyDescent="0.25">
      <c r="A664" t="s">
        <v>1685</v>
      </c>
    </row>
    <row r="665" spans="1:1" x14ac:dyDescent="0.25">
      <c r="A665" t="s">
        <v>1686</v>
      </c>
    </row>
    <row r="666" spans="1:1" x14ac:dyDescent="0.25">
      <c r="A666" t="s">
        <v>1687</v>
      </c>
    </row>
    <row r="667" spans="1:1" x14ac:dyDescent="0.25">
      <c r="A667" t="s">
        <v>1688</v>
      </c>
    </row>
    <row r="668" spans="1:1" x14ac:dyDescent="0.25">
      <c r="A668" t="s">
        <v>1689</v>
      </c>
    </row>
    <row r="669" spans="1:1" x14ac:dyDescent="0.25">
      <c r="A669" t="s">
        <v>1690</v>
      </c>
    </row>
    <row r="670" spans="1:1" x14ac:dyDescent="0.25">
      <c r="A670" t="s">
        <v>1691</v>
      </c>
    </row>
    <row r="671" spans="1:1" x14ac:dyDescent="0.25">
      <c r="A671" t="s">
        <v>1692</v>
      </c>
    </row>
    <row r="672" spans="1:1" x14ac:dyDescent="0.25">
      <c r="A672" t="s">
        <v>1693</v>
      </c>
    </row>
    <row r="673" spans="1:1" x14ac:dyDescent="0.25">
      <c r="A673" t="s">
        <v>1694</v>
      </c>
    </row>
    <row r="674" spans="1:1" x14ac:dyDescent="0.25">
      <c r="A674" t="s">
        <v>1695</v>
      </c>
    </row>
    <row r="675" spans="1:1" x14ac:dyDescent="0.25">
      <c r="A675" t="s">
        <v>1696</v>
      </c>
    </row>
    <row r="676" spans="1:1" x14ac:dyDescent="0.25">
      <c r="A676" t="s">
        <v>1697</v>
      </c>
    </row>
    <row r="677" spans="1:1" x14ac:dyDescent="0.25">
      <c r="A677" t="s">
        <v>1698</v>
      </c>
    </row>
    <row r="678" spans="1:1" x14ac:dyDescent="0.25">
      <c r="A678" t="s">
        <v>1699</v>
      </c>
    </row>
    <row r="679" spans="1:1" x14ac:dyDescent="0.25">
      <c r="A679" t="s">
        <v>1700</v>
      </c>
    </row>
    <row r="680" spans="1:1" x14ac:dyDescent="0.25">
      <c r="A680" t="s">
        <v>1701</v>
      </c>
    </row>
    <row r="681" spans="1:1" x14ac:dyDescent="0.25">
      <c r="A681" t="s">
        <v>1702</v>
      </c>
    </row>
    <row r="682" spans="1:1" x14ac:dyDescent="0.25">
      <c r="A682" t="s">
        <v>1703</v>
      </c>
    </row>
    <row r="683" spans="1:1" x14ac:dyDescent="0.25">
      <c r="A683" t="s">
        <v>1704</v>
      </c>
    </row>
    <row r="684" spans="1:1" x14ac:dyDescent="0.25">
      <c r="A684" t="s">
        <v>1705</v>
      </c>
    </row>
    <row r="685" spans="1:1" x14ac:dyDescent="0.25">
      <c r="A685" t="s">
        <v>1706</v>
      </c>
    </row>
    <row r="686" spans="1:1" x14ac:dyDescent="0.25">
      <c r="A686" t="s">
        <v>1707</v>
      </c>
    </row>
    <row r="687" spans="1:1" x14ac:dyDescent="0.25">
      <c r="A687" t="s">
        <v>1708</v>
      </c>
    </row>
    <row r="688" spans="1:1" x14ac:dyDescent="0.25">
      <c r="A688" t="s">
        <v>1709</v>
      </c>
    </row>
    <row r="689" spans="1:1" x14ac:dyDescent="0.25">
      <c r="A689" t="s">
        <v>1710</v>
      </c>
    </row>
    <row r="690" spans="1:1" x14ac:dyDescent="0.25">
      <c r="A690" t="s">
        <v>1711</v>
      </c>
    </row>
    <row r="691" spans="1:1" x14ac:dyDescent="0.25">
      <c r="A691" t="s">
        <v>1712</v>
      </c>
    </row>
    <row r="692" spans="1:1" x14ac:dyDescent="0.25">
      <c r="A692" t="s">
        <v>1713</v>
      </c>
    </row>
    <row r="693" spans="1:1" x14ac:dyDescent="0.25">
      <c r="A693" t="s">
        <v>1714</v>
      </c>
    </row>
    <row r="694" spans="1:1" x14ac:dyDescent="0.25">
      <c r="A694" t="s">
        <v>1715</v>
      </c>
    </row>
    <row r="695" spans="1:1" x14ac:dyDescent="0.25">
      <c r="A695" t="s">
        <v>1716</v>
      </c>
    </row>
    <row r="696" spans="1:1" x14ac:dyDescent="0.25">
      <c r="A696" t="s">
        <v>1717</v>
      </c>
    </row>
    <row r="697" spans="1:1" x14ac:dyDescent="0.25">
      <c r="A697" t="s">
        <v>1718</v>
      </c>
    </row>
    <row r="698" spans="1:1" x14ac:dyDescent="0.25">
      <c r="A698" t="s">
        <v>1719</v>
      </c>
    </row>
    <row r="699" spans="1:1" x14ac:dyDescent="0.25">
      <c r="A699" t="s">
        <v>1720</v>
      </c>
    </row>
    <row r="700" spans="1:1" x14ac:dyDescent="0.25">
      <c r="A700" t="s">
        <v>1721</v>
      </c>
    </row>
    <row r="701" spans="1:1" x14ac:dyDescent="0.25">
      <c r="A701" t="s">
        <v>1722</v>
      </c>
    </row>
    <row r="702" spans="1:1" x14ac:dyDescent="0.25">
      <c r="A702" t="s">
        <v>1723</v>
      </c>
    </row>
    <row r="703" spans="1:1" x14ac:dyDescent="0.25">
      <c r="A703" t="s">
        <v>1724</v>
      </c>
    </row>
    <row r="704" spans="1:1" x14ac:dyDescent="0.25">
      <c r="A704" t="s">
        <v>1725</v>
      </c>
    </row>
    <row r="705" spans="1:1" x14ac:dyDescent="0.25">
      <c r="A705" t="s">
        <v>1726</v>
      </c>
    </row>
    <row r="706" spans="1:1" x14ac:dyDescent="0.25">
      <c r="A706" t="s">
        <v>1727</v>
      </c>
    </row>
    <row r="707" spans="1:1" x14ac:dyDescent="0.25">
      <c r="A707" t="s">
        <v>1728</v>
      </c>
    </row>
    <row r="708" spans="1:1" x14ac:dyDescent="0.25">
      <c r="A708" t="s">
        <v>1729</v>
      </c>
    </row>
    <row r="709" spans="1:1" x14ac:dyDescent="0.25">
      <c r="A709" t="s">
        <v>1730</v>
      </c>
    </row>
    <row r="710" spans="1:1" x14ac:dyDescent="0.25">
      <c r="A710" t="s">
        <v>1731</v>
      </c>
    </row>
    <row r="711" spans="1:1" x14ac:dyDescent="0.25">
      <c r="A711" t="s">
        <v>1732</v>
      </c>
    </row>
    <row r="712" spans="1:1" x14ac:dyDescent="0.25">
      <c r="A712" t="s">
        <v>1733</v>
      </c>
    </row>
    <row r="713" spans="1:1" x14ac:dyDescent="0.25">
      <c r="A713" t="s">
        <v>1734</v>
      </c>
    </row>
    <row r="714" spans="1:1" x14ac:dyDescent="0.25">
      <c r="A714" t="s">
        <v>1735</v>
      </c>
    </row>
    <row r="715" spans="1:1" x14ac:dyDescent="0.25">
      <c r="A715" t="s">
        <v>1736</v>
      </c>
    </row>
    <row r="716" spans="1:1" x14ac:dyDescent="0.25">
      <c r="A716" t="s">
        <v>1737</v>
      </c>
    </row>
    <row r="717" spans="1:1" x14ac:dyDescent="0.25">
      <c r="A717" t="s">
        <v>1738</v>
      </c>
    </row>
    <row r="718" spans="1:1" x14ac:dyDescent="0.25">
      <c r="A718" t="s">
        <v>1739</v>
      </c>
    </row>
    <row r="719" spans="1:1" x14ac:dyDescent="0.25">
      <c r="A719" t="s">
        <v>1740</v>
      </c>
    </row>
    <row r="720" spans="1:1" x14ac:dyDescent="0.25">
      <c r="A720" t="s">
        <v>1741</v>
      </c>
    </row>
    <row r="721" spans="1:1" x14ac:dyDescent="0.25">
      <c r="A721" t="s">
        <v>1742</v>
      </c>
    </row>
    <row r="722" spans="1:1" x14ac:dyDescent="0.25">
      <c r="A722" t="s">
        <v>1743</v>
      </c>
    </row>
    <row r="723" spans="1:1" x14ac:dyDescent="0.25">
      <c r="A723" t="s">
        <v>1744</v>
      </c>
    </row>
    <row r="724" spans="1:1" x14ac:dyDescent="0.25">
      <c r="A724" t="s">
        <v>1745</v>
      </c>
    </row>
    <row r="725" spans="1:1" x14ac:dyDescent="0.25">
      <c r="A725" t="s">
        <v>1746</v>
      </c>
    </row>
    <row r="726" spans="1:1" x14ac:dyDescent="0.25">
      <c r="A726" t="s">
        <v>1747</v>
      </c>
    </row>
    <row r="727" spans="1:1" x14ac:dyDescent="0.25">
      <c r="A727" t="s">
        <v>1748</v>
      </c>
    </row>
    <row r="728" spans="1:1" x14ac:dyDescent="0.25">
      <c r="A728" t="s">
        <v>1749</v>
      </c>
    </row>
    <row r="729" spans="1:1" x14ac:dyDescent="0.25">
      <c r="A729" t="s">
        <v>1750</v>
      </c>
    </row>
    <row r="730" spans="1:1" x14ac:dyDescent="0.25">
      <c r="A730" t="s">
        <v>1751</v>
      </c>
    </row>
    <row r="731" spans="1:1" x14ac:dyDescent="0.25">
      <c r="A731" t="s">
        <v>1752</v>
      </c>
    </row>
    <row r="732" spans="1:1" x14ac:dyDescent="0.25">
      <c r="A732" t="s">
        <v>1753</v>
      </c>
    </row>
    <row r="733" spans="1:1" x14ac:dyDescent="0.25">
      <c r="A733" t="s">
        <v>1754</v>
      </c>
    </row>
    <row r="734" spans="1:1" x14ac:dyDescent="0.25">
      <c r="A734" t="s">
        <v>1755</v>
      </c>
    </row>
    <row r="735" spans="1:1" x14ac:dyDescent="0.25">
      <c r="A735" t="s">
        <v>1756</v>
      </c>
    </row>
    <row r="736" spans="1:1" x14ac:dyDescent="0.25">
      <c r="A736" t="s">
        <v>1757</v>
      </c>
    </row>
    <row r="737" spans="1:1" x14ac:dyDescent="0.25">
      <c r="A737" t="s">
        <v>1758</v>
      </c>
    </row>
    <row r="738" spans="1:1" x14ac:dyDescent="0.25">
      <c r="A738" t="s">
        <v>1759</v>
      </c>
    </row>
    <row r="739" spans="1:1" x14ac:dyDescent="0.25">
      <c r="A739" t="s">
        <v>1760</v>
      </c>
    </row>
    <row r="740" spans="1:1" x14ac:dyDescent="0.25">
      <c r="A740" t="s">
        <v>1761</v>
      </c>
    </row>
    <row r="741" spans="1:1" x14ac:dyDescent="0.25">
      <c r="A741" t="s">
        <v>1762</v>
      </c>
    </row>
    <row r="742" spans="1:1" x14ac:dyDescent="0.25">
      <c r="A742" t="s">
        <v>1763</v>
      </c>
    </row>
    <row r="743" spans="1:1" x14ac:dyDescent="0.25">
      <c r="A743" t="s">
        <v>1764</v>
      </c>
    </row>
    <row r="744" spans="1:1" x14ac:dyDescent="0.25">
      <c r="A744" t="s">
        <v>1765</v>
      </c>
    </row>
    <row r="745" spans="1:1" x14ac:dyDescent="0.25">
      <c r="A745" t="s">
        <v>1766</v>
      </c>
    </row>
    <row r="746" spans="1:1" x14ac:dyDescent="0.25">
      <c r="A746" t="s">
        <v>1767</v>
      </c>
    </row>
    <row r="747" spans="1:1" x14ac:dyDescent="0.25">
      <c r="A747" t="s">
        <v>1768</v>
      </c>
    </row>
    <row r="748" spans="1:1" x14ac:dyDescent="0.25">
      <c r="A748" t="s">
        <v>1769</v>
      </c>
    </row>
    <row r="749" spans="1:1" x14ac:dyDescent="0.25">
      <c r="A749" t="s">
        <v>1770</v>
      </c>
    </row>
    <row r="750" spans="1:1" x14ac:dyDescent="0.25">
      <c r="A750" t="s">
        <v>1771</v>
      </c>
    </row>
    <row r="751" spans="1:1" x14ac:dyDescent="0.25">
      <c r="A751" t="s">
        <v>1772</v>
      </c>
    </row>
    <row r="752" spans="1:1" x14ac:dyDescent="0.25">
      <c r="A752" t="s">
        <v>1773</v>
      </c>
    </row>
    <row r="753" spans="1:1" x14ac:dyDescent="0.25">
      <c r="A753" t="s">
        <v>1774</v>
      </c>
    </row>
    <row r="754" spans="1:1" x14ac:dyDescent="0.25">
      <c r="A754" t="s">
        <v>1775</v>
      </c>
    </row>
    <row r="755" spans="1:1" x14ac:dyDescent="0.25">
      <c r="A755" t="s">
        <v>1776</v>
      </c>
    </row>
    <row r="756" spans="1:1" x14ac:dyDescent="0.25">
      <c r="A756" t="s">
        <v>1777</v>
      </c>
    </row>
    <row r="757" spans="1:1" x14ac:dyDescent="0.25">
      <c r="A757" t="s">
        <v>1778</v>
      </c>
    </row>
    <row r="758" spans="1:1" x14ac:dyDescent="0.25">
      <c r="A758" t="s">
        <v>1779</v>
      </c>
    </row>
    <row r="759" spans="1:1" x14ac:dyDescent="0.25">
      <c r="A759" t="s">
        <v>1780</v>
      </c>
    </row>
    <row r="760" spans="1:1" x14ac:dyDescent="0.25">
      <c r="A760" t="s">
        <v>1781</v>
      </c>
    </row>
    <row r="761" spans="1:1" x14ac:dyDescent="0.25">
      <c r="A761" t="s">
        <v>1782</v>
      </c>
    </row>
    <row r="762" spans="1:1" x14ac:dyDescent="0.25">
      <c r="A762" t="s">
        <v>1783</v>
      </c>
    </row>
    <row r="763" spans="1:1" x14ac:dyDescent="0.25">
      <c r="A763" t="s">
        <v>1784</v>
      </c>
    </row>
    <row r="764" spans="1:1" x14ac:dyDescent="0.25">
      <c r="A764" t="s">
        <v>1785</v>
      </c>
    </row>
    <row r="765" spans="1:1" x14ac:dyDescent="0.25">
      <c r="A765" t="s">
        <v>1786</v>
      </c>
    </row>
    <row r="766" spans="1:1" x14ac:dyDescent="0.25">
      <c r="A766" t="s">
        <v>1787</v>
      </c>
    </row>
    <row r="767" spans="1:1" x14ac:dyDescent="0.25">
      <c r="A767" t="s">
        <v>1788</v>
      </c>
    </row>
    <row r="768" spans="1:1" x14ac:dyDescent="0.25">
      <c r="A768" t="s">
        <v>1789</v>
      </c>
    </row>
    <row r="769" spans="1:1" x14ac:dyDescent="0.25">
      <c r="A769" t="s">
        <v>1790</v>
      </c>
    </row>
    <row r="770" spans="1:1" x14ac:dyDescent="0.25">
      <c r="A770" t="s">
        <v>1791</v>
      </c>
    </row>
    <row r="771" spans="1:1" x14ac:dyDescent="0.25">
      <c r="A771" t="s">
        <v>1792</v>
      </c>
    </row>
    <row r="772" spans="1:1" x14ac:dyDescent="0.25">
      <c r="A772" t="s">
        <v>1793</v>
      </c>
    </row>
    <row r="773" spans="1:1" x14ac:dyDescent="0.25">
      <c r="A773" t="s">
        <v>1794</v>
      </c>
    </row>
    <row r="774" spans="1:1" x14ac:dyDescent="0.25">
      <c r="A774" t="s">
        <v>1795</v>
      </c>
    </row>
    <row r="775" spans="1:1" x14ac:dyDescent="0.25">
      <c r="A775" t="s">
        <v>1796</v>
      </c>
    </row>
    <row r="776" spans="1:1" x14ac:dyDescent="0.25">
      <c r="A776" t="s">
        <v>1797</v>
      </c>
    </row>
    <row r="777" spans="1:1" x14ac:dyDescent="0.25">
      <c r="A777" t="s">
        <v>1798</v>
      </c>
    </row>
    <row r="778" spans="1:1" x14ac:dyDescent="0.25">
      <c r="A778" t="s">
        <v>1799</v>
      </c>
    </row>
    <row r="779" spans="1:1" x14ac:dyDescent="0.25">
      <c r="A779" t="s">
        <v>1800</v>
      </c>
    </row>
    <row r="780" spans="1:1" x14ac:dyDescent="0.25">
      <c r="A780" t="s">
        <v>1801</v>
      </c>
    </row>
    <row r="781" spans="1:1" x14ac:dyDescent="0.25">
      <c r="A781" t="s">
        <v>1802</v>
      </c>
    </row>
    <row r="782" spans="1:1" x14ac:dyDescent="0.25">
      <c r="A782" t="s">
        <v>1803</v>
      </c>
    </row>
    <row r="783" spans="1:1" x14ac:dyDescent="0.25">
      <c r="A783" t="s">
        <v>1804</v>
      </c>
    </row>
    <row r="784" spans="1:1" x14ac:dyDescent="0.25">
      <c r="A784" t="s">
        <v>1805</v>
      </c>
    </row>
    <row r="785" spans="1:1" x14ac:dyDescent="0.25">
      <c r="A785" t="s">
        <v>1806</v>
      </c>
    </row>
    <row r="786" spans="1:1" x14ac:dyDescent="0.25">
      <c r="A786" t="s">
        <v>1807</v>
      </c>
    </row>
    <row r="787" spans="1:1" x14ac:dyDescent="0.25">
      <c r="A787" t="s">
        <v>1808</v>
      </c>
    </row>
    <row r="788" spans="1:1" x14ac:dyDescent="0.25">
      <c r="A788" t="s">
        <v>1809</v>
      </c>
    </row>
    <row r="789" spans="1:1" x14ac:dyDescent="0.25">
      <c r="A789" t="s">
        <v>1810</v>
      </c>
    </row>
    <row r="790" spans="1:1" x14ac:dyDescent="0.25">
      <c r="A790" t="s">
        <v>1811</v>
      </c>
    </row>
    <row r="791" spans="1:1" x14ac:dyDescent="0.25">
      <c r="A791" t="s">
        <v>1812</v>
      </c>
    </row>
    <row r="792" spans="1:1" x14ac:dyDescent="0.25">
      <c r="A792" t="s">
        <v>1813</v>
      </c>
    </row>
    <row r="793" spans="1:1" x14ac:dyDescent="0.25">
      <c r="A793" t="s">
        <v>1814</v>
      </c>
    </row>
    <row r="794" spans="1:1" x14ac:dyDescent="0.25">
      <c r="A794" t="s">
        <v>1815</v>
      </c>
    </row>
    <row r="795" spans="1:1" x14ac:dyDescent="0.25">
      <c r="A795" t="s">
        <v>1816</v>
      </c>
    </row>
    <row r="796" spans="1:1" x14ac:dyDescent="0.25">
      <c r="A796" t="s">
        <v>1817</v>
      </c>
    </row>
    <row r="797" spans="1:1" x14ac:dyDescent="0.25">
      <c r="A797" t="s">
        <v>1818</v>
      </c>
    </row>
    <row r="798" spans="1:1" x14ac:dyDescent="0.25">
      <c r="A798" t="s">
        <v>1819</v>
      </c>
    </row>
    <row r="799" spans="1:1" x14ac:dyDescent="0.25">
      <c r="A799" t="s">
        <v>1820</v>
      </c>
    </row>
    <row r="800" spans="1:1" x14ac:dyDescent="0.25">
      <c r="A800" t="s">
        <v>1821</v>
      </c>
    </row>
    <row r="801" spans="1:1" x14ac:dyDescent="0.25">
      <c r="A801" t="s">
        <v>1822</v>
      </c>
    </row>
    <row r="802" spans="1:1" x14ac:dyDescent="0.25">
      <c r="A802" t="s">
        <v>1823</v>
      </c>
    </row>
    <row r="803" spans="1:1" x14ac:dyDescent="0.25">
      <c r="A803" t="s">
        <v>1824</v>
      </c>
    </row>
    <row r="804" spans="1:1" x14ac:dyDescent="0.25">
      <c r="A804" t="s">
        <v>1825</v>
      </c>
    </row>
    <row r="805" spans="1:1" x14ac:dyDescent="0.25">
      <c r="A805" t="s">
        <v>1826</v>
      </c>
    </row>
    <row r="806" spans="1:1" x14ac:dyDescent="0.25">
      <c r="A806" t="s">
        <v>1827</v>
      </c>
    </row>
    <row r="807" spans="1:1" x14ac:dyDescent="0.25">
      <c r="A807" t="s">
        <v>1828</v>
      </c>
    </row>
    <row r="808" spans="1:1" x14ac:dyDescent="0.25">
      <c r="A808" t="s">
        <v>1829</v>
      </c>
    </row>
    <row r="809" spans="1:1" x14ac:dyDescent="0.25">
      <c r="A809" t="s">
        <v>1830</v>
      </c>
    </row>
    <row r="810" spans="1:1" x14ac:dyDescent="0.25">
      <c r="A810" t="s">
        <v>1831</v>
      </c>
    </row>
    <row r="811" spans="1:1" x14ac:dyDescent="0.25">
      <c r="A811" t="s">
        <v>1832</v>
      </c>
    </row>
    <row r="812" spans="1:1" x14ac:dyDescent="0.25">
      <c r="A812" t="s">
        <v>1833</v>
      </c>
    </row>
    <row r="813" spans="1:1" x14ac:dyDescent="0.25">
      <c r="A813" t="s">
        <v>1834</v>
      </c>
    </row>
    <row r="814" spans="1:1" x14ac:dyDescent="0.25">
      <c r="A814" t="s">
        <v>1835</v>
      </c>
    </row>
    <row r="815" spans="1:1" x14ac:dyDescent="0.25">
      <c r="A815" t="s">
        <v>1836</v>
      </c>
    </row>
    <row r="816" spans="1:1" x14ac:dyDescent="0.25">
      <c r="A816" t="s">
        <v>1837</v>
      </c>
    </row>
    <row r="817" spans="1:1" x14ac:dyDescent="0.25">
      <c r="A817" t="s">
        <v>1838</v>
      </c>
    </row>
    <row r="818" spans="1:1" x14ac:dyDescent="0.25">
      <c r="A818" t="s">
        <v>1839</v>
      </c>
    </row>
    <row r="819" spans="1:1" x14ac:dyDescent="0.25">
      <c r="A819" t="s">
        <v>1840</v>
      </c>
    </row>
    <row r="820" spans="1:1" x14ac:dyDescent="0.25">
      <c r="A820" t="s">
        <v>1841</v>
      </c>
    </row>
    <row r="821" spans="1:1" x14ac:dyDescent="0.25">
      <c r="A821" t="s">
        <v>1842</v>
      </c>
    </row>
    <row r="822" spans="1:1" x14ac:dyDescent="0.25">
      <c r="A822" t="s">
        <v>1843</v>
      </c>
    </row>
    <row r="823" spans="1:1" x14ac:dyDescent="0.25">
      <c r="A823" t="s">
        <v>1844</v>
      </c>
    </row>
    <row r="824" spans="1:1" x14ac:dyDescent="0.25">
      <c r="A824" t="s">
        <v>1845</v>
      </c>
    </row>
    <row r="825" spans="1:1" x14ac:dyDescent="0.25">
      <c r="A825" t="s">
        <v>1846</v>
      </c>
    </row>
    <row r="826" spans="1:1" x14ac:dyDescent="0.25">
      <c r="A826" t="s">
        <v>1847</v>
      </c>
    </row>
    <row r="827" spans="1:1" x14ac:dyDescent="0.25">
      <c r="A827" t="s">
        <v>1848</v>
      </c>
    </row>
    <row r="828" spans="1:1" x14ac:dyDescent="0.25">
      <c r="A828" t="s">
        <v>1849</v>
      </c>
    </row>
    <row r="829" spans="1:1" x14ac:dyDescent="0.25">
      <c r="A829" t="s">
        <v>1850</v>
      </c>
    </row>
    <row r="830" spans="1:1" x14ac:dyDescent="0.25">
      <c r="A830" t="s">
        <v>1851</v>
      </c>
    </row>
    <row r="831" spans="1:1" x14ac:dyDescent="0.25">
      <c r="A831" t="s">
        <v>1852</v>
      </c>
    </row>
    <row r="832" spans="1:1" x14ac:dyDescent="0.25">
      <c r="A832" t="s">
        <v>1853</v>
      </c>
    </row>
    <row r="833" spans="1:1" x14ac:dyDescent="0.25">
      <c r="A833" t="s">
        <v>1854</v>
      </c>
    </row>
    <row r="834" spans="1:1" x14ac:dyDescent="0.25">
      <c r="A834" t="s">
        <v>1855</v>
      </c>
    </row>
    <row r="835" spans="1:1" x14ac:dyDescent="0.25">
      <c r="A835" t="s">
        <v>1856</v>
      </c>
    </row>
    <row r="836" spans="1:1" x14ac:dyDescent="0.25">
      <c r="A836" t="s">
        <v>1857</v>
      </c>
    </row>
    <row r="837" spans="1:1" x14ac:dyDescent="0.25">
      <c r="A837" t="s">
        <v>1858</v>
      </c>
    </row>
    <row r="838" spans="1:1" x14ac:dyDescent="0.25">
      <c r="A838" t="s">
        <v>1859</v>
      </c>
    </row>
    <row r="839" spans="1:1" x14ac:dyDescent="0.25">
      <c r="A839" t="s">
        <v>1860</v>
      </c>
    </row>
    <row r="840" spans="1:1" x14ac:dyDescent="0.25">
      <c r="A840" t="s">
        <v>1861</v>
      </c>
    </row>
    <row r="841" spans="1:1" x14ac:dyDescent="0.25">
      <c r="A841" t="s">
        <v>1862</v>
      </c>
    </row>
    <row r="842" spans="1:1" x14ac:dyDescent="0.25">
      <c r="A842" t="s">
        <v>1863</v>
      </c>
    </row>
    <row r="843" spans="1:1" x14ac:dyDescent="0.25">
      <c r="A843" t="s">
        <v>1864</v>
      </c>
    </row>
    <row r="844" spans="1:1" x14ac:dyDescent="0.25">
      <c r="A844" t="s">
        <v>1865</v>
      </c>
    </row>
    <row r="845" spans="1:1" x14ac:dyDescent="0.25">
      <c r="A845" t="s">
        <v>1866</v>
      </c>
    </row>
    <row r="846" spans="1:1" x14ac:dyDescent="0.25">
      <c r="A846" t="s">
        <v>1867</v>
      </c>
    </row>
    <row r="847" spans="1:1" x14ac:dyDescent="0.25">
      <c r="A847" t="s">
        <v>1868</v>
      </c>
    </row>
    <row r="848" spans="1:1" x14ac:dyDescent="0.25">
      <c r="A848" t="s">
        <v>1869</v>
      </c>
    </row>
    <row r="849" spans="1:1" x14ac:dyDescent="0.25">
      <c r="A849" t="s">
        <v>1870</v>
      </c>
    </row>
    <row r="850" spans="1:1" x14ac:dyDescent="0.25">
      <c r="A850" t="s">
        <v>1871</v>
      </c>
    </row>
    <row r="851" spans="1:1" x14ac:dyDescent="0.25">
      <c r="A851" t="s">
        <v>1872</v>
      </c>
    </row>
    <row r="852" spans="1:1" x14ac:dyDescent="0.25">
      <c r="A852" t="s">
        <v>1873</v>
      </c>
    </row>
    <row r="853" spans="1:1" x14ac:dyDescent="0.25">
      <c r="A853" t="s">
        <v>1874</v>
      </c>
    </row>
    <row r="854" spans="1:1" x14ac:dyDescent="0.25">
      <c r="A854" t="s">
        <v>1875</v>
      </c>
    </row>
    <row r="855" spans="1:1" x14ac:dyDescent="0.25">
      <c r="A855" t="s">
        <v>1876</v>
      </c>
    </row>
    <row r="856" spans="1:1" x14ac:dyDescent="0.25">
      <c r="A856" t="s">
        <v>1877</v>
      </c>
    </row>
    <row r="857" spans="1:1" x14ac:dyDescent="0.25">
      <c r="A857" t="s">
        <v>1878</v>
      </c>
    </row>
    <row r="858" spans="1:1" x14ac:dyDescent="0.25">
      <c r="A858" t="s">
        <v>1879</v>
      </c>
    </row>
    <row r="859" spans="1:1" x14ac:dyDescent="0.25">
      <c r="A859" t="s">
        <v>1880</v>
      </c>
    </row>
    <row r="860" spans="1:1" x14ac:dyDescent="0.25">
      <c r="A860" t="s">
        <v>1881</v>
      </c>
    </row>
    <row r="861" spans="1:1" x14ac:dyDescent="0.25">
      <c r="A861" t="s">
        <v>1882</v>
      </c>
    </row>
    <row r="862" spans="1:1" x14ac:dyDescent="0.25">
      <c r="A862" t="s">
        <v>1883</v>
      </c>
    </row>
    <row r="863" spans="1:1" x14ac:dyDescent="0.25">
      <c r="A863" t="s">
        <v>1884</v>
      </c>
    </row>
    <row r="864" spans="1:1" x14ac:dyDescent="0.25">
      <c r="A864" t="s">
        <v>1885</v>
      </c>
    </row>
    <row r="865" spans="1:1" x14ac:dyDescent="0.25">
      <c r="A865" t="s">
        <v>1886</v>
      </c>
    </row>
    <row r="866" spans="1:1" x14ac:dyDescent="0.25">
      <c r="A866" t="s">
        <v>1887</v>
      </c>
    </row>
    <row r="867" spans="1:1" x14ac:dyDescent="0.25">
      <c r="A867" t="s">
        <v>1888</v>
      </c>
    </row>
    <row r="868" spans="1:1" x14ac:dyDescent="0.25">
      <c r="A868" t="s">
        <v>1889</v>
      </c>
    </row>
    <row r="869" spans="1:1" x14ac:dyDescent="0.25">
      <c r="A869" t="s">
        <v>1890</v>
      </c>
    </row>
    <row r="870" spans="1:1" x14ac:dyDescent="0.25">
      <c r="A870" t="s">
        <v>1891</v>
      </c>
    </row>
    <row r="871" spans="1:1" x14ac:dyDescent="0.25">
      <c r="A871" t="s">
        <v>1892</v>
      </c>
    </row>
    <row r="872" spans="1:1" x14ac:dyDescent="0.25">
      <c r="A872" t="s">
        <v>1893</v>
      </c>
    </row>
    <row r="873" spans="1:1" x14ac:dyDescent="0.25">
      <c r="A873" t="s">
        <v>1894</v>
      </c>
    </row>
    <row r="874" spans="1:1" x14ac:dyDescent="0.25">
      <c r="A874" t="s">
        <v>1895</v>
      </c>
    </row>
    <row r="875" spans="1:1" x14ac:dyDescent="0.25">
      <c r="A875" t="s">
        <v>1896</v>
      </c>
    </row>
    <row r="876" spans="1:1" x14ac:dyDescent="0.25">
      <c r="A876" t="s">
        <v>1897</v>
      </c>
    </row>
    <row r="877" spans="1:1" x14ac:dyDescent="0.25">
      <c r="A877" t="s">
        <v>1898</v>
      </c>
    </row>
    <row r="878" spans="1:1" x14ac:dyDescent="0.25">
      <c r="A878" t="s">
        <v>1899</v>
      </c>
    </row>
    <row r="879" spans="1:1" x14ac:dyDescent="0.25">
      <c r="A879" t="s">
        <v>1900</v>
      </c>
    </row>
    <row r="880" spans="1:1" x14ac:dyDescent="0.25">
      <c r="A880" t="s">
        <v>1901</v>
      </c>
    </row>
    <row r="881" spans="1:1" x14ac:dyDescent="0.25">
      <c r="A881" t="s">
        <v>1902</v>
      </c>
    </row>
    <row r="882" spans="1:1" x14ac:dyDescent="0.25">
      <c r="A882" t="s">
        <v>1903</v>
      </c>
    </row>
    <row r="883" spans="1:1" x14ac:dyDescent="0.25">
      <c r="A883" t="s">
        <v>1904</v>
      </c>
    </row>
    <row r="884" spans="1:1" x14ac:dyDescent="0.25">
      <c r="A884" t="s">
        <v>1905</v>
      </c>
    </row>
    <row r="885" spans="1:1" x14ac:dyDescent="0.25">
      <c r="A885" t="s">
        <v>1906</v>
      </c>
    </row>
    <row r="886" spans="1:1" x14ac:dyDescent="0.25">
      <c r="A886" t="s">
        <v>1907</v>
      </c>
    </row>
    <row r="887" spans="1:1" x14ac:dyDescent="0.25">
      <c r="A887" t="s">
        <v>1908</v>
      </c>
    </row>
    <row r="888" spans="1:1" x14ac:dyDescent="0.25">
      <c r="A888" t="s">
        <v>1909</v>
      </c>
    </row>
    <row r="889" spans="1:1" x14ac:dyDescent="0.25">
      <c r="A889" t="s">
        <v>1910</v>
      </c>
    </row>
    <row r="890" spans="1:1" x14ac:dyDescent="0.25">
      <c r="A890" t="s">
        <v>1911</v>
      </c>
    </row>
    <row r="891" spans="1:1" x14ac:dyDescent="0.25">
      <c r="A891" t="s">
        <v>1912</v>
      </c>
    </row>
    <row r="892" spans="1:1" x14ac:dyDescent="0.25">
      <c r="A892" t="s">
        <v>1913</v>
      </c>
    </row>
    <row r="893" spans="1:1" x14ac:dyDescent="0.25">
      <c r="A893" t="s">
        <v>1914</v>
      </c>
    </row>
    <row r="894" spans="1:1" x14ac:dyDescent="0.25">
      <c r="A894" t="s">
        <v>1915</v>
      </c>
    </row>
    <row r="895" spans="1:1" x14ac:dyDescent="0.25">
      <c r="A895" t="s">
        <v>1916</v>
      </c>
    </row>
    <row r="896" spans="1:1" x14ac:dyDescent="0.25">
      <c r="A896" t="s">
        <v>1917</v>
      </c>
    </row>
    <row r="897" spans="1:1" x14ac:dyDescent="0.25">
      <c r="A897" t="s">
        <v>1918</v>
      </c>
    </row>
    <row r="898" spans="1:1" x14ac:dyDescent="0.25">
      <c r="A898" t="s">
        <v>1919</v>
      </c>
    </row>
    <row r="899" spans="1:1" x14ac:dyDescent="0.25">
      <c r="A899" t="s">
        <v>1920</v>
      </c>
    </row>
    <row r="900" spans="1:1" x14ac:dyDescent="0.25">
      <c r="A900" t="s">
        <v>1921</v>
      </c>
    </row>
    <row r="901" spans="1:1" x14ac:dyDescent="0.25">
      <c r="A901" t="s">
        <v>1922</v>
      </c>
    </row>
    <row r="902" spans="1:1" x14ac:dyDescent="0.25">
      <c r="A902" t="s">
        <v>1923</v>
      </c>
    </row>
    <row r="903" spans="1:1" x14ac:dyDescent="0.25">
      <c r="A903" t="s">
        <v>1924</v>
      </c>
    </row>
    <row r="904" spans="1:1" x14ac:dyDescent="0.25">
      <c r="A904" t="s">
        <v>1925</v>
      </c>
    </row>
    <row r="905" spans="1:1" x14ac:dyDescent="0.25">
      <c r="A905" t="s">
        <v>1926</v>
      </c>
    </row>
    <row r="906" spans="1:1" x14ac:dyDescent="0.25">
      <c r="A906" t="s">
        <v>1927</v>
      </c>
    </row>
    <row r="907" spans="1:1" x14ac:dyDescent="0.25">
      <c r="A907" t="s">
        <v>1928</v>
      </c>
    </row>
    <row r="908" spans="1:1" x14ac:dyDescent="0.25">
      <c r="A908" t="s">
        <v>1929</v>
      </c>
    </row>
    <row r="909" spans="1:1" x14ac:dyDescent="0.25">
      <c r="A909" t="s">
        <v>1930</v>
      </c>
    </row>
    <row r="910" spans="1:1" x14ac:dyDescent="0.25">
      <c r="A910" t="s">
        <v>1931</v>
      </c>
    </row>
    <row r="911" spans="1:1" x14ac:dyDescent="0.25">
      <c r="A911" t="s">
        <v>1932</v>
      </c>
    </row>
    <row r="912" spans="1:1" x14ac:dyDescent="0.25">
      <c r="A912" t="s">
        <v>1933</v>
      </c>
    </row>
    <row r="913" spans="1:1" x14ac:dyDescent="0.25">
      <c r="A913" t="s">
        <v>1934</v>
      </c>
    </row>
    <row r="914" spans="1:1" x14ac:dyDescent="0.25">
      <c r="A914" t="s">
        <v>1935</v>
      </c>
    </row>
    <row r="915" spans="1:1" x14ac:dyDescent="0.25">
      <c r="A915" t="s">
        <v>1936</v>
      </c>
    </row>
    <row r="916" spans="1:1" x14ac:dyDescent="0.25">
      <c r="A916" t="s">
        <v>1937</v>
      </c>
    </row>
    <row r="917" spans="1:1" x14ac:dyDescent="0.25">
      <c r="A917" t="s">
        <v>1938</v>
      </c>
    </row>
    <row r="918" spans="1:1" x14ac:dyDescent="0.25">
      <c r="A918" t="s">
        <v>1939</v>
      </c>
    </row>
    <row r="919" spans="1:1" x14ac:dyDescent="0.25">
      <c r="A919" t="s">
        <v>1940</v>
      </c>
    </row>
    <row r="920" spans="1:1" x14ac:dyDescent="0.25">
      <c r="A920" t="s">
        <v>1941</v>
      </c>
    </row>
    <row r="921" spans="1:1" x14ac:dyDescent="0.25">
      <c r="A921" t="s">
        <v>1942</v>
      </c>
    </row>
    <row r="922" spans="1:1" x14ac:dyDescent="0.25">
      <c r="A922" t="s">
        <v>1943</v>
      </c>
    </row>
    <row r="923" spans="1:1" x14ac:dyDescent="0.25">
      <c r="A923" t="s">
        <v>1944</v>
      </c>
    </row>
    <row r="924" spans="1:1" x14ac:dyDescent="0.25">
      <c r="A924" t="s">
        <v>1945</v>
      </c>
    </row>
    <row r="925" spans="1:1" x14ac:dyDescent="0.25">
      <c r="A925" t="s">
        <v>1946</v>
      </c>
    </row>
    <row r="926" spans="1:1" x14ac:dyDescent="0.25">
      <c r="A926" t="s">
        <v>1947</v>
      </c>
    </row>
    <row r="927" spans="1:1" x14ac:dyDescent="0.25">
      <c r="A927" t="s">
        <v>1948</v>
      </c>
    </row>
    <row r="928" spans="1:1" x14ac:dyDescent="0.25">
      <c r="A928" t="s">
        <v>1949</v>
      </c>
    </row>
    <row r="929" spans="1:1" x14ac:dyDescent="0.25">
      <c r="A929" t="s">
        <v>1950</v>
      </c>
    </row>
    <row r="930" spans="1:1" x14ac:dyDescent="0.25">
      <c r="A930" t="s">
        <v>1951</v>
      </c>
    </row>
    <row r="931" spans="1:1" x14ac:dyDescent="0.25">
      <c r="A931" t="s">
        <v>1952</v>
      </c>
    </row>
    <row r="932" spans="1:1" x14ac:dyDescent="0.25">
      <c r="A932" t="s">
        <v>1953</v>
      </c>
    </row>
    <row r="933" spans="1:1" x14ac:dyDescent="0.25">
      <c r="A933" t="s">
        <v>1954</v>
      </c>
    </row>
    <row r="934" spans="1:1" x14ac:dyDescent="0.25">
      <c r="A934" t="s">
        <v>1955</v>
      </c>
    </row>
    <row r="935" spans="1:1" x14ac:dyDescent="0.25">
      <c r="A935" t="s">
        <v>1956</v>
      </c>
    </row>
    <row r="936" spans="1:1" x14ac:dyDescent="0.25">
      <c r="A936" t="s">
        <v>1957</v>
      </c>
    </row>
    <row r="937" spans="1:1" x14ac:dyDescent="0.25">
      <c r="A937" t="s">
        <v>1958</v>
      </c>
    </row>
    <row r="938" spans="1:1" x14ac:dyDescent="0.25">
      <c r="A938" t="s">
        <v>1959</v>
      </c>
    </row>
    <row r="939" spans="1:1" x14ac:dyDescent="0.25">
      <c r="A939" t="s">
        <v>1960</v>
      </c>
    </row>
    <row r="940" spans="1:1" x14ac:dyDescent="0.25">
      <c r="A940" t="s">
        <v>1961</v>
      </c>
    </row>
    <row r="941" spans="1:1" x14ac:dyDescent="0.25">
      <c r="A941" t="s">
        <v>1962</v>
      </c>
    </row>
    <row r="942" spans="1:1" x14ac:dyDescent="0.25">
      <c r="A942" t="s">
        <v>1963</v>
      </c>
    </row>
    <row r="943" spans="1:1" x14ac:dyDescent="0.25">
      <c r="A943" t="s">
        <v>1444</v>
      </c>
    </row>
    <row r="944" spans="1:1" x14ac:dyDescent="0.25">
      <c r="A944" t="s">
        <v>1964</v>
      </c>
    </row>
    <row r="945" spans="1:1" x14ac:dyDescent="0.25">
      <c r="A945" t="s">
        <v>1965</v>
      </c>
    </row>
    <row r="946" spans="1:1" x14ac:dyDescent="0.25">
      <c r="A946" t="s">
        <v>1966</v>
      </c>
    </row>
    <row r="947" spans="1:1" x14ac:dyDescent="0.25">
      <c r="A947" t="s">
        <v>1967</v>
      </c>
    </row>
    <row r="948" spans="1:1" x14ac:dyDescent="0.25">
      <c r="A948" t="s">
        <v>1968</v>
      </c>
    </row>
    <row r="949" spans="1:1" x14ac:dyDescent="0.25">
      <c r="A949" t="s">
        <v>1969</v>
      </c>
    </row>
    <row r="950" spans="1:1" x14ac:dyDescent="0.25">
      <c r="A950" t="s">
        <v>1970</v>
      </c>
    </row>
    <row r="951" spans="1:1" x14ac:dyDescent="0.25">
      <c r="A951" t="s">
        <v>1971</v>
      </c>
    </row>
    <row r="952" spans="1:1" x14ac:dyDescent="0.25">
      <c r="A952" t="s">
        <v>1972</v>
      </c>
    </row>
    <row r="953" spans="1:1" x14ac:dyDescent="0.25">
      <c r="A953" t="s">
        <v>1973</v>
      </c>
    </row>
    <row r="954" spans="1:1" x14ac:dyDescent="0.25">
      <c r="A954" t="s">
        <v>1974</v>
      </c>
    </row>
    <row r="955" spans="1:1" x14ac:dyDescent="0.25">
      <c r="A955" t="s">
        <v>1975</v>
      </c>
    </row>
    <row r="956" spans="1:1" x14ac:dyDescent="0.25">
      <c r="A956" t="s">
        <v>1976</v>
      </c>
    </row>
    <row r="957" spans="1:1" x14ac:dyDescent="0.25">
      <c r="A957" t="s">
        <v>1977</v>
      </c>
    </row>
    <row r="958" spans="1:1" x14ac:dyDescent="0.25">
      <c r="A958" t="s">
        <v>1978</v>
      </c>
    </row>
    <row r="959" spans="1:1" x14ac:dyDescent="0.25">
      <c r="A959" t="s">
        <v>1979</v>
      </c>
    </row>
    <row r="960" spans="1:1" x14ac:dyDescent="0.25">
      <c r="A960" t="s">
        <v>1980</v>
      </c>
    </row>
    <row r="961" spans="1:1" x14ac:dyDescent="0.25">
      <c r="A961" t="s">
        <v>1981</v>
      </c>
    </row>
    <row r="962" spans="1:1" x14ac:dyDescent="0.25">
      <c r="A962" t="s">
        <v>1982</v>
      </c>
    </row>
    <row r="963" spans="1:1" x14ac:dyDescent="0.25">
      <c r="A963" t="s">
        <v>1983</v>
      </c>
    </row>
    <row r="964" spans="1:1" x14ac:dyDescent="0.25">
      <c r="A964" t="s">
        <v>1984</v>
      </c>
    </row>
    <row r="965" spans="1:1" x14ac:dyDescent="0.25">
      <c r="A965" t="s">
        <v>1985</v>
      </c>
    </row>
    <row r="966" spans="1:1" x14ac:dyDescent="0.25">
      <c r="A966" t="s">
        <v>1986</v>
      </c>
    </row>
    <row r="967" spans="1:1" x14ac:dyDescent="0.25">
      <c r="A967" t="s">
        <v>1449</v>
      </c>
    </row>
    <row r="968" spans="1:1" x14ac:dyDescent="0.25">
      <c r="A968" t="s">
        <v>1987</v>
      </c>
    </row>
    <row r="969" spans="1:1" x14ac:dyDescent="0.25">
      <c r="A969" t="s">
        <v>1988</v>
      </c>
    </row>
    <row r="970" spans="1:1" x14ac:dyDescent="0.25">
      <c r="A970" t="s">
        <v>1989</v>
      </c>
    </row>
    <row r="971" spans="1:1" x14ac:dyDescent="0.25">
      <c r="A971" t="s">
        <v>1990</v>
      </c>
    </row>
    <row r="972" spans="1:1" x14ac:dyDescent="0.25">
      <c r="A972" t="s">
        <v>1991</v>
      </c>
    </row>
    <row r="973" spans="1:1" x14ac:dyDescent="0.25">
      <c r="A973" t="s">
        <v>1992</v>
      </c>
    </row>
    <row r="974" spans="1:1" x14ac:dyDescent="0.25">
      <c r="A974" t="s">
        <v>1993</v>
      </c>
    </row>
    <row r="975" spans="1:1" x14ac:dyDescent="0.25">
      <c r="A975" t="s">
        <v>1994</v>
      </c>
    </row>
    <row r="976" spans="1:1" x14ac:dyDescent="0.25">
      <c r="A976" t="s">
        <v>1995</v>
      </c>
    </row>
    <row r="977" spans="1:1" x14ac:dyDescent="0.25">
      <c r="A977" t="s">
        <v>1996</v>
      </c>
    </row>
    <row r="978" spans="1:1" x14ac:dyDescent="0.25">
      <c r="A978" t="s">
        <v>1997</v>
      </c>
    </row>
    <row r="979" spans="1:1" x14ac:dyDescent="0.25">
      <c r="A979" t="s">
        <v>1998</v>
      </c>
    </row>
    <row r="980" spans="1:1" x14ac:dyDescent="0.25">
      <c r="A980" t="s">
        <v>1999</v>
      </c>
    </row>
    <row r="981" spans="1:1" x14ac:dyDescent="0.25">
      <c r="A981" t="s">
        <v>2000</v>
      </c>
    </row>
    <row r="982" spans="1:1" x14ac:dyDescent="0.25">
      <c r="A982" t="s">
        <v>2001</v>
      </c>
    </row>
    <row r="983" spans="1:1" x14ac:dyDescent="0.25">
      <c r="A983" t="s">
        <v>2002</v>
      </c>
    </row>
    <row r="984" spans="1:1" x14ac:dyDescent="0.25">
      <c r="A984" t="s">
        <v>2003</v>
      </c>
    </row>
    <row r="985" spans="1:1" x14ac:dyDescent="0.25">
      <c r="A985" t="s">
        <v>2004</v>
      </c>
    </row>
    <row r="986" spans="1:1" x14ac:dyDescent="0.25">
      <c r="A986" t="s">
        <v>2005</v>
      </c>
    </row>
    <row r="987" spans="1:1" x14ac:dyDescent="0.25">
      <c r="A987" t="s">
        <v>2006</v>
      </c>
    </row>
    <row r="988" spans="1:1" x14ac:dyDescent="0.25">
      <c r="A988" t="s">
        <v>2007</v>
      </c>
    </row>
    <row r="989" spans="1:1" x14ac:dyDescent="0.25">
      <c r="A989" t="s">
        <v>2008</v>
      </c>
    </row>
    <row r="990" spans="1:1" x14ac:dyDescent="0.25">
      <c r="A990" t="s">
        <v>2009</v>
      </c>
    </row>
    <row r="991" spans="1:1" x14ac:dyDescent="0.25">
      <c r="A991" t="s">
        <v>2010</v>
      </c>
    </row>
    <row r="992" spans="1:1" x14ac:dyDescent="0.25">
      <c r="A992" t="s">
        <v>2011</v>
      </c>
    </row>
    <row r="993" spans="1:1" x14ac:dyDescent="0.25">
      <c r="A993" t="s">
        <v>2012</v>
      </c>
    </row>
    <row r="994" spans="1:1" x14ac:dyDescent="0.25">
      <c r="A994" t="s">
        <v>2013</v>
      </c>
    </row>
    <row r="995" spans="1:1" x14ac:dyDescent="0.25">
      <c r="A995" t="s">
        <v>2014</v>
      </c>
    </row>
    <row r="996" spans="1:1" x14ac:dyDescent="0.25">
      <c r="A996" t="s">
        <v>2015</v>
      </c>
    </row>
    <row r="997" spans="1:1" x14ac:dyDescent="0.25">
      <c r="A997" t="s">
        <v>2016</v>
      </c>
    </row>
    <row r="998" spans="1:1" x14ac:dyDescent="0.25">
      <c r="A998" t="s">
        <v>2017</v>
      </c>
    </row>
    <row r="999" spans="1:1" x14ac:dyDescent="0.25">
      <c r="A999" t="s">
        <v>2018</v>
      </c>
    </row>
    <row r="1000" spans="1:1" x14ac:dyDescent="0.25">
      <c r="A1000" t="s">
        <v>2019</v>
      </c>
    </row>
    <row r="1001" spans="1:1" x14ac:dyDescent="0.25">
      <c r="A1001" t="s">
        <v>2020</v>
      </c>
    </row>
    <row r="1002" spans="1:1" x14ac:dyDescent="0.25">
      <c r="A1002" t="s">
        <v>2021</v>
      </c>
    </row>
    <row r="1003" spans="1:1" x14ac:dyDescent="0.25">
      <c r="A1003" t="s">
        <v>2022</v>
      </c>
    </row>
    <row r="1004" spans="1:1" x14ac:dyDescent="0.25">
      <c r="A1004" t="s">
        <v>2023</v>
      </c>
    </row>
    <row r="1005" spans="1:1" x14ac:dyDescent="0.25">
      <c r="A1005" t="s">
        <v>2024</v>
      </c>
    </row>
    <row r="1006" spans="1:1" x14ac:dyDescent="0.25">
      <c r="A1006" t="s">
        <v>2025</v>
      </c>
    </row>
    <row r="1007" spans="1:1" x14ac:dyDescent="0.25">
      <c r="A1007" t="s">
        <v>2026</v>
      </c>
    </row>
    <row r="1008" spans="1:1" x14ac:dyDescent="0.25">
      <c r="A1008" t="s">
        <v>2027</v>
      </c>
    </row>
    <row r="1009" spans="1:1" x14ac:dyDescent="0.25">
      <c r="A1009" t="s">
        <v>2028</v>
      </c>
    </row>
    <row r="1010" spans="1:1" x14ac:dyDescent="0.25">
      <c r="A1010" t="s">
        <v>2029</v>
      </c>
    </row>
    <row r="1011" spans="1:1" x14ac:dyDescent="0.25">
      <c r="A1011" t="s">
        <v>2030</v>
      </c>
    </row>
    <row r="1012" spans="1:1" x14ac:dyDescent="0.25">
      <c r="A1012" t="s">
        <v>2031</v>
      </c>
    </row>
    <row r="1013" spans="1:1" x14ac:dyDescent="0.25">
      <c r="A1013" t="s">
        <v>2032</v>
      </c>
    </row>
    <row r="1014" spans="1:1" x14ac:dyDescent="0.25">
      <c r="A1014" t="s">
        <v>2033</v>
      </c>
    </row>
    <row r="1015" spans="1:1" x14ac:dyDescent="0.25">
      <c r="A1015" t="s">
        <v>2034</v>
      </c>
    </row>
    <row r="1016" spans="1:1" x14ac:dyDescent="0.25">
      <c r="A1016" t="s">
        <v>2035</v>
      </c>
    </row>
    <row r="1017" spans="1:1" x14ac:dyDescent="0.25">
      <c r="A1017" t="s">
        <v>2036</v>
      </c>
    </row>
    <row r="1018" spans="1:1" x14ac:dyDescent="0.25">
      <c r="A1018" t="s">
        <v>2037</v>
      </c>
    </row>
    <row r="1019" spans="1:1" x14ac:dyDescent="0.25">
      <c r="A1019" t="s">
        <v>2038</v>
      </c>
    </row>
    <row r="1020" spans="1:1" x14ac:dyDescent="0.25">
      <c r="A1020" t="s">
        <v>2039</v>
      </c>
    </row>
    <row r="1021" spans="1:1" x14ac:dyDescent="0.25">
      <c r="A1021" t="s">
        <v>2040</v>
      </c>
    </row>
    <row r="1022" spans="1:1" x14ac:dyDescent="0.25">
      <c r="A1022" t="s">
        <v>2041</v>
      </c>
    </row>
    <row r="1023" spans="1:1" x14ac:dyDescent="0.25">
      <c r="A1023" t="s">
        <v>2042</v>
      </c>
    </row>
    <row r="1024" spans="1:1" x14ac:dyDescent="0.25">
      <c r="A1024" t="s">
        <v>2043</v>
      </c>
    </row>
    <row r="1025" spans="1:1" x14ac:dyDescent="0.25">
      <c r="A1025" t="s">
        <v>2044</v>
      </c>
    </row>
    <row r="1026" spans="1:1" x14ac:dyDescent="0.25">
      <c r="A1026" t="s">
        <v>2045</v>
      </c>
    </row>
    <row r="1027" spans="1:1" x14ac:dyDescent="0.25">
      <c r="A1027" t="s">
        <v>2046</v>
      </c>
    </row>
    <row r="1028" spans="1:1" x14ac:dyDescent="0.25">
      <c r="A1028" t="s">
        <v>2047</v>
      </c>
    </row>
    <row r="1029" spans="1:1" x14ac:dyDescent="0.25">
      <c r="A1029" t="s">
        <v>2048</v>
      </c>
    </row>
    <row r="1030" spans="1:1" x14ac:dyDescent="0.25">
      <c r="A1030" t="s">
        <v>2049</v>
      </c>
    </row>
    <row r="1031" spans="1:1" x14ac:dyDescent="0.25">
      <c r="A1031" t="s">
        <v>2050</v>
      </c>
    </row>
    <row r="1032" spans="1:1" x14ac:dyDescent="0.25">
      <c r="A1032" t="s">
        <v>2051</v>
      </c>
    </row>
    <row r="1033" spans="1:1" x14ac:dyDescent="0.25">
      <c r="A1033" t="s">
        <v>2052</v>
      </c>
    </row>
    <row r="1034" spans="1:1" x14ac:dyDescent="0.25">
      <c r="A1034" t="s">
        <v>2053</v>
      </c>
    </row>
    <row r="1035" spans="1:1" x14ac:dyDescent="0.25">
      <c r="A1035" t="s">
        <v>2054</v>
      </c>
    </row>
    <row r="1036" spans="1:1" x14ac:dyDescent="0.25">
      <c r="A1036" t="s">
        <v>2055</v>
      </c>
    </row>
    <row r="1037" spans="1:1" x14ac:dyDescent="0.25">
      <c r="A1037" t="s">
        <v>2056</v>
      </c>
    </row>
    <row r="1038" spans="1:1" x14ac:dyDescent="0.25">
      <c r="A1038" t="s">
        <v>2057</v>
      </c>
    </row>
    <row r="1039" spans="1:1" x14ac:dyDescent="0.25">
      <c r="A1039" t="s">
        <v>2058</v>
      </c>
    </row>
    <row r="1040" spans="1:1" x14ac:dyDescent="0.25">
      <c r="A1040" t="s">
        <v>2059</v>
      </c>
    </row>
    <row r="1041" spans="1:1" x14ac:dyDescent="0.25">
      <c r="A1041" t="s">
        <v>2060</v>
      </c>
    </row>
    <row r="1042" spans="1:1" x14ac:dyDescent="0.25">
      <c r="A1042" t="s">
        <v>2061</v>
      </c>
    </row>
    <row r="1043" spans="1:1" x14ac:dyDescent="0.25">
      <c r="A1043" t="s">
        <v>2062</v>
      </c>
    </row>
    <row r="1044" spans="1:1" x14ac:dyDescent="0.25">
      <c r="A1044" t="s">
        <v>2063</v>
      </c>
    </row>
    <row r="1045" spans="1:1" x14ac:dyDescent="0.25">
      <c r="A1045" t="s">
        <v>2064</v>
      </c>
    </row>
    <row r="1046" spans="1:1" x14ac:dyDescent="0.25">
      <c r="A1046" t="s">
        <v>2065</v>
      </c>
    </row>
    <row r="1047" spans="1:1" x14ac:dyDescent="0.25">
      <c r="A1047" t="s">
        <v>2066</v>
      </c>
    </row>
    <row r="1048" spans="1:1" x14ac:dyDescent="0.25">
      <c r="A1048" t="s">
        <v>2067</v>
      </c>
    </row>
    <row r="1049" spans="1:1" x14ac:dyDescent="0.25">
      <c r="A1049" t="s">
        <v>2068</v>
      </c>
    </row>
    <row r="1050" spans="1:1" x14ac:dyDescent="0.25">
      <c r="A1050" t="s">
        <v>2069</v>
      </c>
    </row>
    <row r="1051" spans="1:1" x14ac:dyDescent="0.25">
      <c r="A1051" t="s">
        <v>2070</v>
      </c>
    </row>
    <row r="1052" spans="1:1" x14ac:dyDescent="0.25">
      <c r="A1052" t="s">
        <v>2071</v>
      </c>
    </row>
    <row r="1053" spans="1:1" x14ac:dyDescent="0.25">
      <c r="A1053" t="s">
        <v>2072</v>
      </c>
    </row>
    <row r="1054" spans="1:1" x14ac:dyDescent="0.25">
      <c r="A1054" t="s">
        <v>2073</v>
      </c>
    </row>
    <row r="1055" spans="1:1" x14ac:dyDescent="0.25">
      <c r="A1055" t="s">
        <v>2074</v>
      </c>
    </row>
    <row r="1056" spans="1:1" x14ac:dyDescent="0.25">
      <c r="A1056" t="s">
        <v>2075</v>
      </c>
    </row>
    <row r="1057" spans="1:1" x14ac:dyDescent="0.25">
      <c r="A1057" t="s">
        <v>2076</v>
      </c>
    </row>
    <row r="1058" spans="1:1" x14ac:dyDescent="0.25">
      <c r="A1058" t="s">
        <v>2077</v>
      </c>
    </row>
    <row r="1059" spans="1:1" x14ac:dyDescent="0.25">
      <c r="A1059" t="s">
        <v>2078</v>
      </c>
    </row>
    <row r="1060" spans="1:1" x14ac:dyDescent="0.25">
      <c r="A1060" t="s">
        <v>2079</v>
      </c>
    </row>
    <row r="1061" spans="1:1" x14ac:dyDescent="0.25">
      <c r="A1061" t="s">
        <v>2080</v>
      </c>
    </row>
    <row r="1062" spans="1:1" x14ac:dyDescent="0.25">
      <c r="A1062" t="s">
        <v>2081</v>
      </c>
    </row>
    <row r="1063" spans="1:1" x14ac:dyDescent="0.25">
      <c r="A1063" t="s">
        <v>2082</v>
      </c>
    </row>
    <row r="1064" spans="1:1" x14ac:dyDescent="0.25">
      <c r="A1064" t="s">
        <v>2083</v>
      </c>
    </row>
    <row r="1065" spans="1:1" x14ac:dyDescent="0.25">
      <c r="A1065" t="s">
        <v>2084</v>
      </c>
    </row>
    <row r="1066" spans="1:1" x14ac:dyDescent="0.25">
      <c r="A1066" t="s">
        <v>2085</v>
      </c>
    </row>
    <row r="1067" spans="1:1" x14ac:dyDescent="0.25">
      <c r="A1067" t="s">
        <v>2086</v>
      </c>
    </row>
    <row r="1068" spans="1:1" x14ac:dyDescent="0.25">
      <c r="A1068" t="s">
        <v>2087</v>
      </c>
    </row>
    <row r="1069" spans="1:1" x14ac:dyDescent="0.25">
      <c r="A1069" t="s">
        <v>2088</v>
      </c>
    </row>
    <row r="1070" spans="1:1" x14ac:dyDescent="0.25">
      <c r="A1070" t="s">
        <v>2089</v>
      </c>
    </row>
    <row r="1071" spans="1:1" x14ac:dyDescent="0.25">
      <c r="A1071" t="s">
        <v>2090</v>
      </c>
    </row>
    <row r="1072" spans="1:1" x14ac:dyDescent="0.25">
      <c r="A1072" t="s">
        <v>2091</v>
      </c>
    </row>
    <row r="1073" spans="1:1" x14ac:dyDescent="0.25">
      <c r="A1073" t="s">
        <v>2092</v>
      </c>
    </row>
    <row r="1074" spans="1:1" x14ac:dyDescent="0.25">
      <c r="A1074" t="s">
        <v>2093</v>
      </c>
    </row>
    <row r="1075" spans="1:1" x14ac:dyDescent="0.25">
      <c r="A1075" t="s">
        <v>2094</v>
      </c>
    </row>
    <row r="1076" spans="1:1" x14ac:dyDescent="0.25">
      <c r="A1076" t="s">
        <v>2095</v>
      </c>
    </row>
    <row r="1077" spans="1:1" x14ac:dyDescent="0.25">
      <c r="A1077" t="s">
        <v>2096</v>
      </c>
    </row>
    <row r="1078" spans="1:1" x14ac:dyDescent="0.25">
      <c r="A1078" t="s">
        <v>2097</v>
      </c>
    </row>
    <row r="1079" spans="1:1" x14ac:dyDescent="0.25">
      <c r="A1079" t="s">
        <v>2098</v>
      </c>
    </row>
    <row r="1080" spans="1:1" x14ac:dyDescent="0.25">
      <c r="A1080" t="s">
        <v>2099</v>
      </c>
    </row>
    <row r="1081" spans="1:1" x14ac:dyDescent="0.25">
      <c r="A1081" t="s">
        <v>2100</v>
      </c>
    </row>
    <row r="1082" spans="1:1" x14ac:dyDescent="0.25">
      <c r="A1082" t="s">
        <v>2101</v>
      </c>
    </row>
    <row r="1083" spans="1:1" x14ac:dyDescent="0.25">
      <c r="A1083" t="s">
        <v>2102</v>
      </c>
    </row>
    <row r="1084" spans="1:1" x14ac:dyDescent="0.25">
      <c r="A1084" t="s">
        <v>2103</v>
      </c>
    </row>
    <row r="1085" spans="1:1" x14ac:dyDescent="0.25">
      <c r="A1085" t="s">
        <v>2104</v>
      </c>
    </row>
    <row r="1086" spans="1:1" x14ac:dyDescent="0.25">
      <c r="A1086" t="s">
        <v>2105</v>
      </c>
    </row>
    <row r="1087" spans="1:1" x14ac:dyDescent="0.25">
      <c r="A1087" t="s">
        <v>2106</v>
      </c>
    </row>
    <row r="1088" spans="1:1" x14ac:dyDescent="0.25">
      <c r="A1088" t="s">
        <v>2107</v>
      </c>
    </row>
    <row r="1089" spans="1:1" x14ac:dyDescent="0.25">
      <c r="A1089" t="s">
        <v>2108</v>
      </c>
    </row>
    <row r="1090" spans="1:1" x14ac:dyDescent="0.25">
      <c r="A1090" t="s">
        <v>2109</v>
      </c>
    </row>
    <row r="1091" spans="1:1" x14ac:dyDescent="0.25">
      <c r="A1091" t="s">
        <v>2110</v>
      </c>
    </row>
    <row r="1092" spans="1:1" x14ac:dyDescent="0.25">
      <c r="A1092" t="s">
        <v>2111</v>
      </c>
    </row>
    <row r="1093" spans="1:1" x14ac:dyDescent="0.25">
      <c r="A1093" t="s">
        <v>2112</v>
      </c>
    </row>
    <row r="1094" spans="1:1" x14ac:dyDescent="0.25">
      <c r="A1094" t="s">
        <v>2113</v>
      </c>
    </row>
    <row r="1095" spans="1:1" x14ac:dyDescent="0.25">
      <c r="A1095" t="s">
        <v>2114</v>
      </c>
    </row>
    <row r="1096" spans="1:1" x14ac:dyDescent="0.25">
      <c r="A1096" t="s">
        <v>2115</v>
      </c>
    </row>
    <row r="1097" spans="1:1" x14ac:dyDescent="0.25">
      <c r="A1097" t="s">
        <v>2116</v>
      </c>
    </row>
    <row r="1098" spans="1:1" x14ac:dyDescent="0.25">
      <c r="A1098" t="s">
        <v>2117</v>
      </c>
    </row>
    <row r="1099" spans="1:1" x14ac:dyDescent="0.25">
      <c r="A1099" t="s">
        <v>2118</v>
      </c>
    </row>
    <row r="1100" spans="1:1" x14ac:dyDescent="0.25">
      <c r="A1100" t="s">
        <v>2119</v>
      </c>
    </row>
    <row r="1101" spans="1:1" x14ac:dyDescent="0.25">
      <c r="A1101" t="s">
        <v>2120</v>
      </c>
    </row>
    <row r="1102" spans="1:1" x14ac:dyDescent="0.25">
      <c r="A1102" t="s">
        <v>2121</v>
      </c>
    </row>
    <row r="1103" spans="1:1" x14ac:dyDescent="0.25">
      <c r="A1103" t="s">
        <v>2122</v>
      </c>
    </row>
    <row r="1104" spans="1:1" x14ac:dyDescent="0.25">
      <c r="A1104" t="s">
        <v>2123</v>
      </c>
    </row>
    <row r="1105" spans="1:1" x14ac:dyDescent="0.25">
      <c r="A1105" t="s">
        <v>2124</v>
      </c>
    </row>
    <row r="1106" spans="1:1" x14ac:dyDescent="0.25">
      <c r="A1106" t="s">
        <v>2125</v>
      </c>
    </row>
    <row r="1107" spans="1:1" x14ac:dyDescent="0.25">
      <c r="A1107" t="s">
        <v>2126</v>
      </c>
    </row>
    <row r="1108" spans="1:1" x14ac:dyDescent="0.25">
      <c r="A1108" t="s">
        <v>2127</v>
      </c>
    </row>
    <row r="1109" spans="1:1" x14ac:dyDescent="0.25">
      <c r="A1109" t="s">
        <v>2128</v>
      </c>
    </row>
    <row r="1110" spans="1:1" x14ac:dyDescent="0.25">
      <c r="A1110" t="s">
        <v>2129</v>
      </c>
    </row>
    <row r="1111" spans="1:1" x14ac:dyDescent="0.25">
      <c r="A1111" t="s">
        <v>2130</v>
      </c>
    </row>
    <row r="1112" spans="1:1" x14ac:dyDescent="0.25">
      <c r="A1112" t="s">
        <v>2131</v>
      </c>
    </row>
    <row r="1113" spans="1:1" x14ac:dyDescent="0.25">
      <c r="A1113" t="s">
        <v>2132</v>
      </c>
    </row>
    <row r="1114" spans="1:1" x14ac:dyDescent="0.25">
      <c r="A1114" t="s">
        <v>2133</v>
      </c>
    </row>
    <row r="1115" spans="1:1" x14ac:dyDescent="0.25">
      <c r="A1115" t="s">
        <v>2134</v>
      </c>
    </row>
    <row r="1116" spans="1:1" x14ac:dyDescent="0.25">
      <c r="A1116" t="s">
        <v>2135</v>
      </c>
    </row>
    <row r="1117" spans="1:1" x14ac:dyDescent="0.25">
      <c r="A1117" t="s">
        <v>2136</v>
      </c>
    </row>
    <row r="1118" spans="1:1" x14ac:dyDescent="0.25">
      <c r="A1118" t="s">
        <v>2137</v>
      </c>
    </row>
    <row r="1119" spans="1:1" x14ac:dyDescent="0.25">
      <c r="A1119" t="s">
        <v>2138</v>
      </c>
    </row>
    <row r="1120" spans="1:1" x14ac:dyDescent="0.25">
      <c r="A1120" t="s">
        <v>2139</v>
      </c>
    </row>
    <row r="1121" spans="1:1" x14ac:dyDescent="0.25">
      <c r="A1121" t="s">
        <v>2140</v>
      </c>
    </row>
    <row r="1122" spans="1:1" x14ac:dyDescent="0.25">
      <c r="A1122" t="s">
        <v>2141</v>
      </c>
    </row>
    <row r="1123" spans="1:1" x14ac:dyDescent="0.25">
      <c r="A1123" t="s">
        <v>2142</v>
      </c>
    </row>
    <row r="1124" spans="1:1" x14ac:dyDescent="0.25">
      <c r="A1124" t="s">
        <v>2143</v>
      </c>
    </row>
    <row r="1125" spans="1:1" x14ac:dyDescent="0.25">
      <c r="A1125" t="s">
        <v>2144</v>
      </c>
    </row>
    <row r="1126" spans="1:1" x14ac:dyDescent="0.25">
      <c r="A1126" t="s">
        <v>2145</v>
      </c>
    </row>
    <row r="1127" spans="1:1" x14ac:dyDescent="0.25">
      <c r="A1127" t="s">
        <v>2146</v>
      </c>
    </row>
    <row r="1128" spans="1:1" x14ac:dyDescent="0.25">
      <c r="A1128" t="s">
        <v>2147</v>
      </c>
    </row>
    <row r="1129" spans="1:1" x14ac:dyDescent="0.25">
      <c r="A1129" t="s">
        <v>2148</v>
      </c>
    </row>
    <row r="1130" spans="1:1" x14ac:dyDescent="0.25">
      <c r="A1130" t="s">
        <v>2149</v>
      </c>
    </row>
    <row r="1131" spans="1:1" x14ac:dyDescent="0.25">
      <c r="A1131" t="s">
        <v>2150</v>
      </c>
    </row>
    <row r="1132" spans="1:1" x14ac:dyDescent="0.25">
      <c r="A1132" t="s">
        <v>2151</v>
      </c>
    </row>
    <row r="1133" spans="1:1" x14ac:dyDescent="0.25">
      <c r="A1133" t="s">
        <v>2152</v>
      </c>
    </row>
    <row r="1134" spans="1:1" x14ac:dyDescent="0.25">
      <c r="A1134" t="s">
        <v>2153</v>
      </c>
    </row>
    <row r="1135" spans="1:1" x14ac:dyDescent="0.25">
      <c r="A1135" t="s">
        <v>2154</v>
      </c>
    </row>
    <row r="1136" spans="1:1" x14ac:dyDescent="0.25">
      <c r="A1136" t="s">
        <v>2155</v>
      </c>
    </row>
    <row r="1137" spans="1:1" x14ac:dyDescent="0.25">
      <c r="A1137" t="s">
        <v>2156</v>
      </c>
    </row>
    <row r="1138" spans="1:1" x14ac:dyDescent="0.25">
      <c r="A1138" t="s">
        <v>2157</v>
      </c>
    </row>
    <row r="1139" spans="1:1" x14ac:dyDescent="0.25">
      <c r="A1139" t="s">
        <v>2158</v>
      </c>
    </row>
    <row r="1140" spans="1:1" x14ac:dyDescent="0.25">
      <c r="A1140" t="s">
        <v>2159</v>
      </c>
    </row>
    <row r="1141" spans="1:1" x14ac:dyDescent="0.25">
      <c r="A1141" t="s">
        <v>2160</v>
      </c>
    </row>
    <row r="1142" spans="1:1" x14ac:dyDescent="0.25">
      <c r="A1142" t="s">
        <v>2161</v>
      </c>
    </row>
    <row r="1143" spans="1:1" x14ac:dyDescent="0.25">
      <c r="A1143" t="s">
        <v>2162</v>
      </c>
    </row>
    <row r="1144" spans="1:1" x14ac:dyDescent="0.25">
      <c r="A1144" t="s">
        <v>2163</v>
      </c>
    </row>
    <row r="1145" spans="1:1" x14ac:dyDescent="0.25">
      <c r="A1145" t="s">
        <v>2164</v>
      </c>
    </row>
    <row r="1146" spans="1:1" x14ac:dyDescent="0.25">
      <c r="A1146" t="s">
        <v>2165</v>
      </c>
    </row>
    <row r="1147" spans="1:1" x14ac:dyDescent="0.25">
      <c r="A1147" t="s">
        <v>2166</v>
      </c>
    </row>
    <row r="1148" spans="1:1" x14ac:dyDescent="0.25">
      <c r="A1148" t="s">
        <v>2167</v>
      </c>
    </row>
    <row r="1149" spans="1:1" x14ac:dyDescent="0.25">
      <c r="A1149" t="s">
        <v>2168</v>
      </c>
    </row>
    <row r="1150" spans="1:1" x14ac:dyDescent="0.25">
      <c r="A1150" t="s">
        <v>2169</v>
      </c>
    </row>
    <row r="1151" spans="1:1" x14ac:dyDescent="0.25">
      <c r="A1151" t="s">
        <v>2170</v>
      </c>
    </row>
    <row r="1152" spans="1:1" x14ac:dyDescent="0.25">
      <c r="A1152" t="s">
        <v>2171</v>
      </c>
    </row>
    <row r="1153" spans="1:1" x14ac:dyDescent="0.25">
      <c r="A1153" t="s">
        <v>2172</v>
      </c>
    </row>
    <row r="1154" spans="1:1" x14ac:dyDescent="0.25">
      <c r="A1154" t="s">
        <v>2173</v>
      </c>
    </row>
    <row r="1155" spans="1:1" x14ac:dyDescent="0.25">
      <c r="A1155" t="s">
        <v>2174</v>
      </c>
    </row>
    <row r="1156" spans="1:1" x14ac:dyDescent="0.25">
      <c r="A1156" t="s">
        <v>2175</v>
      </c>
    </row>
    <row r="1157" spans="1:1" x14ac:dyDescent="0.25">
      <c r="A1157" t="s">
        <v>2176</v>
      </c>
    </row>
    <row r="1158" spans="1:1" x14ac:dyDescent="0.25">
      <c r="A1158" t="s">
        <v>2177</v>
      </c>
    </row>
    <row r="1159" spans="1:1" x14ac:dyDescent="0.25">
      <c r="A1159" t="s">
        <v>2178</v>
      </c>
    </row>
    <row r="1160" spans="1:1" x14ac:dyDescent="0.25">
      <c r="A1160" t="s">
        <v>2179</v>
      </c>
    </row>
    <row r="1161" spans="1:1" x14ac:dyDescent="0.25">
      <c r="A1161" t="s">
        <v>2180</v>
      </c>
    </row>
    <row r="1162" spans="1:1" x14ac:dyDescent="0.25">
      <c r="A1162" t="s">
        <v>2181</v>
      </c>
    </row>
    <row r="1163" spans="1:1" x14ac:dyDescent="0.25">
      <c r="A1163" t="s">
        <v>2182</v>
      </c>
    </row>
    <row r="1164" spans="1:1" x14ac:dyDescent="0.25">
      <c r="A1164" t="s">
        <v>2183</v>
      </c>
    </row>
    <row r="1165" spans="1:1" x14ac:dyDescent="0.25">
      <c r="A1165" t="s">
        <v>2184</v>
      </c>
    </row>
    <row r="1166" spans="1:1" x14ac:dyDescent="0.25">
      <c r="A1166" t="s">
        <v>2185</v>
      </c>
    </row>
    <row r="1167" spans="1:1" x14ac:dyDescent="0.25">
      <c r="A1167" t="s">
        <v>2186</v>
      </c>
    </row>
    <row r="1168" spans="1:1" x14ac:dyDescent="0.25">
      <c r="A1168" t="s">
        <v>2187</v>
      </c>
    </row>
    <row r="1169" spans="1:1" x14ac:dyDescent="0.25">
      <c r="A1169" t="s">
        <v>2188</v>
      </c>
    </row>
    <row r="1170" spans="1:1" x14ac:dyDescent="0.25">
      <c r="A1170" t="s">
        <v>2189</v>
      </c>
    </row>
    <row r="1171" spans="1:1" x14ac:dyDescent="0.25">
      <c r="A1171" t="s">
        <v>2190</v>
      </c>
    </row>
    <row r="1172" spans="1:1" x14ac:dyDescent="0.25">
      <c r="A1172" t="s">
        <v>2191</v>
      </c>
    </row>
    <row r="1173" spans="1:1" x14ac:dyDescent="0.25">
      <c r="A1173" t="s">
        <v>2192</v>
      </c>
    </row>
    <row r="1174" spans="1:1" x14ac:dyDescent="0.25">
      <c r="A1174" t="s">
        <v>2193</v>
      </c>
    </row>
    <row r="1175" spans="1:1" x14ac:dyDescent="0.25">
      <c r="A1175" t="s">
        <v>2194</v>
      </c>
    </row>
    <row r="1176" spans="1:1" x14ac:dyDescent="0.25">
      <c r="A1176" t="s">
        <v>2195</v>
      </c>
    </row>
    <row r="1177" spans="1:1" x14ac:dyDescent="0.25">
      <c r="A1177" t="s">
        <v>2196</v>
      </c>
    </row>
    <row r="1178" spans="1:1" x14ac:dyDescent="0.25">
      <c r="A1178" t="s">
        <v>2197</v>
      </c>
    </row>
    <row r="1179" spans="1:1" x14ac:dyDescent="0.25">
      <c r="A1179" t="s">
        <v>2198</v>
      </c>
    </row>
    <row r="1180" spans="1:1" x14ac:dyDescent="0.25">
      <c r="A1180" t="s">
        <v>2199</v>
      </c>
    </row>
    <row r="1181" spans="1:1" x14ac:dyDescent="0.25">
      <c r="A1181" t="s">
        <v>2200</v>
      </c>
    </row>
    <row r="1182" spans="1:1" x14ac:dyDescent="0.25">
      <c r="A1182" t="s">
        <v>2201</v>
      </c>
    </row>
    <row r="1183" spans="1:1" x14ac:dyDescent="0.25">
      <c r="A1183" t="s">
        <v>2202</v>
      </c>
    </row>
    <row r="1184" spans="1:1" x14ac:dyDescent="0.25">
      <c r="A1184" t="s">
        <v>2203</v>
      </c>
    </row>
    <row r="1185" spans="1:1" x14ac:dyDescent="0.25">
      <c r="A1185" t="s">
        <v>2204</v>
      </c>
    </row>
    <row r="1186" spans="1:1" x14ac:dyDescent="0.25">
      <c r="A1186" t="s">
        <v>2205</v>
      </c>
    </row>
    <row r="1187" spans="1:1" x14ac:dyDescent="0.25">
      <c r="A1187" t="s">
        <v>2206</v>
      </c>
    </row>
    <row r="1188" spans="1:1" x14ac:dyDescent="0.25">
      <c r="A1188" t="s">
        <v>2207</v>
      </c>
    </row>
    <row r="1189" spans="1:1" x14ac:dyDescent="0.25">
      <c r="A1189" t="s">
        <v>2208</v>
      </c>
    </row>
    <row r="1190" spans="1:1" x14ac:dyDescent="0.25">
      <c r="A1190" t="s">
        <v>2209</v>
      </c>
    </row>
    <row r="1191" spans="1:1" x14ac:dyDescent="0.25">
      <c r="A1191" t="s">
        <v>2210</v>
      </c>
    </row>
    <row r="1192" spans="1:1" x14ac:dyDescent="0.25">
      <c r="A1192" t="s">
        <v>2211</v>
      </c>
    </row>
    <row r="1193" spans="1:1" x14ac:dyDescent="0.25">
      <c r="A1193" t="s">
        <v>2212</v>
      </c>
    </row>
    <row r="1194" spans="1:1" x14ac:dyDescent="0.25">
      <c r="A1194" t="s">
        <v>2213</v>
      </c>
    </row>
    <row r="1195" spans="1:1" x14ac:dyDescent="0.25">
      <c r="A1195" t="s">
        <v>2214</v>
      </c>
    </row>
    <row r="1196" spans="1:1" x14ac:dyDescent="0.25">
      <c r="A1196" t="s">
        <v>2215</v>
      </c>
    </row>
    <row r="1197" spans="1:1" x14ac:dyDescent="0.25">
      <c r="A1197" t="s">
        <v>2216</v>
      </c>
    </row>
    <row r="1198" spans="1:1" x14ac:dyDescent="0.25">
      <c r="A1198" t="s">
        <v>2217</v>
      </c>
    </row>
    <row r="1199" spans="1:1" x14ac:dyDescent="0.25">
      <c r="A1199" t="s">
        <v>2218</v>
      </c>
    </row>
    <row r="1200" spans="1:1" x14ac:dyDescent="0.25">
      <c r="A1200" t="s">
        <v>2219</v>
      </c>
    </row>
    <row r="1201" spans="1:1" x14ac:dyDescent="0.25">
      <c r="A1201" t="s">
        <v>2220</v>
      </c>
    </row>
    <row r="1202" spans="1:1" x14ac:dyDescent="0.25">
      <c r="A1202" t="s">
        <v>2221</v>
      </c>
    </row>
    <row r="1203" spans="1:1" x14ac:dyDescent="0.25">
      <c r="A1203" t="s">
        <v>2222</v>
      </c>
    </row>
    <row r="1204" spans="1:1" x14ac:dyDescent="0.25">
      <c r="A1204" t="s">
        <v>2223</v>
      </c>
    </row>
    <row r="1205" spans="1:1" x14ac:dyDescent="0.25">
      <c r="A1205" t="s">
        <v>2224</v>
      </c>
    </row>
    <row r="1206" spans="1:1" x14ac:dyDescent="0.25">
      <c r="A1206" t="s">
        <v>2225</v>
      </c>
    </row>
    <row r="1207" spans="1:1" x14ac:dyDescent="0.25">
      <c r="A1207" t="s">
        <v>2226</v>
      </c>
    </row>
    <row r="1208" spans="1:1" x14ac:dyDescent="0.25">
      <c r="A1208" t="s">
        <v>2227</v>
      </c>
    </row>
    <row r="1209" spans="1:1" x14ac:dyDescent="0.25">
      <c r="A1209" t="s">
        <v>2228</v>
      </c>
    </row>
    <row r="1210" spans="1:1" x14ac:dyDescent="0.25">
      <c r="A1210" t="s">
        <v>2229</v>
      </c>
    </row>
    <row r="1211" spans="1:1" x14ac:dyDescent="0.25">
      <c r="A1211" t="s">
        <v>2230</v>
      </c>
    </row>
    <row r="1212" spans="1:1" x14ac:dyDescent="0.25">
      <c r="A1212" t="s">
        <v>2231</v>
      </c>
    </row>
    <row r="1213" spans="1:1" x14ac:dyDescent="0.25">
      <c r="A1213" t="s">
        <v>2232</v>
      </c>
    </row>
    <row r="1214" spans="1:1" x14ac:dyDescent="0.25">
      <c r="A1214" t="s">
        <v>2233</v>
      </c>
    </row>
    <row r="1215" spans="1:1" x14ac:dyDescent="0.25">
      <c r="A1215" t="s">
        <v>2234</v>
      </c>
    </row>
    <row r="1216" spans="1:1" x14ac:dyDescent="0.25">
      <c r="A1216" t="s">
        <v>2235</v>
      </c>
    </row>
    <row r="1217" spans="1:1" x14ac:dyDescent="0.25">
      <c r="A1217" t="s">
        <v>2236</v>
      </c>
    </row>
    <row r="1218" spans="1:1" x14ac:dyDescent="0.25">
      <c r="A1218" t="s">
        <v>2237</v>
      </c>
    </row>
    <row r="1219" spans="1:1" x14ac:dyDescent="0.25">
      <c r="A1219" t="s">
        <v>2238</v>
      </c>
    </row>
    <row r="1220" spans="1:1" x14ac:dyDescent="0.25">
      <c r="A1220" t="s">
        <v>2239</v>
      </c>
    </row>
    <row r="1221" spans="1:1" x14ac:dyDescent="0.25">
      <c r="A1221" t="s">
        <v>2240</v>
      </c>
    </row>
    <row r="1222" spans="1:1" x14ac:dyDescent="0.25">
      <c r="A1222" t="s">
        <v>2241</v>
      </c>
    </row>
    <row r="1223" spans="1:1" x14ac:dyDescent="0.25">
      <c r="A1223" t="s">
        <v>2242</v>
      </c>
    </row>
    <row r="1224" spans="1:1" x14ac:dyDescent="0.25">
      <c r="A1224" t="s">
        <v>2243</v>
      </c>
    </row>
    <row r="1225" spans="1:1" x14ac:dyDescent="0.25">
      <c r="A1225" t="s">
        <v>2244</v>
      </c>
    </row>
    <row r="1226" spans="1:1" x14ac:dyDescent="0.25">
      <c r="A1226" t="s">
        <v>2245</v>
      </c>
    </row>
    <row r="1227" spans="1:1" x14ac:dyDescent="0.25">
      <c r="A1227" t="s">
        <v>2246</v>
      </c>
    </row>
    <row r="1228" spans="1:1" x14ac:dyDescent="0.25">
      <c r="A1228" t="s">
        <v>2247</v>
      </c>
    </row>
    <row r="1229" spans="1:1" x14ac:dyDescent="0.25">
      <c r="A1229" t="s">
        <v>2248</v>
      </c>
    </row>
    <row r="1230" spans="1:1" x14ac:dyDescent="0.25">
      <c r="A1230" t="s">
        <v>2249</v>
      </c>
    </row>
    <row r="1231" spans="1:1" x14ac:dyDescent="0.25">
      <c r="A1231" t="s">
        <v>2250</v>
      </c>
    </row>
    <row r="1232" spans="1:1" x14ac:dyDescent="0.25">
      <c r="A1232" t="s">
        <v>2251</v>
      </c>
    </row>
    <row r="1233" spans="1:1" x14ac:dyDescent="0.25">
      <c r="A1233" t="s">
        <v>2252</v>
      </c>
    </row>
    <row r="1234" spans="1:1" x14ac:dyDescent="0.25">
      <c r="A1234" t="s">
        <v>2253</v>
      </c>
    </row>
    <row r="1235" spans="1:1" x14ac:dyDescent="0.25">
      <c r="A1235" t="s">
        <v>2254</v>
      </c>
    </row>
    <row r="1236" spans="1:1" x14ac:dyDescent="0.25">
      <c r="A1236" t="s">
        <v>2255</v>
      </c>
    </row>
    <row r="1237" spans="1:1" x14ac:dyDescent="0.25">
      <c r="A1237" t="s">
        <v>2256</v>
      </c>
    </row>
    <row r="1238" spans="1:1" x14ac:dyDescent="0.25">
      <c r="A1238" t="s">
        <v>2257</v>
      </c>
    </row>
    <row r="1239" spans="1:1" x14ac:dyDescent="0.25">
      <c r="A1239" t="s">
        <v>2258</v>
      </c>
    </row>
    <row r="1240" spans="1:1" x14ac:dyDescent="0.25">
      <c r="A1240" t="s">
        <v>2259</v>
      </c>
    </row>
    <row r="1241" spans="1:1" x14ac:dyDescent="0.25">
      <c r="A1241" t="s">
        <v>2260</v>
      </c>
    </row>
    <row r="1242" spans="1:1" x14ac:dyDescent="0.25">
      <c r="A1242" t="s">
        <v>2261</v>
      </c>
    </row>
    <row r="1243" spans="1:1" x14ac:dyDescent="0.25">
      <c r="A1243" t="s">
        <v>2262</v>
      </c>
    </row>
    <row r="1244" spans="1:1" x14ac:dyDescent="0.25">
      <c r="A1244" t="s">
        <v>2263</v>
      </c>
    </row>
    <row r="1245" spans="1:1" x14ac:dyDescent="0.25">
      <c r="A1245" t="s">
        <v>2264</v>
      </c>
    </row>
    <row r="1246" spans="1:1" x14ac:dyDescent="0.25">
      <c r="A1246" t="s">
        <v>2265</v>
      </c>
    </row>
    <row r="1247" spans="1:1" x14ac:dyDescent="0.25">
      <c r="A1247" t="s">
        <v>2266</v>
      </c>
    </row>
    <row r="1248" spans="1:1" x14ac:dyDescent="0.25">
      <c r="A1248" t="s">
        <v>2267</v>
      </c>
    </row>
    <row r="1249" spans="1:1" x14ac:dyDescent="0.25">
      <c r="A1249" t="s">
        <v>2268</v>
      </c>
    </row>
    <row r="1250" spans="1:1" x14ac:dyDescent="0.25">
      <c r="A1250" t="s">
        <v>2269</v>
      </c>
    </row>
    <row r="1251" spans="1:1" x14ac:dyDescent="0.25">
      <c r="A1251" t="s">
        <v>2270</v>
      </c>
    </row>
    <row r="1252" spans="1:1" x14ac:dyDescent="0.25">
      <c r="A1252" t="s">
        <v>2271</v>
      </c>
    </row>
    <row r="1253" spans="1:1" x14ac:dyDescent="0.25">
      <c r="A1253" t="s">
        <v>2272</v>
      </c>
    </row>
    <row r="1254" spans="1:1" x14ac:dyDescent="0.25">
      <c r="A1254" t="s">
        <v>2273</v>
      </c>
    </row>
    <row r="1255" spans="1:1" x14ac:dyDescent="0.25">
      <c r="A1255" t="s">
        <v>2274</v>
      </c>
    </row>
    <row r="1256" spans="1:1" x14ac:dyDescent="0.25">
      <c r="A1256" t="s">
        <v>2275</v>
      </c>
    </row>
    <row r="1257" spans="1:1" x14ac:dyDescent="0.25">
      <c r="A1257" t="s">
        <v>2276</v>
      </c>
    </row>
    <row r="1258" spans="1:1" x14ac:dyDescent="0.25">
      <c r="A1258" t="s">
        <v>2277</v>
      </c>
    </row>
    <row r="1259" spans="1:1" x14ac:dyDescent="0.25">
      <c r="A1259" t="s">
        <v>2278</v>
      </c>
    </row>
    <row r="1260" spans="1:1" x14ac:dyDescent="0.25">
      <c r="A1260" t="s">
        <v>2279</v>
      </c>
    </row>
    <row r="1261" spans="1:1" x14ac:dyDescent="0.25">
      <c r="A1261" t="s">
        <v>2280</v>
      </c>
    </row>
    <row r="1262" spans="1:1" x14ac:dyDescent="0.25">
      <c r="A1262" t="s">
        <v>2281</v>
      </c>
    </row>
    <row r="1263" spans="1:1" x14ac:dyDescent="0.25">
      <c r="A1263" t="s">
        <v>2282</v>
      </c>
    </row>
    <row r="1264" spans="1:1" x14ac:dyDescent="0.25">
      <c r="A1264" t="s">
        <v>2283</v>
      </c>
    </row>
    <row r="1265" spans="1:1" x14ac:dyDescent="0.25">
      <c r="A1265" t="s">
        <v>2284</v>
      </c>
    </row>
    <row r="1266" spans="1:1" x14ac:dyDescent="0.25">
      <c r="A1266" t="s">
        <v>2285</v>
      </c>
    </row>
    <row r="1267" spans="1:1" x14ac:dyDescent="0.25">
      <c r="A1267" t="s">
        <v>2286</v>
      </c>
    </row>
    <row r="1268" spans="1:1" x14ac:dyDescent="0.25">
      <c r="A1268" t="s">
        <v>2287</v>
      </c>
    </row>
    <row r="1269" spans="1:1" x14ac:dyDescent="0.25">
      <c r="A1269" t="s">
        <v>2288</v>
      </c>
    </row>
    <row r="1270" spans="1:1" x14ac:dyDescent="0.25">
      <c r="A1270" t="s">
        <v>2289</v>
      </c>
    </row>
    <row r="1271" spans="1:1" x14ac:dyDescent="0.25">
      <c r="A1271" t="s">
        <v>2290</v>
      </c>
    </row>
    <row r="1272" spans="1:1" x14ac:dyDescent="0.25">
      <c r="A1272" t="s">
        <v>2291</v>
      </c>
    </row>
    <row r="1273" spans="1:1" x14ac:dyDescent="0.25">
      <c r="A1273" t="s">
        <v>2292</v>
      </c>
    </row>
    <row r="1274" spans="1:1" x14ac:dyDescent="0.25">
      <c r="A1274" t="s">
        <v>2293</v>
      </c>
    </row>
    <row r="1275" spans="1:1" x14ac:dyDescent="0.25">
      <c r="A1275" t="s">
        <v>2294</v>
      </c>
    </row>
    <row r="1276" spans="1:1" x14ac:dyDescent="0.25">
      <c r="A1276" t="s">
        <v>2295</v>
      </c>
    </row>
    <row r="1277" spans="1:1" x14ac:dyDescent="0.25">
      <c r="A1277" t="s">
        <v>2296</v>
      </c>
    </row>
    <row r="1278" spans="1:1" x14ac:dyDescent="0.25">
      <c r="A1278" t="s">
        <v>2297</v>
      </c>
    </row>
    <row r="1279" spans="1:1" x14ac:dyDescent="0.25">
      <c r="A1279" t="s">
        <v>2298</v>
      </c>
    </row>
    <row r="1280" spans="1:1" x14ac:dyDescent="0.25">
      <c r="A1280" t="s">
        <v>2299</v>
      </c>
    </row>
    <row r="1281" spans="1:1" x14ac:dyDescent="0.25">
      <c r="A1281" t="s">
        <v>2300</v>
      </c>
    </row>
    <row r="1282" spans="1:1" x14ac:dyDescent="0.25">
      <c r="A1282" t="s">
        <v>2301</v>
      </c>
    </row>
    <row r="1283" spans="1:1" x14ac:dyDescent="0.25">
      <c r="A1283" t="s">
        <v>2302</v>
      </c>
    </row>
    <row r="1284" spans="1:1" x14ac:dyDescent="0.25">
      <c r="A1284" t="s">
        <v>2303</v>
      </c>
    </row>
    <row r="1285" spans="1:1" x14ac:dyDescent="0.25">
      <c r="A1285" t="s">
        <v>2304</v>
      </c>
    </row>
    <row r="1286" spans="1:1" x14ac:dyDescent="0.25">
      <c r="A1286" t="s">
        <v>2305</v>
      </c>
    </row>
    <row r="1287" spans="1:1" x14ac:dyDescent="0.25">
      <c r="A1287" t="s">
        <v>2306</v>
      </c>
    </row>
    <row r="1288" spans="1:1" x14ac:dyDescent="0.25">
      <c r="A1288" t="s">
        <v>2307</v>
      </c>
    </row>
    <row r="1289" spans="1:1" x14ac:dyDescent="0.25">
      <c r="A1289" t="s">
        <v>2308</v>
      </c>
    </row>
    <row r="1290" spans="1:1" x14ac:dyDescent="0.25">
      <c r="A1290" t="s">
        <v>2309</v>
      </c>
    </row>
    <row r="1291" spans="1:1" x14ac:dyDescent="0.25">
      <c r="A1291" t="s">
        <v>2310</v>
      </c>
    </row>
    <row r="1292" spans="1:1" x14ac:dyDescent="0.25">
      <c r="A1292" t="s">
        <v>2311</v>
      </c>
    </row>
    <row r="1293" spans="1:1" x14ac:dyDescent="0.25">
      <c r="A1293" t="s">
        <v>2312</v>
      </c>
    </row>
    <row r="1294" spans="1:1" x14ac:dyDescent="0.25">
      <c r="A1294" t="s">
        <v>2313</v>
      </c>
    </row>
    <row r="1295" spans="1:1" x14ac:dyDescent="0.25">
      <c r="A1295" t="s">
        <v>2314</v>
      </c>
    </row>
    <row r="1296" spans="1:1" x14ac:dyDescent="0.25">
      <c r="A1296" t="s">
        <v>2315</v>
      </c>
    </row>
    <row r="1297" spans="1:1" x14ac:dyDescent="0.25">
      <c r="A1297" t="s">
        <v>2316</v>
      </c>
    </row>
    <row r="1298" spans="1:1" x14ac:dyDescent="0.25">
      <c r="A1298" t="s">
        <v>2317</v>
      </c>
    </row>
    <row r="1299" spans="1:1" x14ac:dyDescent="0.25">
      <c r="A1299" t="s">
        <v>2318</v>
      </c>
    </row>
    <row r="1300" spans="1:1" x14ac:dyDescent="0.25">
      <c r="A1300" t="s">
        <v>2319</v>
      </c>
    </row>
    <row r="1301" spans="1:1" x14ac:dyDescent="0.25">
      <c r="A1301" t="s">
        <v>2320</v>
      </c>
    </row>
    <row r="1302" spans="1:1" x14ac:dyDescent="0.25">
      <c r="A1302" t="s">
        <v>2321</v>
      </c>
    </row>
    <row r="1303" spans="1:1" x14ac:dyDescent="0.25">
      <c r="A1303" t="s">
        <v>2322</v>
      </c>
    </row>
    <row r="1304" spans="1:1" x14ac:dyDescent="0.25">
      <c r="A1304" t="s">
        <v>2323</v>
      </c>
    </row>
    <row r="1305" spans="1:1" x14ac:dyDescent="0.25">
      <c r="A1305" t="s">
        <v>2324</v>
      </c>
    </row>
    <row r="1306" spans="1:1" x14ac:dyDescent="0.25">
      <c r="A1306" t="s">
        <v>2325</v>
      </c>
    </row>
    <row r="1307" spans="1:1" x14ac:dyDescent="0.25">
      <c r="A1307" t="s">
        <v>2326</v>
      </c>
    </row>
    <row r="1308" spans="1:1" x14ac:dyDescent="0.25">
      <c r="A1308" t="s">
        <v>2327</v>
      </c>
    </row>
    <row r="1309" spans="1:1" x14ac:dyDescent="0.25">
      <c r="A1309" t="s">
        <v>2328</v>
      </c>
    </row>
    <row r="1310" spans="1:1" x14ac:dyDescent="0.25">
      <c r="A1310" t="s">
        <v>2329</v>
      </c>
    </row>
    <row r="1311" spans="1:1" x14ac:dyDescent="0.25">
      <c r="A1311" t="s">
        <v>2330</v>
      </c>
    </row>
    <row r="1312" spans="1:1" x14ac:dyDescent="0.25">
      <c r="A1312" t="s">
        <v>1403</v>
      </c>
    </row>
    <row r="1313" spans="1:1" x14ac:dyDescent="0.25">
      <c r="A1313" t="s">
        <v>2331</v>
      </c>
    </row>
    <row r="1314" spans="1:1" x14ac:dyDescent="0.25">
      <c r="A1314" t="s">
        <v>2332</v>
      </c>
    </row>
    <row r="1315" spans="1:1" x14ac:dyDescent="0.25">
      <c r="A1315" t="s">
        <v>2333</v>
      </c>
    </row>
    <row r="1316" spans="1:1" x14ac:dyDescent="0.25">
      <c r="A1316" t="s">
        <v>2334</v>
      </c>
    </row>
    <row r="1317" spans="1:1" x14ac:dyDescent="0.25">
      <c r="A1317" t="s">
        <v>2335</v>
      </c>
    </row>
    <row r="1318" spans="1:1" x14ac:dyDescent="0.25">
      <c r="A1318" t="s">
        <v>2336</v>
      </c>
    </row>
    <row r="1319" spans="1:1" x14ac:dyDescent="0.25">
      <c r="A1319" t="s">
        <v>2337</v>
      </c>
    </row>
    <row r="1320" spans="1:1" x14ac:dyDescent="0.25">
      <c r="A1320" t="s">
        <v>2338</v>
      </c>
    </row>
    <row r="1321" spans="1:1" x14ac:dyDescent="0.25">
      <c r="A1321" t="s">
        <v>2339</v>
      </c>
    </row>
    <row r="1322" spans="1:1" x14ac:dyDescent="0.25">
      <c r="A1322" t="s">
        <v>2340</v>
      </c>
    </row>
    <row r="1323" spans="1:1" x14ac:dyDescent="0.25">
      <c r="A1323" t="s">
        <v>2341</v>
      </c>
    </row>
    <row r="1324" spans="1:1" x14ac:dyDescent="0.25">
      <c r="A1324" t="s">
        <v>2342</v>
      </c>
    </row>
    <row r="1325" spans="1:1" x14ac:dyDescent="0.25">
      <c r="A1325" t="s">
        <v>2343</v>
      </c>
    </row>
    <row r="1326" spans="1:1" x14ac:dyDescent="0.25">
      <c r="A1326" t="s">
        <v>2344</v>
      </c>
    </row>
    <row r="1327" spans="1:1" x14ac:dyDescent="0.25">
      <c r="A1327" t="s">
        <v>2345</v>
      </c>
    </row>
    <row r="1328" spans="1:1" x14ac:dyDescent="0.25">
      <c r="A1328" t="s">
        <v>2346</v>
      </c>
    </row>
    <row r="1329" spans="1:1" x14ac:dyDescent="0.25">
      <c r="A1329" t="s">
        <v>2347</v>
      </c>
    </row>
    <row r="1330" spans="1:1" x14ac:dyDescent="0.25">
      <c r="A1330" t="s">
        <v>2348</v>
      </c>
    </row>
    <row r="1331" spans="1:1" x14ac:dyDescent="0.25">
      <c r="A1331" t="s">
        <v>2349</v>
      </c>
    </row>
    <row r="1332" spans="1:1" x14ac:dyDescent="0.25">
      <c r="A1332" t="s">
        <v>2350</v>
      </c>
    </row>
    <row r="1333" spans="1:1" x14ac:dyDescent="0.25">
      <c r="A1333" t="s">
        <v>2351</v>
      </c>
    </row>
    <row r="1334" spans="1:1" x14ac:dyDescent="0.25">
      <c r="A1334" t="s">
        <v>2352</v>
      </c>
    </row>
    <row r="1335" spans="1:1" x14ac:dyDescent="0.25">
      <c r="A1335" t="s">
        <v>2353</v>
      </c>
    </row>
    <row r="1336" spans="1:1" x14ac:dyDescent="0.25">
      <c r="A1336" t="s">
        <v>2354</v>
      </c>
    </row>
    <row r="1337" spans="1:1" x14ac:dyDescent="0.25">
      <c r="A1337" t="s">
        <v>2355</v>
      </c>
    </row>
    <row r="1338" spans="1:1" x14ac:dyDescent="0.25">
      <c r="A1338" t="s">
        <v>2356</v>
      </c>
    </row>
    <row r="1339" spans="1:1" x14ac:dyDescent="0.25">
      <c r="A1339" t="s">
        <v>2357</v>
      </c>
    </row>
    <row r="1340" spans="1:1" x14ac:dyDescent="0.25">
      <c r="A1340" t="s">
        <v>2358</v>
      </c>
    </row>
    <row r="1341" spans="1:1" x14ac:dyDescent="0.25">
      <c r="A1341" t="s">
        <v>2359</v>
      </c>
    </row>
    <row r="1342" spans="1:1" x14ac:dyDescent="0.25">
      <c r="A1342" t="s">
        <v>2360</v>
      </c>
    </row>
    <row r="1343" spans="1:1" x14ac:dyDescent="0.25">
      <c r="A1343" t="s">
        <v>2361</v>
      </c>
    </row>
    <row r="1344" spans="1:1" x14ac:dyDescent="0.25">
      <c r="A1344" t="s">
        <v>2362</v>
      </c>
    </row>
    <row r="1345" spans="1:1" x14ac:dyDescent="0.25">
      <c r="A1345" t="s">
        <v>2363</v>
      </c>
    </row>
    <row r="1346" spans="1:1" x14ac:dyDescent="0.25">
      <c r="A1346" t="s">
        <v>2364</v>
      </c>
    </row>
    <row r="1347" spans="1:1" x14ac:dyDescent="0.25">
      <c r="A1347" t="s">
        <v>2365</v>
      </c>
    </row>
    <row r="1348" spans="1:1" x14ac:dyDescent="0.25">
      <c r="A1348" t="s">
        <v>2366</v>
      </c>
    </row>
    <row r="1349" spans="1:1" x14ac:dyDescent="0.25">
      <c r="A1349" t="s">
        <v>2367</v>
      </c>
    </row>
    <row r="1350" spans="1:1" x14ac:dyDescent="0.25">
      <c r="A1350" t="s">
        <v>2368</v>
      </c>
    </row>
    <row r="1351" spans="1:1" x14ac:dyDescent="0.25">
      <c r="A1351" t="s">
        <v>2369</v>
      </c>
    </row>
    <row r="1352" spans="1:1" x14ac:dyDescent="0.25">
      <c r="A1352" t="s">
        <v>2370</v>
      </c>
    </row>
    <row r="1353" spans="1:1" x14ac:dyDescent="0.25">
      <c r="A1353" t="s">
        <v>2371</v>
      </c>
    </row>
    <row r="1354" spans="1:1" x14ac:dyDescent="0.25">
      <c r="A1354" t="s">
        <v>2372</v>
      </c>
    </row>
    <row r="1355" spans="1:1" x14ac:dyDescent="0.25">
      <c r="A1355" t="s">
        <v>2373</v>
      </c>
    </row>
    <row r="1356" spans="1:1" x14ac:dyDescent="0.25">
      <c r="A1356" t="s">
        <v>2374</v>
      </c>
    </row>
    <row r="1357" spans="1:1" x14ac:dyDescent="0.25">
      <c r="A1357" t="s">
        <v>2375</v>
      </c>
    </row>
    <row r="1358" spans="1:1" x14ac:dyDescent="0.25">
      <c r="A1358" t="s">
        <v>2376</v>
      </c>
    </row>
    <row r="1359" spans="1:1" x14ac:dyDescent="0.25">
      <c r="A1359" t="s">
        <v>2377</v>
      </c>
    </row>
    <row r="1360" spans="1:1" x14ac:dyDescent="0.25">
      <c r="A1360" t="s">
        <v>2378</v>
      </c>
    </row>
    <row r="1361" spans="1:1" x14ac:dyDescent="0.25">
      <c r="A1361" t="s">
        <v>2379</v>
      </c>
    </row>
    <row r="1362" spans="1:1" x14ac:dyDescent="0.25">
      <c r="A1362" t="s">
        <v>2380</v>
      </c>
    </row>
    <row r="1363" spans="1:1" x14ac:dyDescent="0.25">
      <c r="A1363" t="s">
        <v>2381</v>
      </c>
    </row>
    <row r="1364" spans="1:1" x14ac:dyDescent="0.25">
      <c r="A1364" t="s">
        <v>2382</v>
      </c>
    </row>
    <row r="1365" spans="1:1" x14ac:dyDescent="0.25">
      <c r="A1365" t="s">
        <v>2383</v>
      </c>
    </row>
    <row r="1366" spans="1:1" x14ac:dyDescent="0.25">
      <c r="A1366" t="s">
        <v>2384</v>
      </c>
    </row>
    <row r="1367" spans="1:1" x14ac:dyDescent="0.25">
      <c r="A1367" t="s">
        <v>2385</v>
      </c>
    </row>
    <row r="1368" spans="1:1" x14ac:dyDescent="0.25">
      <c r="A1368" t="s">
        <v>2386</v>
      </c>
    </row>
    <row r="1369" spans="1:1" x14ac:dyDescent="0.25">
      <c r="A1369" t="s">
        <v>2387</v>
      </c>
    </row>
    <row r="1370" spans="1:1" x14ac:dyDescent="0.25">
      <c r="A1370" t="s">
        <v>2388</v>
      </c>
    </row>
    <row r="1371" spans="1:1" x14ac:dyDescent="0.25">
      <c r="A1371" t="s">
        <v>2389</v>
      </c>
    </row>
    <row r="1372" spans="1:1" x14ac:dyDescent="0.25">
      <c r="A1372" t="s">
        <v>2390</v>
      </c>
    </row>
    <row r="1373" spans="1:1" x14ac:dyDescent="0.25">
      <c r="A1373" t="s">
        <v>2391</v>
      </c>
    </row>
    <row r="1374" spans="1:1" x14ac:dyDescent="0.25">
      <c r="A1374" t="s">
        <v>2392</v>
      </c>
    </row>
    <row r="1375" spans="1:1" x14ac:dyDescent="0.25">
      <c r="A1375" t="s">
        <v>2393</v>
      </c>
    </row>
    <row r="1376" spans="1:1" x14ac:dyDescent="0.25">
      <c r="A1376" t="s">
        <v>2394</v>
      </c>
    </row>
    <row r="1377" spans="1:1" x14ac:dyDescent="0.25">
      <c r="A1377" t="s">
        <v>2395</v>
      </c>
    </row>
    <row r="1378" spans="1:1" x14ac:dyDescent="0.25">
      <c r="A1378" t="s">
        <v>2396</v>
      </c>
    </row>
    <row r="1379" spans="1:1" x14ac:dyDescent="0.25">
      <c r="A1379" t="s">
        <v>2397</v>
      </c>
    </row>
    <row r="1380" spans="1:1" x14ac:dyDescent="0.25">
      <c r="A1380" t="s">
        <v>2398</v>
      </c>
    </row>
    <row r="1381" spans="1:1" x14ac:dyDescent="0.25">
      <c r="A1381" t="s">
        <v>2399</v>
      </c>
    </row>
    <row r="1382" spans="1:1" x14ac:dyDescent="0.25">
      <c r="A1382" t="s">
        <v>2400</v>
      </c>
    </row>
    <row r="1383" spans="1:1" x14ac:dyDescent="0.25">
      <c r="A1383" t="s">
        <v>2401</v>
      </c>
    </row>
    <row r="1384" spans="1:1" x14ac:dyDescent="0.25">
      <c r="A1384" t="s">
        <v>2402</v>
      </c>
    </row>
    <row r="1385" spans="1:1" x14ac:dyDescent="0.25">
      <c r="A1385" t="s">
        <v>2403</v>
      </c>
    </row>
    <row r="1386" spans="1:1" x14ac:dyDescent="0.25">
      <c r="A1386" t="s">
        <v>2404</v>
      </c>
    </row>
    <row r="1387" spans="1:1" x14ac:dyDescent="0.25">
      <c r="A1387" t="s">
        <v>2405</v>
      </c>
    </row>
    <row r="1388" spans="1:1" x14ac:dyDescent="0.25">
      <c r="A1388" t="s">
        <v>2406</v>
      </c>
    </row>
    <row r="1389" spans="1:1" x14ac:dyDescent="0.25">
      <c r="A1389" t="s">
        <v>2407</v>
      </c>
    </row>
    <row r="1390" spans="1:1" x14ac:dyDescent="0.25">
      <c r="A1390" t="s">
        <v>2408</v>
      </c>
    </row>
    <row r="1391" spans="1:1" x14ac:dyDescent="0.25">
      <c r="A1391" t="s">
        <v>2409</v>
      </c>
    </row>
    <row r="1392" spans="1:1" x14ac:dyDescent="0.25">
      <c r="A1392" t="s">
        <v>2410</v>
      </c>
    </row>
    <row r="1393" spans="1:1" x14ac:dyDescent="0.25">
      <c r="A1393" t="s">
        <v>2411</v>
      </c>
    </row>
    <row r="1394" spans="1:1" x14ac:dyDescent="0.25">
      <c r="A1394" t="s">
        <v>2412</v>
      </c>
    </row>
    <row r="1395" spans="1:1" x14ac:dyDescent="0.25">
      <c r="A1395" t="s">
        <v>2413</v>
      </c>
    </row>
    <row r="1396" spans="1:1" x14ac:dyDescent="0.25">
      <c r="A1396" t="s">
        <v>2414</v>
      </c>
    </row>
    <row r="1397" spans="1:1" x14ac:dyDescent="0.25">
      <c r="A1397" t="s">
        <v>2415</v>
      </c>
    </row>
    <row r="1398" spans="1:1" x14ac:dyDescent="0.25">
      <c r="A1398" t="s">
        <v>2416</v>
      </c>
    </row>
    <row r="1399" spans="1:1" x14ac:dyDescent="0.25">
      <c r="A1399" t="s">
        <v>2417</v>
      </c>
    </row>
    <row r="1400" spans="1:1" x14ac:dyDescent="0.25">
      <c r="A1400" t="s">
        <v>2418</v>
      </c>
    </row>
    <row r="1401" spans="1:1" x14ac:dyDescent="0.25">
      <c r="A1401" t="s">
        <v>2419</v>
      </c>
    </row>
    <row r="1402" spans="1:1" x14ac:dyDescent="0.25">
      <c r="A1402" t="s">
        <v>2420</v>
      </c>
    </row>
    <row r="1403" spans="1:1" x14ac:dyDescent="0.25">
      <c r="A1403" t="s">
        <v>2421</v>
      </c>
    </row>
    <row r="1404" spans="1:1" x14ac:dyDescent="0.25">
      <c r="A1404" t="s">
        <v>2422</v>
      </c>
    </row>
    <row r="1405" spans="1:1" x14ac:dyDescent="0.25">
      <c r="A1405" t="s">
        <v>2423</v>
      </c>
    </row>
    <row r="1406" spans="1:1" x14ac:dyDescent="0.25">
      <c r="A1406" t="s">
        <v>2424</v>
      </c>
    </row>
    <row r="1407" spans="1:1" x14ac:dyDescent="0.25">
      <c r="A1407" t="s">
        <v>2425</v>
      </c>
    </row>
    <row r="1408" spans="1:1" x14ac:dyDescent="0.25">
      <c r="A1408" t="s">
        <v>2426</v>
      </c>
    </row>
    <row r="1409" spans="1:1" x14ac:dyDescent="0.25">
      <c r="A1409" t="s">
        <v>2427</v>
      </c>
    </row>
    <row r="1410" spans="1:1" x14ac:dyDescent="0.25">
      <c r="A1410" t="s">
        <v>2428</v>
      </c>
    </row>
    <row r="1411" spans="1:1" x14ac:dyDescent="0.25">
      <c r="A1411" t="s">
        <v>2429</v>
      </c>
    </row>
    <row r="1412" spans="1:1" x14ac:dyDescent="0.25">
      <c r="A1412" t="s">
        <v>2430</v>
      </c>
    </row>
    <row r="1413" spans="1:1" x14ac:dyDescent="0.25">
      <c r="A1413" t="s">
        <v>2431</v>
      </c>
    </row>
    <row r="1414" spans="1:1" x14ac:dyDescent="0.25">
      <c r="A1414" t="s">
        <v>2432</v>
      </c>
    </row>
    <row r="1415" spans="1:1" x14ac:dyDescent="0.25">
      <c r="A1415" t="s">
        <v>2433</v>
      </c>
    </row>
    <row r="1416" spans="1:1" x14ac:dyDescent="0.25">
      <c r="A1416" t="s">
        <v>2434</v>
      </c>
    </row>
    <row r="1417" spans="1:1" x14ac:dyDescent="0.25">
      <c r="A1417" t="s">
        <v>2435</v>
      </c>
    </row>
    <row r="1418" spans="1:1" x14ac:dyDescent="0.25">
      <c r="A1418" t="s">
        <v>2436</v>
      </c>
    </row>
    <row r="1419" spans="1:1" x14ac:dyDescent="0.25">
      <c r="A1419" t="s">
        <v>2437</v>
      </c>
    </row>
    <row r="1420" spans="1:1" x14ac:dyDescent="0.25">
      <c r="A1420" t="s">
        <v>2438</v>
      </c>
    </row>
    <row r="1421" spans="1:1" x14ac:dyDescent="0.25">
      <c r="A1421" t="s">
        <v>2439</v>
      </c>
    </row>
    <row r="1422" spans="1:1" x14ac:dyDescent="0.25">
      <c r="A1422" t="s">
        <v>2440</v>
      </c>
    </row>
    <row r="1423" spans="1:1" x14ac:dyDescent="0.25">
      <c r="A1423" t="s">
        <v>2441</v>
      </c>
    </row>
    <row r="1424" spans="1:1" x14ac:dyDescent="0.25">
      <c r="A1424" t="s">
        <v>2442</v>
      </c>
    </row>
    <row r="1425" spans="1:1" x14ac:dyDescent="0.25">
      <c r="A1425" t="s">
        <v>2443</v>
      </c>
    </row>
    <row r="1426" spans="1:1" x14ac:dyDescent="0.25">
      <c r="A1426" t="s">
        <v>2444</v>
      </c>
    </row>
    <row r="1427" spans="1:1" x14ac:dyDescent="0.25">
      <c r="A1427" t="s">
        <v>2445</v>
      </c>
    </row>
    <row r="1428" spans="1:1" x14ac:dyDescent="0.25">
      <c r="A1428" t="s">
        <v>2446</v>
      </c>
    </row>
    <row r="1429" spans="1:1" x14ac:dyDescent="0.25">
      <c r="A1429" t="s">
        <v>2447</v>
      </c>
    </row>
    <row r="1430" spans="1:1" x14ac:dyDescent="0.25">
      <c r="A1430" t="s">
        <v>2448</v>
      </c>
    </row>
    <row r="1431" spans="1:1" x14ac:dyDescent="0.25">
      <c r="A1431" t="s">
        <v>2449</v>
      </c>
    </row>
    <row r="1432" spans="1:1" x14ac:dyDescent="0.25">
      <c r="A1432" t="s">
        <v>2450</v>
      </c>
    </row>
    <row r="1433" spans="1:1" x14ac:dyDescent="0.25">
      <c r="A1433" t="s">
        <v>1408</v>
      </c>
    </row>
    <row r="1434" spans="1:1" x14ac:dyDescent="0.25">
      <c r="A1434" t="s">
        <v>2451</v>
      </c>
    </row>
    <row r="1435" spans="1:1" x14ac:dyDescent="0.25">
      <c r="A1435" t="s">
        <v>2452</v>
      </c>
    </row>
    <row r="1436" spans="1:1" x14ac:dyDescent="0.25">
      <c r="A1436" t="s">
        <v>2453</v>
      </c>
    </row>
    <row r="1437" spans="1:1" x14ac:dyDescent="0.25">
      <c r="A1437" t="s">
        <v>2454</v>
      </c>
    </row>
    <row r="1438" spans="1:1" x14ac:dyDescent="0.25">
      <c r="A1438" t="s">
        <v>2455</v>
      </c>
    </row>
    <row r="1439" spans="1:1" x14ac:dyDescent="0.25">
      <c r="A1439" t="s">
        <v>2456</v>
      </c>
    </row>
    <row r="1440" spans="1:1" x14ac:dyDescent="0.25">
      <c r="A1440" t="s">
        <v>2457</v>
      </c>
    </row>
    <row r="1441" spans="1:1" x14ac:dyDescent="0.25">
      <c r="A1441" t="s">
        <v>2458</v>
      </c>
    </row>
    <row r="1442" spans="1:1" x14ac:dyDescent="0.25">
      <c r="A1442" t="s">
        <v>2459</v>
      </c>
    </row>
    <row r="1443" spans="1:1" x14ac:dyDescent="0.25">
      <c r="A1443" t="s">
        <v>2460</v>
      </c>
    </row>
    <row r="1444" spans="1:1" x14ac:dyDescent="0.25">
      <c r="A1444" t="s">
        <v>2461</v>
      </c>
    </row>
    <row r="1445" spans="1:1" x14ac:dyDescent="0.25">
      <c r="A1445" t="s">
        <v>2462</v>
      </c>
    </row>
    <row r="1446" spans="1:1" x14ac:dyDescent="0.25">
      <c r="A1446" t="s">
        <v>2463</v>
      </c>
    </row>
    <row r="1447" spans="1:1" x14ac:dyDescent="0.25">
      <c r="A1447" t="s">
        <v>2464</v>
      </c>
    </row>
    <row r="1448" spans="1:1" x14ac:dyDescent="0.25">
      <c r="A1448" t="s">
        <v>2465</v>
      </c>
    </row>
    <row r="1449" spans="1:1" x14ac:dyDescent="0.25">
      <c r="A1449" t="s">
        <v>2466</v>
      </c>
    </row>
    <row r="1450" spans="1:1" x14ac:dyDescent="0.25">
      <c r="A1450" t="s">
        <v>2467</v>
      </c>
    </row>
    <row r="1451" spans="1:1" x14ac:dyDescent="0.25">
      <c r="A1451" t="s">
        <v>2468</v>
      </c>
    </row>
    <row r="1452" spans="1:1" x14ac:dyDescent="0.25">
      <c r="A1452" t="s">
        <v>2469</v>
      </c>
    </row>
    <row r="1453" spans="1:1" x14ac:dyDescent="0.25">
      <c r="A1453" t="s">
        <v>2470</v>
      </c>
    </row>
    <row r="1454" spans="1:1" x14ac:dyDescent="0.25">
      <c r="A1454" t="s">
        <v>2471</v>
      </c>
    </row>
    <row r="1455" spans="1:1" x14ac:dyDescent="0.25">
      <c r="A1455" t="s">
        <v>2472</v>
      </c>
    </row>
    <row r="1456" spans="1:1" x14ac:dyDescent="0.25">
      <c r="A1456" t="s">
        <v>2473</v>
      </c>
    </row>
    <row r="1457" spans="1:1" x14ac:dyDescent="0.25">
      <c r="A1457" t="s">
        <v>2474</v>
      </c>
    </row>
    <row r="1458" spans="1:1" x14ac:dyDescent="0.25">
      <c r="A1458" t="s">
        <v>2475</v>
      </c>
    </row>
    <row r="1459" spans="1:1" x14ac:dyDescent="0.25">
      <c r="A1459" t="s">
        <v>2476</v>
      </c>
    </row>
    <row r="1460" spans="1:1" x14ac:dyDescent="0.25">
      <c r="A1460" t="s">
        <v>2477</v>
      </c>
    </row>
    <row r="1461" spans="1:1" x14ac:dyDescent="0.25">
      <c r="A1461" t="s">
        <v>2478</v>
      </c>
    </row>
    <row r="1462" spans="1:1" x14ac:dyDescent="0.25">
      <c r="A1462" t="s">
        <v>2479</v>
      </c>
    </row>
    <row r="1463" spans="1:1" x14ac:dyDescent="0.25">
      <c r="A1463" t="s">
        <v>2480</v>
      </c>
    </row>
    <row r="1464" spans="1:1" x14ac:dyDescent="0.25">
      <c r="A1464" t="s">
        <v>2481</v>
      </c>
    </row>
    <row r="1465" spans="1:1" x14ac:dyDescent="0.25">
      <c r="A1465" t="s">
        <v>2482</v>
      </c>
    </row>
    <row r="1466" spans="1:1" x14ac:dyDescent="0.25">
      <c r="A1466" t="s">
        <v>2483</v>
      </c>
    </row>
    <row r="1467" spans="1:1" x14ac:dyDescent="0.25">
      <c r="A1467" t="s">
        <v>2484</v>
      </c>
    </row>
    <row r="1468" spans="1:1" x14ac:dyDescent="0.25">
      <c r="A1468" t="s">
        <v>2485</v>
      </c>
    </row>
    <row r="1469" spans="1:1" x14ac:dyDescent="0.25">
      <c r="A1469" t="s">
        <v>2486</v>
      </c>
    </row>
    <row r="1470" spans="1:1" x14ac:dyDescent="0.25">
      <c r="A1470" t="s">
        <v>2487</v>
      </c>
    </row>
    <row r="1471" spans="1:1" x14ac:dyDescent="0.25">
      <c r="A1471" t="s">
        <v>2488</v>
      </c>
    </row>
    <row r="1472" spans="1:1" x14ac:dyDescent="0.25">
      <c r="A1472" t="s">
        <v>2489</v>
      </c>
    </row>
    <row r="1473" spans="1:1" x14ac:dyDescent="0.25">
      <c r="A1473" t="s">
        <v>2490</v>
      </c>
    </row>
    <row r="1474" spans="1:1" x14ac:dyDescent="0.25">
      <c r="A1474" t="s">
        <v>2491</v>
      </c>
    </row>
    <row r="1475" spans="1:1" x14ac:dyDescent="0.25">
      <c r="A1475" t="s">
        <v>2492</v>
      </c>
    </row>
    <row r="1476" spans="1:1" x14ac:dyDescent="0.25">
      <c r="A1476" t="s">
        <v>2493</v>
      </c>
    </row>
    <row r="1477" spans="1:1" x14ac:dyDescent="0.25">
      <c r="A1477" t="s">
        <v>2494</v>
      </c>
    </row>
    <row r="1478" spans="1:1" x14ac:dyDescent="0.25">
      <c r="A1478" t="s">
        <v>2495</v>
      </c>
    </row>
    <row r="1479" spans="1:1" x14ac:dyDescent="0.25">
      <c r="A1479" t="s">
        <v>2496</v>
      </c>
    </row>
    <row r="1480" spans="1:1" x14ac:dyDescent="0.25">
      <c r="A1480" t="s">
        <v>2497</v>
      </c>
    </row>
    <row r="1481" spans="1:1" x14ac:dyDescent="0.25">
      <c r="A1481" t="s">
        <v>2498</v>
      </c>
    </row>
    <row r="1482" spans="1:1" x14ac:dyDescent="0.25">
      <c r="A1482" t="s">
        <v>2499</v>
      </c>
    </row>
    <row r="1483" spans="1:1" x14ac:dyDescent="0.25">
      <c r="A1483" t="s">
        <v>2500</v>
      </c>
    </row>
    <row r="1484" spans="1:1" x14ac:dyDescent="0.25">
      <c r="A1484" t="s">
        <v>2501</v>
      </c>
    </row>
    <row r="1485" spans="1:1" x14ac:dyDescent="0.25">
      <c r="A1485" t="s">
        <v>2502</v>
      </c>
    </row>
    <row r="1486" spans="1:1" x14ac:dyDescent="0.25">
      <c r="A1486" t="s">
        <v>2503</v>
      </c>
    </row>
    <row r="1487" spans="1:1" x14ac:dyDescent="0.25">
      <c r="A1487" t="s">
        <v>2504</v>
      </c>
    </row>
    <row r="1488" spans="1:1" x14ac:dyDescent="0.25">
      <c r="A1488" t="s">
        <v>2505</v>
      </c>
    </row>
    <row r="1489" spans="1:1" x14ac:dyDescent="0.25">
      <c r="A1489" t="s">
        <v>2506</v>
      </c>
    </row>
    <row r="1490" spans="1:1" x14ac:dyDescent="0.25">
      <c r="A1490" t="s">
        <v>2507</v>
      </c>
    </row>
    <row r="1491" spans="1:1" x14ac:dyDescent="0.25">
      <c r="A1491" t="s">
        <v>2508</v>
      </c>
    </row>
    <row r="1492" spans="1:1" x14ac:dyDescent="0.25">
      <c r="A1492" t="s">
        <v>2509</v>
      </c>
    </row>
    <row r="1493" spans="1:1" x14ac:dyDescent="0.25">
      <c r="A1493" t="s">
        <v>2510</v>
      </c>
    </row>
    <row r="1494" spans="1:1" x14ac:dyDescent="0.25">
      <c r="A1494" t="s">
        <v>2511</v>
      </c>
    </row>
    <row r="1495" spans="1:1" x14ac:dyDescent="0.25">
      <c r="A1495" t="s">
        <v>2512</v>
      </c>
    </row>
    <row r="1496" spans="1:1" x14ac:dyDescent="0.25">
      <c r="A1496" t="s">
        <v>2513</v>
      </c>
    </row>
    <row r="1497" spans="1:1" x14ac:dyDescent="0.25">
      <c r="A1497" t="s">
        <v>2514</v>
      </c>
    </row>
    <row r="1498" spans="1:1" x14ac:dyDescent="0.25">
      <c r="A1498" t="s">
        <v>2515</v>
      </c>
    </row>
    <row r="1499" spans="1:1" x14ac:dyDescent="0.25">
      <c r="A1499" t="s">
        <v>2516</v>
      </c>
    </row>
    <row r="1500" spans="1:1" x14ac:dyDescent="0.25">
      <c r="A1500" t="s">
        <v>2517</v>
      </c>
    </row>
    <row r="1501" spans="1:1" x14ac:dyDescent="0.25">
      <c r="A1501" t="s">
        <v>2518</v>
      </c>
    </row>
    <row r="1502" spans="1:1" x14ac:dyDescent="0.25">
      <c r="A1502" t="s">
        <v>2519</v>
      </c>
    </row>
    <row r="1503" spans="1:1" x14ac:dyDescent="0.25">
      <c r="A1503" t="s">
        <v>2520</v>
      </c>
    </row>
    <row r="1504" spans="1:1" x14ac:dyDescent="0.25">
      <c r="A1504" t="s">
        <v>2521</v>
      </c>
    </row>
    <row r="1505" spans="1:1" x14ac:dyDescent="0.25">
      <c r="A1505" t="s">
        <v>2522</v>
      </c>
    </row>
    <row r="1506" spans="1:1" x14ac:dyDescent="0.25">
      <c r="A1506" t="s">
        <v>2523</v>
      </c>
    </row>
    <row r="1507" spans="1:1" x14ac:dyDescent="0.25">
      <c r="A1507" t="s">
        <v>2524</v>
      </c>
    </row>
    <row r="1508" spans="1:1" x14ac:dyDescent="0.25">
      <c r="A1508" t="s">
        <v>2525</v>
      </c>
    </row>
    <row r="1509" spans="1:1" x14ac:dyDescent="0.25">
      <c r="A1509" t="s">
        <v>2526</v>
      </c>
    </row>
    <row r="1510" spans="1:1" x14ac:dyDescent="0.25">
      <c r="A1510" t="s">
        <v>2527</v>
      </c>
    </row>
    <row r="1511" spans="1:1" x14ac:dyDescent="0.25">
      <c r="A1511" t="s">
        <v>2528</v>
      </c>
    </row>
    <row r="1512" spans="1:1" x14ac:dyDescent="0.25">
      <c r="A1512" t="s">
        <v>2529</v>
      </c>
    </row>
    <row r="1513" spans="1:1" x14ac:dyDescent="0.25">
      <c r="A1513" t="s">
        <v>2530</v>
      </c>
    </row>
    <row r="1514" spans="1:1" x14ac:dyDescent="0.25">
      <c r="A1514" t="s">
        <v>2531</v>
      </c>
    </row>
    <row r="1515" spans="1:1" x14ac:dyDescent="0.25">
      <c r="A1515" t="s">
        <v>2532</v>
      </c>
    </row>
    <row r="1516" spans="1:1" x14ac:dyDescent="0.25">
      <c r="A1516" t="s">
        <v>2533</v>
      </c>
    </row>
    <row r="1517" spans="1:1" x14ac:dyDescent="0.25">
      <c r="A1517" t="s">
        <v>2534</v>
      </c>
    </row>
    <row r="1518" spans="1:1" x14ac:dyDescent="0.25">
      <c r="A1518" t="s">
        <v>2535</v>
      </c>
    </row>
    <row r="1519" spans="1:1" x14ac:dyDescent="0.25">
      <c r="A1519" t="s">
        <v>2536</v>
      </c>
    </row>
    <row r="1520" spans="1:1" x14ac:dyDescent="0.25">
      <c r="A1520" t="s">
        <v>2537</v>
      </c>
    </row>
    <row r="1521" spans="1:1" x14ac:dyDescent="0.25">
      <c r="A1521" t="s">
        <v>2538</v>
      </c>
    </row>
    <row r="1522" spans="1:1" x14ac:dyDescent="0.25">
      <c r="A1522" t="s">
        <v>2539</v>
      </c>
    </row>
    <row r="1523" spans="1:1" x14ac:dyDescent="0.25">
      <c r="A1523" t="s">
        <v>2540</v>
      </c>
    </row>
    <row r="1524" spans="1:1" x14ac:dyDescent="0.25">
      <c r="A1524" t="s">
        <v>2541</v>
      </c>
    </row>
    <row r="1525" spans="1:1" x14ac:dyDescent="0.25">
      <c r="A1525" t="s">
        <v>2542</v>
      </c>
    </row>
    <row r="1526" spans="1:1" x14ac:dyDescent="0.25">
      <c r="A1526" t="s">
        <v>2543</v>
      </c>
    </row>
    <row r="1527" spans="1:1" x14ac:dyDescent="0.25">
      <c r="A1527" t="s">
        <v>2544</v>
      </c>
    </row>
    <row r="1528" spans="1:1" x14ac:dyDescent="0.25">
      <c r="A1528" t="s">
        <v>2545</v>
      </c>
    </row>
    <row r="1529" spans="1:1" x14ac:dyDescent="0.25">
      <c r="A1529" t="s">
        <v>2546</v>
      </c>
    </row>
    <row r="1530" spans="1:1" x14ac:dyDescent="0.25">
      <c r="A1530" t="s">
        <v>2547</v>
      </c>
    </row>
    <row r="1531" spans="1:1" x14ac:dyDescent="0.25">
      <c r="A1531" t="s">
        <v>2548</v>
      </c>
    </row>
    <row r="1532" spans="1:1" x14ac:dyDescent="0.25">
      <c r="A1532" t="s">
        <v>2549</v>
      </c>
    </row>
    <row r="1533" spans="1:1" x14ac:dyDescent="0.25">
      <c r="A1533" t="s">
        <v>2550</v>
      </c>
    </row>
    <row r="1534" spans="1:1" x14ac:dyDescent="0.25">
      <c r="A1534" t="s">
        <v>2551</v>
      </c>
    </row>
    <row r="1535" spans="1:1" x14ac:dyDescent="0.25">
      <c r="A1535" t="s">
        <v>2552</v>
      </c>
    </row>
    <row r="1536" spans="1:1" x14ac:dyDescent="0.25">
      <c r="A1536" t="s">
        <v>2553</v>
      </c>
    </row>
    <row r="1537" spans="1:1" x14ac:dyDescent="0.25">
      <c r="A1537" t="s">
        <v>2554</v>
      </c>
    </row>
    <row r="1538" spans="1:1" x14ac:dyDescent="0.25">
      <c r="A1538" t="s">
        <v>2555</v>
      </c>
    </row>
    <row r="1539" spans="1:1" x14ac:dyDescent="0.25">
      <c r="A1539" t="s">
        <v>2556</v>
      </c>
    </row>
    <row r="1540" spans="1:1" x14ac:dyDescent="0.25">
      <c r="A1540" t="s">
        <v>2557</v>
      </c>
    </row>
    <row r="1541" spans="1:1" x14ac:dyDescent="0.25">
      <c r="A1541" t="s">
        <v>2558</v>
      </c>
    </row>
    <row r="1542" spans="1:1" x14ac:dyDescent="0.25">
      <c r="A1542" t="s">
        <v>2559</v>
      </c>
    </row>
    <row r="1543" spans="1:1" x14ac:dyDescent="0.25">
      <c r="A1543" t="s">
        <v>2560</v>
      </c>
    </row>
    <row r="1544" spans="1:1" x14ac:dyDescent="0.25">
      <c r="A1544" t="s">
        <v>2561</v>
      </c>
    </row>
    <row r="1545" spans="1:1" x14ac:dyDescent="0.25">
      <c r="A1545" t="s">
        <v>2562</v>
      </c>
    </row>
    <row r="1546" spans="1:1" x14ac:dyDescent="0.25">
      <c r="A1546" t="s">
        <v>2563</v>
      </c>
    </row>
    <row r="1547" spans="1:1" x14ac:dyDescent="0.25">
      <c r="A1547" t="s">
        <v>2564</v>
      </c>
    </row>
    <row r="1548" spans="1:1" x14ac:dyDescent="0.25">
      <c r="A1548" t="s">
        <v>2565</v>
      </c>
    </row>
    <row r="1549" spans="1:1" x14ac:dyDescent="0.25">
      <c r="A1549" t="s">
        <v>2566</v>
      </c>
    </row>
    <row r="1550" spans="1:1" x14ac:dyDescent="0.25">
      <c r="A1550" t="s">
        <v>2567</v>
      </c>
    </row>
    <row r="1551" spans="1:1" x14ac:dyDescent="0.25">
      <c r="A1551" t="s">
        <v>2568</v>
      </c>
    </row>
    <row r="1552" spans="1:1" x14ac:dyDescent="0.25">
      <c r="A1552" t="s">
        <v>2569</v>
      </c>
    </row>
    <row r="1553" spans="1:1" x14ac:dyDescent="0.25">
      <c r="A1553" t="s">
        <v>2570</v>
      </c>
    </row>
    <row r="1554" spans="1:1" x14ac:dyDescent="0.25">
      <c r="A1554" t="s">
        <v>2571</v>
      </c>
    </row>
    <row r="1555" spans="1:1" x14ac:dyDescent="0.25">
      <c r="A1555" t="s">
        <v>2572</v>
      </c>
    </row>
    <row r="1556" spans="1:1" x14ac:dyDescent="0.25">
      <c r="A1556" t="s">
        <v>2573</v>
      </c>
    </row>
    <row r="1557" spans="1:1" x14ac:dyDescent="0.25">
      <c r="A1557" t="s">
        <v>2574</v>
      </c>
    </row>
    <row r="1558" spans="1:1" x14ac:dyDescent="0.25">
      <c r="A1558" t="s">
        <v>2575</v>
      </c>
    </row>
    <row r="1559" spans="1:1" x14ac:dyDescent="0.25">
      <c r="A1559" t="s">
        <v>2576</v>
      </c>
    </row>
    <row r="1560" spans="1:1" x14ac:dyDescent="0.25">
      <c r="A1560" t="s">
        <v>2577</v>
      </c>
    </row>
    <row r="1561" spans="1:1" x14ac:dyDescent="0.25">
      <c r="A1561" t="s">
        <v>2578</v>
      </c>
    </row>
    <row r="1562" spans="1:1" x14ac:dyDescent="0.25">
      <c r="A1562" t="s">
        <v>2579</v>
      </c>
    </row>
    <row r="1563" spans="1:1" x14ac:dyDescent="0.25">
      <c r="A1563" t="s">
        <v>2580</v>
      </c>
    </row>
    <row r="1564" spans="1:1" x14ac:dyDescent="0.25">
      <c r="A1564" t="s">
        <v>2581</v>
      </c>
    </row>
    <row r="1565" spans="1:1" x14ac:dyDescent="0.25">
      <c r="A1565" t="s">
        <v>2582</v>
      </c>
    </row>
    <row r="1566" spans="1:1" x14ac:dyDescent="0.25">
      <c r="A1566" t="s">
        <v>2583</v>
      </c>
    </row>
    <row r="1567" spans="1:1" x14ac:dyDescent="0.25">
      <c r="A1567" t="s">
        <v>2584</v>
      </c>
    </row>
    <row r="1568" spans="1:1" x14ac:dyDescent="0.25">
      <c r="A1568" t="s">
        <v>2585</v>
      </c>
    </row>
    <row r="1569" spans="1:1" x14ac:dyDescent="0.25">
      <c r="A1569" t="s">
        <v>2586</v>
      </c>
    </row>
    <row r="1570" spans="1:1" x14ac:dyDescent="0.25">
      <c r="A1570" t="s">
        <v>2587</v>
      </c>
    </row>
    <row r="1571" spans="1:1" x14ac:dyDescent="0.25">
      <c r="A1571" t="s">
        <v>2588</v>
      </c>
    </row>
    <row r="1572" spans="1:1" x14ac:dyDescent="0.25">
      <c r="A1572" t="s">
        <v>2589</v>
      </c>
    </row>
    <row r="1573" spans="1:1" x14ac:dyDescent="0.25">
      <c r="A1573" t="s">
        <v>2590</v>
      </c>
    </row>
    <row r="1574" spans="1:1" x14ac:dyDescent="0.25">
      <c r="A1574" t="s">
        <v>2591</v>
      </c>
    </row>
    <row r="1575" spans="1:1" x14ac:dyDescent="0.25">
      <c r="A1575" t="s">
        <v>2592</v>
      </c>
    </row>
    <row r="1576" spans="1:1" x14ac:dyDescent="0.25">
      <c r="A1576" t="s">
        <v>2593</v>
      </c>
    </row>
    <row r="1577" spans="1:1" x14ac:dyDescent="0.25">
      <c r="A1577" t="s">
        <v>2594</v>
      </c>
    </row>
    <row r="1578" spans="1:1" x14ac:dyDescent="0.25">
      <c r="A1578" t="s">
        <v>2595</v>
      </c>
    </row>
    <row r="1579" spans="1:1" x14ac:dyDescent="0.25">
      <c r="A1579" t="s">
        <v>2596</v>
      </c>
    </row>
    <row r="1580" spans="1:1" x14ac:dyDescent="0.25">
      <c r="A1580" t="s">
        <v>2597</v>
      </c>
    </row>
    <row r="1581" spans="1:1" x14ac:dyDescent="0.25">
      <c r="A1581" t="s">
        <v>2598</v>
      </c>
    </row>
    <row r="1582" spans="1:1" x14ac:dyDescent="0.25">
      <c r="A1582" t="s">
        <v>2599</v>
      </c>
    </row>
    <row r="1583" spans="1:1" x14ac:dyDescent="0.25">
      <c r="A1583" t="s">
        <v>2600</v>
      </c>
    </row>
    <row r="1584" spans="1:1" x14ac:dyDescent="0.25">
      <c r="A1584" t="s">
        <v>2601</v>
      </c>
    </row>
    <row r="1585" spans="1:1" x14ac:dyDescent="0.25">
      <c r="A1585" t="s">
        <v>2602</v>
      </c>
    </row>
    <row r="1586" spans="1:1" x14ac:dyDescent="0.25">
      <c r="A1586" t="s">
        <v>2603</v>
      </c>
    </row>
    <row r="1587" spans="1:1" x14ac:dyDescent="0.25">
      <c r="A1587" t="s">
        <v>2604</v>
      </c>
    </row>
    <row r="1588" spans="1:1" x14ac:dyDescent="0.25">
      <c r="A1588" t="s">
        <v>2605</v>
      </c>
    </row>
    <row r="1589" spans="1:1" x14ac:dyDescent="0.25">
      <c r="A1589" t="s">
        <v>2606</v>
      </c>
    </row>
    <row r="1590" spans="1:1" x14ac:dyDescent="0.25">
      <c r="A1590" t="s">
        <v>2607</v>
      </c>
    </row>
    <row r="1591" spans="1:1" x14ac:dyDescent="0.25">
      <c r="A1591" t="s">
        <v>2608</v>
      </c>
    </row>
    <row r="1592" spans="1:1" x14ac:dyDescent="0.25">
      <c r="A1592" t="s">
        <v>2609</v>
      </c>
    </row>
    <row r="1593" spans="1:1" x14ac:dyDescent="0.25">
      <c r="A1593" t="s">
        <v>2610</v>
      </c>
    </row>
    <row r="1594" spans="1:1" x14ac:dyDescent="0.25">
      <c r="A1594" t="s">
        <v>2611</v>
      </c>
    </row>
    <row r="1595" spans="1:1" x14ac:dyDescent="0.25">
      <c r="A1595" t="s">
        <v>2612</v>
      </c>
    </row>
    <row r="1596" spans="1:1" x14ac:dyDescent="0.25">
      <c r="A1596" t="s">
        <v>2613</v>
      </c>
    </row>
    <row r="1597" spans="1:1" x14ac:dyDescent="0.25">
      <c r="A1597" t="s">
        <v>2614</v>
      </c>
    </row>
    <row r="1598" spans="1:1" x14ac:dyDescent="0.25">
      <c r="A1598" t="s">
        <v>2615</v>
      </c>
    </row>
    <row r="1599" spans="1:1" x14ac:dyDescent="0.25">
      <c r="A1599" t="s">
        <v>2616</v>
      </c>
    </row>
    <row r="1600" spans="1:1" x14ac:dyDescent="0.25">
      <c r="A1600" t="s">
        <v>2617</v>
      </c>
    </row>
    <row r="1601" spans="1:1" x14ac:dyDescent="0.25">
      <c r="A1601" t="s">
        <v>2618</v>
      </c>
    </row>
    <row r="1602" spans="1:1" x14ac:dyDescent="0.25">
      <c r="A1602" t="s">
        <v>2619</v>
      </c>
    </row>
    <row r="1603" spans="1:1" x14ac:dyDescent="0.25">
      <c r="A1603" t="s">
        <v>2620</v>
      </c>
    </row>
    <row r="1604" spans="1:1" x14ac:dyDescent="0.25">
      <c r="A1604" t="s">
        <v>2621</v>
      </c>
    </row>
    <row r="1605" spans="1:1" x14ac:dyDescent="0.25">
      <c r="A1605" t="s">
        <v>2622</v>
      </c>
    </row>
    <row r="1606" spans="1:1" x14ac:dyDescent="0.25">
      <c r="A1606" t="s">
        <v>2623</v>
      </c>
    </row>
    <row r="1607" spans="1:1" x14ac:dyDescent="0.25">
      <c r="A1607" t="s">
        <v>2624</v>
      </c>
    </row>
    <row r="1608" spans="1:1" x14ac:dyDescent="0.25">
      <c r="A1608" t="s">
        <v>2625</v>
      </c>
    </row>
    <row r="1609" spans="1:1" x14ac:dyDescent="0.25">
      <c r="A1609" t="s">
        <v>2626</v>
      </c>
    </row>
    <row r="1610" spans="1:1" x14ac:dyDescent="0.25">
      <c r="A1610" t="s">
        <v>2627</v>
      </c>
    </row>
    <row r="1611" spans="1:1" x14ac:dyDescent="0.25">
      <c r="A1611" t="s">
        <v>2628</v>
      </c>
    </row>
    <row r="1612" spans="1:1" x14ac:dyDescent="0.25">
      <c r="A1612" t="s">
        <v>2629</v>
      </c>
    </row>
    <row r="1613" spans="1:1" x14ac:dyDescent="0.25">
      <c r="A1613" t="s">
        <v>2630</v>
      </c>
    </row>
    <row r="1614" spans="1:1" x14ac:dyDescent="0.25">
      <c r="A1614" t="s">
        <v>2631</v>
      </c>
    </row>
    <row r="1615" spans="1:1" x14ac:dyDescent="0.25">
      <c r="A1615" t="s">
        <v>2632</v>
      </c>
    </row>
    <row r="1616" spans="1:1" x14ac:dyDescent="0.25">
      <c r="A1616" t="s">
        <v>2633</v>
      </c>
    </row>
    <row r="1617" spans="1:1" x14ac:dyDescent="0.25">
      <c r="A1617" t="s">
        <v>2634</v>
      </c>
    </row>
    <row r="1618" spans="1:1" x14ac:dyDescent="0.25">
      <c r="A1618" t="s">
        <v>2635</v>
      </c>
    </row>
    <row r="1619" spans="1:1" x14ac:dyDescent="0.25">
      <c r="A1619" t="s">
        <v>2636</v>
      </c>
    </row>
    <row r="1620" spans="1:1" x14ac:dyDescent="0.25">
      <c r="A1620" t="s">
        <v>2637</v>
      </c>
    </row>
    <row r="1621" spans="1:1" x14ac:dyDescent="0.25">
      <c r="A1621" t="s">
        <v>2638</v>
      </c>
    </row>
    <row r="1622" spans="1:1" x14ac:dyDescent="0.25">
      <c r="A1622" t="s">
        <v>2639</v>
      </c>
    </row>
    <row r="1623" spans="1:1" x14ac:dyDescent="0.25">
      <c r="A1623" t="s">
        <v>2640</v>
      </c>
    </row>
    <row r="1624" spans="1:1" x14ac:dyDescent="0.25">
      <c r="A1624" t="s">
        <v>2641</v>
      </c>
    </row>
    <row r="1625" spans="1:1" x14ac:dyDescent="0.25">
      <c r="A1625" t="s">
        <v>2642</v>
      </c>
    </row>
    <row r="1626" spans="1:1" x14ac:dyDescent="0.25">
      <c r="A1626" t="s">
        <v>2643</v>
      </c>
    </row>
    <row r="1627" spans="1:1" x14ac:dyDescent="0.25">
      <c r="A1627" t="s">
        <v>2644</v>
      </c>
    </row>
    <row r="1628" spans="1:1" x14ac:dyDescent="0.25">
      <c r="A1628" t="s">
        <v>2645</v>
      </c>
    </row>
    <row r="1629" spans="1:1" x14ac:dyDescent="0.25">
      <c r="A1629" t="s">
        <v>2646</v>
      </c>
    </row>
    <row r="1630" spans="1:1" x14ac:dyDescent="0.25">
      <c r="A1630" t="s">
        <v>2647</v>
      </c>
    </row>
    <row r="1631" spans="1:1" x14ac:dyDescent="0.25">
      <c r="A1631" t="s">
        <v>2648</v>
      </c>
    </row>
    <row r="1632" spans="1:1" x14ac:dyDescent="0.25">
      <c r="A1632" t="s">
        <v>2649</v>
      </c>
    </row>
    <row r="1633" spans="1:1" x14ac:dyDescent="0.25">
      <c r="A1633" t="s">
        <v>2650</v>
      </c>
    </row>
    <row r="1634" spans="1:1" x14ac:dyDescent="0.25">
      <c r="A1634" t="s">
        <v>2651</v>
      </c>
    </row>
    <row r="1635" spans="1:1" x14ac:dyDescent="0.25">
      <c r="A1635" t="s">
        <v>2652</v>
      </c>
    </row>
    <row r="1636" spans="1:1" x14ac:dyDescent="0.25">
      <c r="A1636" t="s">
        <v>2653</v>
      </c>
    </row>
    <row r="1637" spans="1:1" x14ac:dyDescent="0.25">
      <c r="A1637" t="s">
        <v>2654</v>
      </c>
    </row>
    <row r="1638" spans="1:1" x14ac:dyDescent="0.25">
      <c r="A1638" t="s">
        <v>2655</v>
      </c>
    </row>
    <row r="1639" spans="1:1" x14ac:dyDescent="0.25">
      <c r="A1639" t="s">
        <v>2656</v>
      </c>
    </row>
    <row r="1640" spans="1:1" x14ac:dyDescent="0.25">
      <c r="A1640" t="s">
        <v>2657</v>
      </c>
    </row>
    <row r="1641" spans="1:1" x14ac:dyDescent="0.25">
      <c r="A1641" t="s">
        <v>2658</v>
      </c>
    </row>
    <row r="1642" spans="1:1" x14ac:dyDescent="0.25">
      <c r="A1642" t="s">
        <v>2659</v>
      </c>
    </row>
    <row r="1643" spans="1:1" x14ac:dyDescent="0.25">
      <c r="A1643" t="s">
        <v>2660</v>
      </c>
    </row>
    <row r="1644" spans="1:1" x14ac:dyDescent="0.25">
      <c r="A1644" t="s">
        <v>2661</v>
      </c>
    </row>
    <row r="1645" spans="1:1" x14ac:dyDescent="0.25">
      <c r="A1645" t="s">
        <v>2662</v>
      </c>
    </row>
    <row r="1646" spans="1:1" x14ac:dyDescent="0.25">
      <c r="A1646" t="s">
        <v>2663</v>
      </c>
    </row>
    <row r="1647" spans="1:1" x14ac:dyDescent="0.25">
      <c r="A1647" t="s">
        <v>2664</v>
      </c>
    </row>
    <row r="1648" spans="1:1" x14ac:dyDescent="0.25">
      <c r="A1648" t="s">
        <v>2665</v>
      </c>
    </row>
    <row r="1649" spans="1:1" x14ac:dyDescent="0.25">
      <c r="A1649" t="s">
        <v>2666</v>
      </c>
    </row>
    <row r="1650" spans="1:1" x14ac:dyDescent="0.25">
      <c r="A1650" t="s">
        <v>2667</v>
      </c>
    </row>
    <row r="1651" spans="1:1" x14ac:dyDescent="0.25">
      <c r="A1651" t="s">
        <v>2668</v>
      </c>
    </row>
    <row r="1652" spans="1:1" x14ac:dyDescent="0.25">
      <c r="A1652" t="s">
        <v>2669</v>
      </c>
    </row>
    <row r="1653" spans="1:1" x14ac:dyDescent="0.25">
      <c r="A1653" t="s">
        <v>2670</v>
      </c>
    </row>
    <row r="1654" spans="1:1" x14ac:dyDescent="0.25">
      <c r="A1654" t="s">
        <v>2671</v>
      </c>
    </row>
    <row r="1655" spans="1:1" x14ac:dyDescent="0.25">
      <c r="A1655" t="s">
        <v>2672</v>
      </c>
    </row>
    <row r="1656" spans="1:1" x14ac:dyDescent="0.25">
      <c r="A1656" t="s">
        <v>2673</v>
      </c>
    </row>
    <row r="1657" spans="1:1" x14ac:dyDescent="0.25">
      <c r="A1657" t="s">
        <v>2674</v>
      </c>
    </row>
    <row r="1658" spans="1:1" x14ac:dyDescent="0.25">
      <c r="A1658" t="s">
        <v>2675</v>
      </c>
    </row>
    <row r="1659" spans="1:1" x14ac:dyDescent="0.25">
      <c r="A1659" t="s">
        <v>2676</v>
      </c>
    </row>
    <row r="1660" spans="1:1" x14ac:dyDescent="0.25">
      <c r="A1660" t="s">
        <v>2677</v>
      </c>
    </row>
    <row r="1661" spans="1:1" x14ac:dyDescent="0.25">
      <c r="A1661" t="s">
        <v>2678</v>
      </c>
    </row>
    <row r="1662" spans="1:1" x14ac:dyDescent="0.25">
      <c r="A1662" t="s">
        <v>2679</v>
      </c>
    </row>
    <row r="1663" spans="1:1" x14ac:dyDescent="0.25">
      <c r="A1663" t="s">
        <v>2680</v>
      </c>
    </row>
    <row r="1664" spans="1:1" x14ac:dyDescent="0.25">
      <c r="A1664" t="s">
        <v>2681</v>
      </c>
    </row>
    <row r="1665" spans="1:1" x14ac:dyDescent="0.25">
      <c r="A1665" t="s">
        <v>2682</v>
      </c>
    </row>
    <row r="1666" spans="1:1" x14ac:dyDescent="0.25">
      <c r="A1666" t="s">
        <v>2683</v>
      </c>
    </row>
    <row r="1667" spans="1:1" x14ac:dyDescent="0.25">
      <c r="A1667" t="s">
        <v>2684</v>
      </c>
    </row>
    <row r="1668" spans="1:1" x14ac:dyDescent="0.25">
      <c r="A1668" t="s">
        <v>2685</v>
      </c>
    </row>
    <row r="1669" spans="1:1" x14ac:dyDescent="0.25">
      <c r="A1669" t="s">
        <v>2686</v>
      </c>
    </row>
    <row r="1670" spans="1:1" x14ac:dyDescent="0.25">
      <c r="A1670" t="s">
        <v>2687</v>
      </c>
    </row>
    <row r="1671" spans="1:1" x14ac:dyDescent="0.25">
      <c r="A1671" t="s">
        <v>2688</v>
      </c>
    </row>
    <row r="1672" spans="1:1" x14ac:dyDescent="0.25">
      <c r="A1672" t="s">
        <v>2689</v>
      </c>
    </row>
    <row r="1673" spans="1:1" x14ac:dyDescent="0.25">
      <c r="A1673" t="s">
        <v>2690</v>
      </c>
    </row>
    <row r="1674" spans="1:1" x14ac:dyDescent="0.25">
      <c r="A1674" t="s">
        <v>2691</v>
      </c>
    </row>
    <row r="1675" spans="1:1" x14ac:dyDescent="0.25">
      <c r="A1675" t="s">
        <v>2692</v>
      </c>
    </row>
    <row r="1676" spans="1:1" x14ac:dyDescent="0.25">
      <c r="A1676" t="s">
        <v>2693</v>
      </c>
    </row>
    <row r="1677" spans="1:1" x14ac:dyDescent="0.25">
      <c r="A1677" t="s">
        <v>2694</v>
      </c>
    </row>
    <row r="1678" spans="1:1" x14ac:dyDescent="0.25">
      <c r="A1678" t="s">
        <v>2695</v>
      </c>
    </row>
    <row r="1679" spans="1:1" x14ac:dyDescent="0.25">
      <c r="A1679" t="s">
        <v>2696</v>
      </c>
    </row>
    <row r="1680" spans="1:1" x14ac:dyDescent="0.25">
      <c r="A1680" t="s">
        <v>2697</v>
      </c>
    </row>
    <row r="1681" spans="1:1" x14ac:dyDescent="0.25">
      <c r="A1681" t="s">
        <v>2698</v>
      </c>
    </row>
    <row r="1682" spans="1:1" x14ac:dyDescent="0.25">
      <c r="A1682" t="s">
        <v>2699</v>
      </c>
    </row>
    <row r="1683" spans="1:1" x14ac:dyDescent="0.25">
      <c r="A1683" t="s">
        <v>2700</v>
      </c>
    </row>
    <row r="1684" spans="1:1" x14ac:dyDescent="0.25">
      <c r="A1684" t="s">
        <v>2701</v>
      </c>
    </row>
    <row r="1685" spans="1:1" x14ac:dyDescent="0.25">
      <c r="A1685" t="s">
        <v>2702</v>
      </c>
    </row>
    <row r="1686" spans="1:1" x14ac:dyDescent="0.25">
      <c r="A1686" t="s">
        <v>2703</v>
      </c>
    </row>
    <row r="1687" spans="1:1" x14ac:dyDescent="0.25">
      <c r="A1687" t="s">
        <v>2704</v>
      </c>
    </row>
    <row r="1688" spans="1:1" x14ac:dyDescent="0.25">
      <c r="A1688" t="s">
        <v>2705</v>
      </c>
    </row>
    <row r="1689" spans="1:1" x14ac:dyDescent="0.25">
      <c r="A1689" t="s">
        <v>2706</v>
      </c>
    </row>
    <row r="1690" spans="1:1" x14ac:dyDescent="0.25">
      <c r="A1690" t="s">
        <v>2707</v>
      </c>
    </row>
    <row r="1691" spans="1:1" x14ac:dyDescent="0.25">
      <c r="A1691" t="s">
        <v>2708</v>
      </c>
    </row>
    <row r="1692" spans="1:1" x14ac:dyDescent="0.25">
      <c r="A1692" t="s">
        <v>2709</v>
      </c>
    </row>
    <row r="1693" spans="1:1" x14ac:dyDescent="0.25">
      <c r="A1693" t="s">
        <v>2710</v>
      </c>
    </row>
    <row r="1694" spans="1:1" x14ac:dyDescent="0.25">
      <c r="A1694" t="s">
        <v>2711</v>
      </c>
    </row>
    <row r="1695" spans="1:1" x14ac:dyDescent="0.25">
      <c r="A1695" t="s">
        <v>2712</v>
      </c>
    </row>
    <row r="1696" spans="1:1" x14ac:dyDescent="0.25">
      <c r="A1696" t="s">
        <v>2713</v>
      </c>
    </row>
    <row r="1697" spans="1:1" x14ac:dyDescent="0.25">
      <c r="A1697" t="s">
        <v>2714</v>
      </c>
    </row>
    <row r="1698" spans="1:1" x14ac:dyDescent="0.25">
      <c r="A1698" t="s">
        <v>2715</v>
      </c>
    </row>
    <row r="1699" spans="1:1" x14ac:dyDescent="0.25">
      <c r="A1699" t="s">
        <v>2716</v>
      </c>
    </row>
    <row r="1700" spans="1:1" x14ac:dyDescent="0.25">
      <c r="A1700" t="s">
        <v>2717</v>
      </c>
    </row>
    <row r="1701" spans="1:1" x14ac:dyDescent="0.25">
      <c r="A1701" t="s">
        <v>2718</v>
      </c>
    </row>
    <row r="1702" spans="1:1" x14ac:dyDescent="0.25">
      <c r="A1702" t="s">
        <v>2719</v>
      </c>
    </row>
    <row r="1703" spans="1:1" x14ac:dyDescent="0.25">
      <c r="A1703" t="s">
        <v>2720</v>
      </c>
    </row>
    <row r="1704" spans="1:1" x14ac:dyDescent="0.25">
      <c r="A1704" t="s">
        <v>2721</v>
      </c>
    </row>
    <row r="1705" spans="1:1" x14ac:dyDescent="0.25">
      <c r="A1705" t="s">
        <v>2722</v>
      </c>
    </row>
    <row r="1706" spans="1:1" x14ac:dyDescent="0.25">
      <c r="A1706" t="s">
        <v>2723</v>
      </c>
    </row>
    <row r="1707" spans="1:1" x14ac:dyDescent="0.25">
      <c r="A1707" t="s">
        <v>2724</v>
      </c>
    </row>
    <row r="1708" spans="1:1" x14ac:dyDescent="0.25">
      <c r="A1708" t="s">
        <v>2725</v>
      </c>
    </row>
    <row r="1709" spans="1:1" x14ac:dyDescent="0.25">
      <c r="A1709" t="s">
        <v>2726</v>
      </c>
    </row>
    <row r="1710" spans="1:1" x14ac:dyDescent="0.25">
      <c r="A1710" t="s">
        <v>2727</v>
      </c>
    </row>
    <row r="1711" spans="1:1" x14ac:dyDescent="0.25">
      <c r="A1711" t="s">
        <v>2728</v>
      </c>
    </row>
    <row r="1712" spans="1:1" x14ac:dyDescent="0.25">
      <c r="A1712" t="s">
        <v>2729</v>
      </c>
    </row>
    <row r="1713" spans="1:1" x14ac:dyDescent="0.25">
      <c r="A1713" t="s">
        <v>2730</v>
      </c>
    </row>
    <row r="1714" spans="1:1" x14ac:dyDescent="0.25">
      <c r="A1714" t="s">
        <v>2731</v>
      </c>
    </row>
    <row r="1715" spans="1:1" x14ac:dyDescent="0.25">
      <c r="A1715" t="s">
        <v>2732</v>
      </c>
    </row>
    <row r="1716" spans="1:1" x14ac:dyDescent="0.25">
      <c r="A1716" t="s">
        <v>2733</v>
      </c>
    </row>
    <row r="1717" spans="1:1" x14ac:dyDescent="0.25">
      <c r="A1717" t="s">
        <v>2734</v>
      </c>
    </row>
    <row r="1718" spans="1:1" x14ac:dyDescent="0.25">
      <c r="A1718" t="s">
        <v>2735</v>
      </c>
    </row>
    <row r="1719" spans="1:1" x14ac:dyDescent="0.25">
      <c r="A1719" t="s">
        <v>2736</v>
      </c>
    </row>
    <row r="1720" spans="1:1" x14ac:dyDescent="0.25">
      <c r="A1720" t="s">
        <v>2737</v>
      </c>
    </row>
    <row r="1721" spans="1:1" x14ac:dyDescent="0.25">
      <c r="A1721" t="s">
        <v>2738</v>
      </c>
    </row>
    <row r="1722" spans="1:1" x14ac:dyDescent="0.25">
      <c r="A1722" t="s">
        <v>2739</v>
      </c>
    </row>
    <row r="1723" spans="1:1" x14ac:dyDescent="0.25">
      <c r="A1723" t="s">
        <v>2740</v>
      </c>
    </row>
    <row r="1724" spans="1:1" x14ac:dyDescent="0.25">
      <c r="A1724" t="s">
        <v>2741</v>
      </c>
    </row>
    <row r="1725" spans="1:1" x14ac:dyDescent="0.25">
      <c r="A1725" t="s">
        <v>2742</v>
      </c>
    </row>
    <row r="1726" spans="1:1" x14ac:dyDescent="0.25">
      <c r="A1726" t="s">
        <v>2743</v>
      </c>
    </row>
    <row r="1727" spans="1:1" x14ac:dyDescent="0.25">
      <c r="A1727" t="s">
        <v>2744</v>
      </c>
    </row>
    <row r="1728" spans="1:1" x14ac:dyDescent="0.25">
      <c r="A1728" t="s">
        <v>2745</v>
      </c>
    </row>
    <row r="1729" spans="1:1" x14ac:dyDescent="0.25">
      <c r="A1729" t="s">
        <v>2746</v>
      </c>
    </row>
    <row r="1730" spans="1:1" x14ac:dyDescent="0.25">
      <c r="A1730" t="s">
        <v>2747</v>
      </c>
    </row>
    <row r="1731" spans="1:1" x14ac:dyDescent="0.25">
      <c r="A1731" t="s">
        <v>2748</v>
      </c>
    </row>
    <row r="1732" spans="1:1" x14ac:dyDescent="0.25">
      <c r="A1732" t="s">
        <v>2749</v>
      </c>
    </row>
    <row r="1733" spans="1:1" x14ac:dyDescent="0.25">
      <c r="A1733" t="s">
        <v>2750</v>
      </c>
    </row>
    <row r="1734" spans="1:1" x14ac:dyDescent="0.25">
      <c r="A1734" t="s">
        <v>2751</v>
      </c>
    </row>
    <row r="1735" spans="1:1" x14ac:dyDescent="0.25">
      <c r="A1735" t="s">
        <v>2752</v>
      </c>
    </row>
    <row r="1736" spans="1:1" x14ac:dyDescent="0.25">
      <c r="A1736" t="s">
        <v>2753</v>
      </c>
    </row>
    <row r="1737" spans="1:1" x14ac:dyDescent="0.25">
      <c r="A1737" t="s">
        <v>2754</v>
      </c>
    </row>
    <row r="1738" spans="1:1" x14ac:dyDescent="0.25">
      <c r="A1738" t="s">
        <v>2755</v>
      </c>
    </row>
    <row r="1739" spans="1:1" x14ac:dyDescent="0.25">
      <c r="A1739" t="s">
        <v>2756</v>
      </c>
    </row>
    <row r="1740" spans="1:1" x14ac:dyDescent="0.25">
      <c r="A1740" t="s">
        <v>2757</v>
      </c>
    </row>
    <row r="1741" spans="1:1" x14ac:dyDescent="0.25">
      <c r="A1741" t="s">
        <v>2758</v>
      </c>
    </row>
    <row r="1742" spans="1:1" x14ac:dyDescent="0.25">
      <c r="A1742" t="s">
        <v>2759</v>
      </c>
    </row>
    <row r="1743" spans="1:1" x14ac:dyDescent="0.25">
      <c r="A1743" t="s">
        <v>2760</v>
      </c>
    </row>
    <row r="1744" spans="1:1" x14ac:dyDescent="0.25">
      <c r="A1744" t="s">
        <v>2761</v>
      </c>
    </row>
    <row r="1745" spans="1:1" x14ac:dyDescent="0.25">
      <c r="A1745" t="s">
        <v>2762</v>
      </c>
    </row>
    <row r="1746" spans="1:1" x14ac:dyDescent="0.25">
      <c r="A1746" t="s">
        <v>2763</v>
      </c>
    </row>
    <row r="1747" spans="1:1" x14ac:dyDescent="0.25">
      <c r="A1747" t="s">
        <v>2764</v>
      </c>
    </row>
    <row r="1748" spans="1:1" x14ac:dyDescent="0.25">
      <c r="A1748" t="s">
        <v>2765</v>
      </c>
    </row>
    <row r="1749" spans="1:1" x14ac:dyDescent="0.25">
      <c r="A1749" t="s">
        <v>2766</v>
      </c>
    </row>
    <row r="1750" spans="1:1" x14ac:dyDescent="0.25">
      <c r="A1750" t="s">
        <v>2767</v>
      </c>
    </row>
    <row r="1751" spans="1:1" x14ac:dyDescent="0.25">
      <c r="A1751" t="s">
        <v>2768</v>
      </c>
    </row>
    <row r="1752" spans="1:1" x14ac:dyDescent="0.25">
      <c r="A1752" t="s">
        <v>2769</v>
      </c>
    </row>
    <row r="1753" spans="1:1" x14ac:dyDescent="0.25">
      <c r="A1753" t="s">
        <v>2770</v>
      </c>
    </row>
    <row r="1754" spans="1:1" x14ac:dyDescent="0.25">
      <c r="A1754" t="s">
        <v>2771</v>
      </c>
    </row>
    <row r="1755" spans="1:1" x14ac:dyDescent="0.25">
      <c r="A1755" t="s">
        <v>2772</v>
      </c>
    </row>
    <row r="1756" spans="1:1" x14ac:dyDescent="0.25">
      <c r="A1756" t="s">
        <v>2773</v>
      </c>
    </row>
    <row r="1757" spans="1:1" x14ac:dyDescent="0.25">
      <c r="A1757" t="s">
        <v>2774</v>
      </c>
    </row>
    <row r="1758" spans="1:1" x14ac:dyDescent="0.25">
      <c r="A1758" t="s">
        <v>2775</v>
      </c>
    </row>
    <row r="1759" spans="1:1" x14ac:dyDescent="0.25">
      <c r="A1759" t="s">
        <v>2776</v>
      </c>
    </row>
    <row r="1760" spans="1:1" x14ac:dyDescent="0.25">
      <c r="A1760" t="s">
        <v>2777</v>
      </c>
    </row>
    <row r="1761" spans="1:1" x14ac:dyDescent="0.25">
      <c r="A1761" t="s">
        <v>2778</v>
      </c>
    </row>
    <row r="1762" spans="1:1" x14ac:dyDescent="0.25">
      <c r="A1762" t="s">
        <v>2779</v>
      </c>
    </row>
    <row r="1763" spans="1:1" x14ac:dyDescent="0.25">
      <c r="A1763" t="s">
        <v>2780</v>
      </c>
    </row>
    <row r="1764" spans="1:1" x14ac:dyDescent="0.25">
      <c r="A1764" t="s">
        <v>2781</v>
      </c>
    </row>
    <row r="1765" spans="1:1" x14ac:dyDescent="0.25">
      <c r="A1765" t="s">
        <v>2782</v>
      </c>
    </row>
    <row r="1766" spans="1:1" x14ac:dyDescent="0.25">
      <c r="A1766" t="s">
        <v>2783</v>
      </c>
    </row>
    <row r="1767" spans="1:1" x14ac:dyDescent="0.25">
      <c r="A1767" t="s">
        <v>2784</v>
      </c>
    </row>
    <row r="1768" spans="1:1" x14ac:dyDescent="0.25">
      <c r="A1768" t="s">
        <v>2785</v>
      </c>
    </row>
    <row r="1769" spans="1:1" x14ac:dyDescent="0.25">
      <c r="A1769" t="s">
        <v>2786</v>
      </c>
    </row>
    <row r="1770" spans="1:1" x14ac:dyDescent="0.25">
      <c r="A1770" t="s">
        <v>2787</v>
      </c>
    </row>
    <row r="1771" spans="1:1" x14ac:dyDescent="0.25">
      <c r="A1771" t="s">
        <v>2788</v>
      </c>
    </row>
    <row r="1772" spans="1:1" x14ac:dyDescent="0.25">
      <c r="A1772" t="s">
        <v>2789</v>
      </c>
    </row>
    <row r="1773" spans="1:1" x14ac:dyDescent="0.25">
      <c r="A1773" t="s">
        <v>2790</v>
      </c>
    </row>
    <row r="1774" spans="1:1" x14ac:dyDescent="0.25">
      <c r="A1774" t="s">
        <v>2791</v>
      </c>
    </row>
    <row r="1775" spans="1:1" x14ac:dyDescent="0.25">
      <c r="A1775" t="s">
        <v>2792</v>
      </c>
    </row>
    <row r="1776" spans="1:1" x14ac:dyDescent="0.25">
      <c r="A1776" t="s">
        <v>2793</v>
      </c>
    </row>
    <row r="1777" spans="1:1" x14ac:dyDescent="0.25">
      <c r="A1777" t="s">
        <v>2794</v>
      </c>
    </row>
    <row r="1778" spans="1:1" x14ac:dyDescent="0.25">
      <c r="A1778" t="s">
        <v>2795</v>
      </c>
    </row>
    <row r="1779" spans="1:1" x14ac:dyDescent="0.25">
      <c r="A1779" t="s">
        <v>2796</v>
      </c>
    </row>
    <row r="1780" spans="1:1" x14ac:dyDescent="0.25">
      <c r="A1780" t="s">
        <v>2797</v>
      </c>
    </row>
    <row r="1781" spans="1:1" x14ac:dyDescent="0.25">
      <c r="A1781" t="s">
        <v>2798</v>
      </c>
    </row>
    <row r="1782" spans="1:1" x14ac:dyDescent="0.25">
      <c r="A1782" t="s">
        <v>2799</v>
      </c>
    </row>
    <row r="1783" spans="1:1" x14ac:dyDescent="0.25">
      <c r="A1783" t="s">
        <v>2800</v>
      </c>
    </row>
    <row r="1784" spans="1:1" x14ac:dyDescent="0.25">
      <c r="A1784" t="s">
        <v>2801</v>
      </c>
    </row>
    <row r="1785" spans="1:1" x14ac:dyDescent="0.25">
      <c r="A1785" t="s">
        <v>2802</v>
      </c>
    </row>
    <row r="1786" spans="1:1" x14ac:dyDescent="0.25">
      <c r="A1786" t="s">
        <v>2803</v>
      </c>
    </row>
    <row r="1787" spans="1:1" x14ac:dyDescent="0.25">
      <c r="A1787" t="s">
        <v>2804</v>
      </c>
    </row>
    <row r="1788" spans="1:1" x14ac:dyDescent="0.25">
      <c r="A1788" t="s">
        <v>2805</v>
      </c>
    </row>
    <row r="1789" spans="1:1" x14ac:dyDescent="0.25">
      <c r="A1789" t="s">
        <v>2806</v>
      </c>
    </row>
    <row r="1790" spans="1:1" x14ac:dyDescent="0.25">
      <c r="A1790" t="s">
        <v>2807</v>
      </c>
    </row>
    <row r="1791" spans="1:1" x14ac:dyDescent="0.25">
      <c r="A1791" t="s">
        <v>2808</v>
      </c>
    </row>
    <row r="1792" spans="1:1" x14ac:dyDescent="0.25">
      <c r="A1792" t="s">
        <v>2809</v>
      </c>
    </row>
    <row r="1793" spans="1:1" x14ac:dyDescent="0.25">
      <c r="A1793" t="s">
        <v>2810</v>
      </c>
    </row>
    <row r="1794" spans="1:1" x14ac:dyDescent="0.25">
      <c r="A1794" t="s">
        <v>2811</v>
      </c>
    </row>
    <row r="1795" spans="1:1" x14ac:dyDescent="0.25">
      <c r="A1795" t="s">
        <v>2812</v>
      </c>
    </row>
    <row r="1796" spans="1:1" x14ac:dyDescent="0.25">
      <c r="A1796" t="s">
        <v>2813</v>
      </c>
    </row>
    <row r="1797" spans="1:1" x14ac:dyDescent="0.25">
      <c r="A1797" t="s">
        <v>2814</v>
      </c>
    </row>
    <row r="1798" spans="1:1" x14ac:dyDescent="0.25">
      <c r="A1798" t="s">
        <v>2815</v>
      </c>
    </row>
    <row r="1799" spans="1:1" x14ac:dyDescent="0.25">
      <c r="A1799" t="s">
        <v>2816</v>
      </c>
    </row>
    <row r="1800" spans="1:1" x14ac:dyDescent="0.25">
      <c r="A1800" t="s">
        <v>2817</v>
      </c>
    </row>
    <row r="1801" spans="1:1" x14ac:dyDescent="0.25">
      <c r="A1801" t="s">
        <v>2818</v>
      </c>
    </row>
    <row r="1802" spans="1:1" x14ac:dyDescent="0.25">
      <c r="A1802" t="s">
        <v>2819</v>
      </c>
    </row>
    <row r="1803" spans="1:1" x14ac:dyDescent="0.25">
      <c r="A1803" t="s">
        <v>2820</v>
      </c>
    </row>
    <row r="1804" spans="1:1" x14ac:dyDescent="0.25">
      <c r="A1804" t="s">
        <v>2821</v>
      </c>
    </row>
    <row r="1805" spans="1:1" x14ac:dyDescent="0.25">
      <c r="A1805" t="s">
        <v>2822</v>
      </c>
    </row>
    <row r="1806" spans="1:1" x14ac:dyDescent="0.25">
      <c r="A1806" t="s">
        <v>2823</v>
      </c>
    </row>
    <row r="1807" spans="1:1" x14ac:dyDescent="0.25">
      <c r="A1807" t="s">
        <v>2824</v>
      </c>
    </row>
    <row r="1808" spans="1:1" x14ac:dyDescent="0.25">
      <c r="A1808" t="s">
        <v>2825</v>
      </c>
    </row>
    <row r="1809" spans="1:1" x14ac:dyDescent="0.25">
      <c r="A1809" t="s">
        <v>2826</v>
      </c>
    </row>
    <row r="1810" spans="1:1" x14ac:dyDescent="0.25">
      <c r="A1810" t="s">
        <v>2827</v>
      </c>
    </row>
    <row r="1811" spans="1:1" x14ac:dyDescent="0.25">
      <c r="A1811" t="s">
        <v>2828</v>
      </c>
    </row>
    <row r="1812" spans="1:1" x14ac:dyDescent="0.25">
      <c r="A1812" t="s">
        <v>2829</v>
      </c>
    </row>
    <row r="1813" spans="1:1" x14ac:dyDescent="0.25">
      <c r="A1813" t="s">
        <v>2830</v>
      </c>
    </row>
    <row r="1814" spans="1:1" x14ac:dyDescent="0.25">
      <c r="A1814" t="s">
        <v>2831</v>
      </c>
    </row>
    <row r="1815" spans="1:1" x14ac:dyDescent="0.25">
      <c r="A1815" t="s">
        <v>2832</v>
      </c>
    </row>
    <row r="1816" spans="1:1" x14ac:dyDescent="0.25">
      <c r="A1816" t="s">
        <v>2833</v>
      </c>
    </row>
    <row r="1817" spans="1:1" x14ac:dyDescent="0.25">
      <c r="A1817" t="s">
        <v>2834</v>
      </c>
    </row>
    <row r="1818" spans="1:1" x14ac:dyDescent="0.25">
      <c r="A1818" t="s">
        <v>2835</v>
      </c>
    </row>
    <row r="1819" spans="1:1" x14ac:dyDescent="0.25">
      <c r="A1819" t="s">
        <v>2836</v>
      </c>
    </row>
    <row r="1820" spans="1:1" x14ac:dyDescent="0.25">
      <c r="A1820" t="s">
        <v>2837</v>
      </c>
    </row>
    <row r="1821" spans="1:1" x14ac:dyDescent="0.25">
      <c r="A1821" t="s">
        <v>2838</v>
      </c>
    </row>
    <row r="1822" spans="1:1" x14ac:dyDescent="0.25">
      <c r="A1822" t="s">
        <v>2839</v>
      </c>
    </row>
    <row r="1823" spans="1:1" x14ac:dyDescent="0.25">
      <c r="A1823" t="s">
        <v>2840</v>
      </c>
    </row>
    <row r="1824" spans="1:1" x14ac:dyDescent="0.25">
      <c r="A1824" t="s">
        <v>2841</v>
      </c>
    </row>
    <row r="1825" spans="1:1" x14ac:dyDescent="0.25">
      <c r="A1825" t="s">
        <v>2842</v>
      </c>
    </row>
    <row r="1826" spans="1:1" x14ac:dyDescent="0.25">
      <c r="A1826" t="s">
        <v>2843</v>
      </c>
    </row>
    <row r="1827" spans="1:1" x14ac:dyDescent="0.25">
      <c r="A1827" t="s">
        <v>2844</v>
      </c>
    </row>
    <row r="1828" spans="1:1" x14ac:dyDescent="0.25">
      <c r="A1828" t="s">
        <v>2845</v>
      </c>
    </row>
    <row r="1829" spans="1:1" x14ac:dyDescent="0.25">
      <c r="A1829" t="s">
        <v>2846</v>
      </c>
    </row>
    <row r="1830" spans="1:1" x14ac:dyDescent="0.25">
      <c r="A1830" t="s">
        <v>2847</v>
      </c>
    </row>
    <row r="1831" spans="1:1" x14ac:dyDescent="0.25">
      <c r="A1831" t="s">
        <v>2848</v>
      </c>
    </row>
    <row r="1832" spans="1:1" x14ac:dyDescent="0.25">
      <c r="A1832" t="s">
        <v>2849</v>
      </c>
    </row>
    <row r="1833" spans="1:1" x14ac:dyDescent="0.25">
      <c r="A1833" t="s">
        <v>2850</v>
      </c>
    </row>
    <row r="1834" spans="1:1" x14ac:dyDescent="0.25">
      <c r="A1834" t="s">
        <v>2851</v>
      </c>
    </row>
    <row r="1835" spans="1:1" x14ac:dyDescent="0.25">
      <c r="A1835" t="s">
        <v>2852</v>
      </c>
    </row>
    <row r="1836" spans="1:1" x14ac:dyDescent="0.25">
      <c r="A1836" t="s">
        <v>2853</v>
      </c>
    </row>
    <row r="1837" spans="1:1" x14ac:dyDescent="0.25">
      <c r="A1837" t="s">
        <v>2854</v>
      </c>
    </row>
    <row r="1838" spans="1:1" x14ac:dyDescent="0.25">
      <c r="A1838" t="s">
        <v>2855</v>
      </c>
    </row>
    <row r="1839" spans="1:1" x14ac:dyDescent="0.25">
      <c r="A1839" t="s">
        <v>2856</v>
      </c>
    </row>
    <row r="1840" spans="1:1" x14ac:dyDescent="0.25">
      <c r="A1840" t="s">
        <v>2857</v>
      </c>
    </row>
    <row r="1841" spans="1:1" x14ac:dyDescent="0.25">
      <c r="A1841" t="s">
        <v>2858</v>
      </c>
    </row>
    <row r="1842" spans="1:1" x14ac:dyDescent="0.25">
      <c r="A1842" t="s">
        <v>2859</v>
      </c>
    </row>
    <row r="1843" spans="1:1" x14ac:dyDescent="0.25">
      <c r="A1843" t="s">
        <v>2860</v>
      </c>
    </row>
    <row r="1844" spans="1:1" x14ac:dyDescent="0.25">
      <c r="A1844" t="s">
        <v>2861</v>
      </c>
    </row>
    <row r="1845" spans="1:1" x14ac:dyDescent="0.25">
      <c r="A1845" t="s">
        <v>2862</v>
      </c>
    </row>
    <row r="1846" spans="1:1" x14ac:dyDescent="0.25">
      <c r="A1846" t="s">
        <v>2863</v>
      </c>
    </row>
    <row r="1847" spans="1:1" x14ac:dyDescent="0.25">
      <c r="A1847" t="s">
        <v>2864</v>
      </c>
    </row>
    <row r="1848" spans="1:1" x14ac:dyDescent="0.25">
      <c r="A1848" t="s">
        <v>2865</v>
      </c>
    </row>
    <row r="1849" spans="1:1" x14ac:dyDescent="0.25">
      <c r="A1849" t="s">
        <v>2866</v>
      </c>
    </row>
    <row r="1850" spans="1:1" x14ac:dyDescent="0.25">
      <c r="A1850" t="s">
        <v>2867</v>
      </c>
    </row>
    <row r="1851" spans="1:1" x14ac:dyDescent="0.25">
      <c r="A1851" t="s">
        <v>2868</v>
      </c>
    </row>
    <row r="1852" spans="1:1" x14ac:dyDescent="0.25">
      <c r="A1852" t="s">
        <v>2869</v>
      </c>
    </row>
    <row r="1853" spans="1:1" x14ac:dyDescent="0.25">
      <c r="A1853" t="s">
        <v>2870</v>
      </c>
    </row>
    <row r="1854" spans="1:1" x14ac:dyDescent="0.25">
      <c r="A1854" t="s">
        <v>2871</v>
      </c>
    </row>
    <row r="1855" spans="1:1" x14ac:dyDescent="0.25">
      <c r="A1855" t="s">
        <v>2872</v>
      </c>
    </row>
    <row r="1856" spans="1:1" x14ac:dyDescent="0.25">
      <c r="A1856" t="s">
        <v>2873</v>
      </c>
    </row>
    <row r="1857" spans="1:1" x14ac:dyDescent="0.25">
      <c r="A1857" t="s">
        <v>2874</v>
      </c>
    </row>
    <row r="1858" spans="1:1" x14ac:dyDescent="0.25">
      <c r="A1858" t="s">
        <v>2875</v>
      </c>
    </row>
    <row r="1859" spans="1:1" x14ac:dyDescent="0.25">
      <c r="A1859" t="s">
        <v>2876</v>
      </c>
    </row>
    <row r="1860" spans="1:1" x14ac:dyDescent="0.25">
      <c r="A1860" t="s">
        <v>2877</v>
      </c>
    </row>
    <row r="1861" spans="1:1" x14ac:dyDescent="0.25">
      <c r="A1861" t="s">
        <v>2878</v>
      </c>
    </row>
    <row r="1862" spans="1:1" x14ac:dyDescent="0.25">
      <c r="A1862" t="s">
        <v>2879</v>
      </c>
    </row>
    <row r="1863" spans="1:1" x14ac:dyDescent="0.25">
      <c r="A1863" t="s">
        <v>2880</v>
      </c>
    </row>
    <row r="1864" spans="1:1" x14ac:dyDescent="0.25">
      <c r="A1864" t="s">
        <v>2881</v>
      </c>
    </row>
    <row r="1865" spans="1:1" x14ac:dyDescent="0.25">
      <c r="A1865" t="s">
        <v>2882</v>
      </c>
    </row>
    <row r="1866" spans="1:1" x14ac:dyDescent="0.25">
      <c r="A1866" t="s">
        <v>2883</v>
      </c>
    </row>
    <row r="1867" spans="1:1" x14ac:dyDescent="0.25">
      <c r="A1867" t="s">
        <v>2884</v>
      </c>
    </row>
    <row r="1868" spans="1:1" x14ac:dyDescent="0.25">
      <c r="A1868" t="s">
        <v>2885</v>
      </c>
    </row>
    <row r="1869" spans="1:1" x14ac:dyDescent="0.25">
      <c r="A1869" t="s">
        <v>2886</v>
      </c>
    </row>
    <row r="1870" spans="1:1" x14ac:dyDescent="0.25">
      <c r="A1870" t="s">
        <v>2887</v>
      </c>
    </row>
    <row r="1871" spans="1:1" x14ac:dyDescent="0.25">
      <c r="A1871" t="s">
        <v>2888</v>
      </c>
    </row>
    <row r="1872" spans="1:1" x14ac:dyDescent="0.25">
      <c r="A1872" t="s">
        <v>2889</v>
      </c>
    </row>
    <row r="1873" spans="1:1" x14ac:dyDescent="0.25">
      <c r="A1873" t="s">
        <v>2890</v>
      </c>
    </row>
    <row r="1874" spans="1:1" x14ac:dyDescent="0.25">
      <c r="A1874" t="s">
        <v>2891</v>
      </c>
    </row>
    <row r="1875" spans="1:1" x14ac:dyDescent="0.25">
      <c r="A1875" t="s">
        <v>2892</v>
      </c>
    </row>
    <row r="1876" spans="1:1" x14ac:dyDescent="0.25">
      <c r="A1876" t="s">
        <v>2893</v>
      </c>
    </row>
    <row r="1877" spans="1:1" x14ac:dyDescent="0.25">
      <c r="A1877" t="s">
        <v>2894</v>
      </c>
    </row>
    <row r="1878" spans="1:1" x14ac:dyDescent="0.25">
      <c r="A1878" t="s">
        <v>2895</v>
      </c>
    </row>
    <row r="1879" spans="1:1" x14ac:dyDescent="0.25">
      <c r="A1879" t="s">
        <v>2896</v>
      </c>
    </row>
    <row r="1880" spans="1:1" x14ac:dyDescent="0.25">
      <c r="A1880" t="s">
        <v>2897</v>
      </c>
    </row>
    <row r="1881" spans="1:1" x14ac:dyDescent="0.25">
      <c r="A1881" t="s">
        <v>2898</v>
      </c>
    </row>
    <row r="1882" spans="1:1" x14ac:dyDescent="0.25">
      <c r="A1882" t="s">
        <v>2899</v>
      </c>
    </row>
    <row r="1883" spans="1:1" x14ac:dyDescent="0.25">
      <c r="A1883" t="s">
        <v>2900</v>
      </c>
    </row>
    <row r="1884" spans="1:1" x14ac:dyDescent="0.25">
      <c r="A1884" t="s">
        <v>2901</v>
      </c>
    </row>
    <row r="1885" spans="1:1" x14ac:dyDescent="0.25">
      <c r="A1885" t="s">
        <v>2902</v>
      </c>
    </row>
    <row r="1886" spans="1:1" x14ac:dyDescent="0.25">
      <c r="A1886" t="s">
        <v>2903</v>
      </c>
    </row>
    <row r="1887" spans="1:1" x14ac:dyDescent="0.25">
      <c r="A1887" t="s">
        <v>2904</v>
      </c>
    </row>
    <row r="1888" spans="1:1" x14ac:dyDescent="0.25">
      <c r="A1888" t="s">
        <v>2905</v>
      </c>
    </row>
    <row r="1889" spans="1:1" x14ac:dyDescent="0.25">
      <c r="A1889" t="s">
        <v>2906</v>
      </c>
    </row>
    <row r="1890" spans="1:1" x14ac:dyDescent="0.25">
      <c r="A1890" t="s">
        <v>2907</v>
      </c>
    </row>
    <row r="1891" spans="1:1" x14ac:dyDescent="0.25">
      <c r="A1891" t="s">
        <v>2908</v>
      </c>
    </row>
    <row r="1892" spans="1:1" x14ac:dyDescent="0.25">
      <c r="A1892" t="s">
        <v>2909</v>
      </c>
    </row>
    <row r="1893" spans="1:1" x14ac:dyDescent="0.25">
      <c r="A1893" t="s">
        <v>2910</v>
      </c>
    </row>
    <row r="1894" spans="1:1" x14ac:dyDescent="0.25">
      <c r="A1894" t="s">
        <v>2911</v>
      </c>
    </row>
    <row r="1895" spans="1:1" x14ac:dyDescent="0.25">
      <c r="A1895" t="s">
        <v>2912</v>
      </c>
    </row>
    <row r="1896" spans="1:1" x14ac:dyDescent="0.25">
      <c r="A1896" t="s">
        <v>2913</v>
      </c>
    </row>
    <row r="1897" spans="1:1" x14ac:dyDescent="0.25">
      <c r="A1897" t="s">
        <v>2914</v>
      </c>
    </row>
    <row r="1898" spans="1:1" x14ac:dyDescent="0.25">
      <c r="A1898" t="s">
        <v>2915</v>
      </c>
    </row>
    <row r="1899" spans="1:1" x14ac:dyDescent="0.25">
      <c r="A1899" t="s">
        <v>2916</v>
      </c>
    </row>
    <row r="1900" spans="1:1" x14ac:dyDescent="0.25">
      <c r="A1900" t="s">
        <v>2917</v>
      </c>
    </row>
    <row r="1901" spans="1:1" x14ac:dyDescent="0.25">
      <c r="A1901" t="s">
        <v>2918</v>
      </c>
    </row>
    <row r="1902" spans="1:1" x14ac:dyDescent="0.25">
      <c r="A1902" t="s">
        <v>2919</v>
      </c>
    </row>
    <row r="1903" spans="1:1" x14ac:dyDescent="0.25">
      <c r="A1903" t="s">
        <v>2920</v>
      </c>
    </row>
    <row r="1904" spans="1:1" x14ac:dyDescent="0.25">
      <c r="A1904" t="s">
        <v>2921</v>
      </c>
    </row>
    <row r="1905" spans="1:1" x14ac:dyDescent="0.25">
      <c r="A1905" t="s">
        <v>2922</v>
      </c>
    </row>
    <row r="1906" spans="1:1" x14ac:dyDescent="0.25">
      <c r="A1906" t="s">
        <v>2923</v>
      </c>
    </row>
    <row r="1907" spans="1:1" x14ac:dyDescent="0.25">
      <c r="A1907" t="s">
        <v>2924</v>
      </c>
    </row>
    <row r="1908" spans="1:1" x14ac:dyDescent="0.25">
      <c r="A1908" t="s">
        <v>2925</v>
      </c>
    </row>
    <row r="1909" spans="1:1" x14ac:dyDescent="0.25">
      <c r="A1909" t="s">
        <v>2926</v>
      </c>
    </row>
    <row r="1910" spans="1:1" x14ac:dyDescent="0.25">
      <c r="A1910" t="s">
        <v>2927</v>
      </c>
    </row>
    <row r="1911" spans="1:1" x14ac:dyDescent="0.25">
      <c r="A1911" t="s">
        <v>2928</v>
      </c>
    </row>
    <row r="1912" spans="1:1" x14ac:dyDescent="0.25">
      <c r="A1912" t="s">
        <v>2929</v>
      </c>
    </row>
    <row r="1913" spans="1:1" x14ac:dyDescent="0.25">
      <c r="A1913" t="s">
        <v>2930</v>
      </c>
    </row>
    <row r="1914" spans="1:1" x14ac:dyDescent="0.25">
      <c r="A1914" t="s">
        <v>2931</v>
      </c>
    </row>
    <row r="1915" spans="1:1" x14ac:dyDescent="0.25">
      <c r="A1915" t="s">
        <v>2932</v>
      </c>
    </row>
    <row r="1916" spans="1:1" x14ac:dyDescent="0.25">
      <c r="A1916" t="s">
        <v>2933</v>
      </c>
    </row>
    <row r="1917" spans="1:1" x14ac:dyDescent="0.25">
      <c r="A1917" t="s">
        <v>2934</v>
      </c>
    </row>
    <row r="1918" spans="1:1" x14ac:dyDescent="0.25">
      <c r="A1918" t="s">
        <v>2935</v>
      </c>
    </row>
    <row r="1919" spans="1:1" x14ac:dyDescent="0.25">
      <c r="A1919" t="s">
        <v>2936</v>
      </c>
    </row>
    <row r="1920" spans="1:1" x14ac:dyDescent="0.25">
      <c r="A1920" t="s">
        <v>2937</v>
      </c>
    </row>
    <row r="1921" spans="1:1" x14ac:dyDescent="0.25">
      <c r="A1921" t="s">
        <v>2938</v>
      </c>
    </row>
    <row r="1922" spans="1:1" x14ac:dyDescent="0.25">
      <c r="A1922" t="s">
        <v>2939</v>
      </c>
    </row>
    <row r="1923" spans="1:1" x14ac:dyDescent="0.25">
      <c r="A1923" t="s">
        <v>2940</v>
      </c>
    </row>
    <row r="1924" spans="1:1" x14ac:dyDescent="0.25">
      <c r="A1924" t="s">
        <v>2941</v>
      </c>
    </row>
    <row r="1925" spans="1:1" x14ac:dyDescent="0.25">
      <c r="A1925" t="s">
        <v>2942</v>
      </c>
    </row>
    <row r="1926" spans="1:1" x14ac:dyDescent="0.25">
      <c r="A1926" t="s">
        <v>2943</v>
      </c>
    </row>
    <row r="1927" spans="1:1" x14ac:dyDescent="0.25">
      <c r="A1927" t="s">
        <v>2944</v>
      </c>
    </row>
    <row r="1928" spans="1:1" x14ac:dyDescent="0.25">
      <c r="A1928" t="s">
        <v>2945</v>
      </c>
    </row>
    <row r="1929" spans="1:1" x14ac:dyDescent="0.25">
      <c r="A1929" t="s">
        <v>2946</v>
      </c>
    </row>
    <row r="1930" spans="1:1" x14ac:dyDescent="0.25">
      <c r="A1930" t="s">
        <v>2947</v>
      </c>
    </row>
    <row r="1931" spans="1:1" x14ac:dyDescent="0.25">
      <c r="A1931" t="s">
        <v>2948</v>
      </c>
    </row>
    <row r="1932" spans="1:1" x14ac:dyDescent="0.25">
      <c r="A1932" t="s">
        <v>2949</v>
      </c>
    </row>
    <row r="1933" spans="1:1" x14ac:dyDescent="0.25">
      <c r="A1933" t="s">
        <v>1419</v>
      </c>
    </row>
    <row r="1934" spans="1:1" x14ac:dyDescent="0.25">
      <c r="A1934" t="s">
        <v>2950</v>
      </c>
    </row>
    <row r="1935" spans="1:1" x14ac:dyDescent="0.25">
      <c r="A1935" t="s">
        <v>2951</v>
      </c>
    </row>
    <row r="1936" spans="1:1" x14ac:dyDescent="0.25">
      <c r="A1936" t="s">
        <v>2952</v>
      </c>
    </row>
    <row r="1937" spans="1:1" x14ac:dyDescent="0.25">
      <c r="A1937" t="s">
        <v>2953</v>
      </c>
    </row>
    <row r="1938" spans="1:1" x14ac:dyDescent="0.25">
      <c r="A1938" t="s">
        <v>2954</v>
      </c>
    </row>
    <row r="1939" spans="1:1" x14ac:dyDescent="0.25">
      <c r="A1939" t="s">
        <v>2955</v>
      </c>
    </row>
    <row r="1940" spans="1:1" x14ac:dyDescent="0.25">
      <c r="A1940" t="s">
        <v>2956</v>
      </c>
    </row>
    <row r="1941" spans="1:1" x14ac:dyDescent="0.25">
      <c r="A1941" t="s">
        <v>2957</v>
      </c>
    </row>
    <row r="1942" spans="1:1" x14ac:dyDescent="0.25">
      <c r="A1942" t="s">
        <v>2958</v>
      </c>
    </row>
    <row r="1943" spans="1:1" x14ac:dyDescent="0.25">
      <c r="A1943" t="s">
        <v>2959</v>
      </c>
    </row>
    <row r="1944" spans="1:1" x14ac:dyDescent="0.25">
      <c r="A1944" t="s">
        <v>2960</v>
      </c>
    </row>
    <row r="1945" spans="1:1" x14ac:dyDescent="0.25">
      <c r="A1945" t="s">
        <v>2961</v>
      </c>
    </row>
    <row r="1946" spans="1:1" x14ac:dyDescent="0.25">
      <c r="A1946" t="s">
        <v>2962</v>
      </c>
    </row>
    <row r="1947" spans="1:1" x14ac:dyDescent="0.25">
      <c r="A1947" t="s">
        <v>2963</v>
      </c>
    </row>
    <row r="1948" spans="1:1" x14ac:dyDescent="0.25">
      <c r="A1948" t="s">
        <v>2964</v>
      </c>
    </row>
    <row r="1949" spans="1:1" x14ac:dyDescent="0.25">
      <c r="A1949" t="s">
        <v>1422</v>
      </c>
    </row>
    <row r="1950" spans="1:1" x14ac:dyDescent="0.25">
      <c r="A1950" t="s">
        <v>2965</v>
      </c>
    </row>
    <row r="1951" spans="1:1" x14ac:dyDescent="0.25">
      <c r="A1951" t="s">
        <v>2966</v>
      </c>
    </row>
    <row r="1952" spans="1:1" x14ac:dyDescent="0.25">
      <c r="A1952" t="s">
        <v>2967</v>
      </c>
    </row>
    <row r="1953" spans="1:1" x14ac:dyDescent="0.25">
      <c r="A1953" t="s">
        <v>2968</v>
      </c>
    </row>
    <row r="1954" spans="1:1" x14ac:dyDescent="0.25">
      <c r="A1954" t="s">
        <v>2969</v>
      </c>
    </row>
    <row r="1955" spans="1:1" x14ac:dyDescent="0.25">
      <c r="A1955" t="s">
        <v>2970</v>
      </c>
    </row>
    <row r="1956" spans="1:1" x14ac:dyDescent="0.25">
      <c r="A1956" t="s">
        <v>2971</v>
      </c>
    </row>
    <row r="1957" spans="1:1" x14ac:dyDescent="0.25">
      <c r="A1957" t="s">
        <v>2972</v>
      </c>
    </row>
    <row r="1958" spans="1:1" x14ac:dyDescent="0.25">
      <c r="A1958" t="s">
        <v>2973</v>
      </c>
    </row>
    <row r="1959" spans="1:1" x14ac:dyDescent="0.25">
      <c r="A1959" t="s">
        <v>2974</v>
      </c>
    </row>
    <row r="1960" spans="1:1" x14ac:dyDescent="0.25">
      <c r="A1960" t="s">
        <v>2975</v>
      </c>
    </row>
    <row r="1961" spans="1:1" x14ac:dyDescent="0.25">
      <c r="A1961" t="s">
        <v>2976</v>
      </c>
    </row>
    <row r="1962" spans="1:1" x14ac:dyDescent="0.25">
      <c r="A1962" t="s">
        <v>2977</v>
      </c>
    </row>
    <row r="1963" spans="1:1" x14ac:dyDescent="0.25">
      <c r="A1963" t="s">
        <v>2978</v>
      </c>
    </row>
    <row r="1964" spans="1:1" x14ac:dyDescent="0.25">
      <c r="A1964" t="s">
        <v>2979</v>
      </c>
    </row>
    <row r="1965" spans="1:1" x14ac:dyDescent="0.25">
      <c r="A1965" t="s">
        <v>2980</v>
      </c>
    </row>
    <row r="1966" spans="1:1" x14ac:dyDescent="0.25">
      <c r="A1966" t="s">
        <v>2981</v>
      </c>
    </row>
    <row r="1967" spans="1:1" x14ac:dyDescent="0.25">
      <c r="A1967" t="s">
        <v>2982</v>
      </c>
    </row>
    <row r="1968" spans="1:1" x14ac:dyDescent="0.25">
      <c r="A1968" t="s">
        <v>2983</v>
      </c>
    </row>
    <row r="1969" spans="1:1" x14ac:dyDescent="0.25">
      <c r="A1969" t="s">
        <v>2984</v>
      </c>
    </row>
    <row r="1970" spans="1:1" x14ac:dyDescent="0.25">
      <c r="A1970" t="s">
        <v>2985</v>
      </c>
    </row>
    <row r="1971" spans="1:1" x14ac:dyDescent="0.25">
      <c r="A1971" t="s">
        <v>2986</v>
      </c>
    </row>
    <row r="1972" spans="1:1" x14ac:dyDescent="0.25">
      <c r="A1972" t="s">
        <v>2987</v>
      </c>
    </row>
    <row r="1973" spans="1:1" x14ac:dyDescent="0.25">
      <c r="A1973" t="s">
        <v>2988</v>
      </c>
    </row>
    <row r="1974" spans="1:1" x14ac:dyDescent="0.25">
      <c r="A1974" t="s">
        <v>2989</v>
      </c>
    </row>
    <row r="1975" spans="1:1" x14ac:dyDescent="0.25">
      <c r="A1975" t="s">
        <v>2990</v>
      </c>
    </row>
    <row r="1976" spans="1:1" x14ac:dyDescent="0.25">
      <c r="A1976" t="s">
        <v>2991</v>
      </c>
    </row>
    <row r="1977" spans="1:1" x14ac:dyDescent="0.25">
      <c r="A1977" t="s">
        <v>2992</v>
      </c>
    </row>
    <row r="1978" spans="1:1" x14ac:dyDescent="0.25">
      <c r="A1978" t="s">
        <v>2993</v>
      </c>
    </row>
    <row r="1979" spans="1:1" x14ac:dyDescent="0.25">
      <c r="A1979" t="s">
        <v>2994</v>
      </c>
    </row>
    <row r="1980" spans="1:1" x14ac:dyDescent="0.25">
      <c r="A1980" t="s">
        <v>2995</v>
      </c>
    </row>
    <row r="1981" spans="1:1" x14ac:dyDescent="0.25">
      <c r="A1981" t="s">
        <v>2996</v>
      </c>
    </row>
    <row r="1982" spans="1:1" x14ac:dyDescent="0.25">
      <c r="A1982" t="s">
        <v>2997</v>
      </c>
    </row>
    <row r="1983" spans="1:1" x14ac:dyDescent="0.25">
      <c r="A1983" t="s">
        <v>2998</v>
      </c>
    </row>
    <row r="1984" spans="1:1" x14ac:dyDescent="0.25">
      <c r="A1984" t="s">
        <v>2999</v>
      </c>
    </row>
    <row r="1985" spans="1:1" x14ac:dyDescent="0.25">
      <c r="A1985" t="s">
        <v>3000</v>
      </c>
    </row>
    <row r="1986" spans="1:1" x14ac:dyDescent="0.25">
      <c r="A1986" t="s">
        <v>3001</v>
      </c>
    </row>
    <row r="1987" spans="1:1" x14ac:dyDescent="0.25">
      <c r="A1987" t="s">
        <v>3002</v>
      </c>
    </row>
    <row r="1988" spans="1:1" x14ac:dyDescent="0.25">
      <c r="A1988" t="s">
        <v>3003</v>
      </c>
    </row>
    <row r="1989" spans="1:1" x14ac:dyDescent="0.25">
      <c r="A1989" t="s">
        <v>3004</v>
      </c>
    </row>
    <row r="1990" spans="1:1" x14ac:dyDescent="0.25">
      <c r="A1990" t="s">
        <v>3005</v>
      </c>
    </row>
    <row r="1991" spans="1:1" x14ac:dyDescent="0.25">
      <c r="A1991" t="s">
        <v>3006</v>
      </c>
    </row>
    <row r="1992" spans="1:1" x14ac:dyDescent="0.25">
      <c r="A1992" t="s">
        <v>3007</v>
      </c>
    </row>
    <row r="1993" spans="1:1" x14ac:dyDescent="0.25">
      <c r="A1993" t="s">
        <v>3008</v>
      </c>
    </row>
    <row r="1994" spans="1:1" x14ac:dyDescent="0.25">
      <c r="A1994" t="s">
        <v>3009</v>
      </c>
    </row>
    <row r="1995" spans="1:1" x14ac:dyDescent="0.25">
      <c r="A1995" t="s">
        <v>3010</v>
      </c>
    </row>
    <row r="1996" spans="1:1" x14ac:dyDescent="0.25">
      <c r="A1996" t="s">
        <v>3011</v>
      </c>
    </row>
    <row r="1997" spans="1:1" x14ac:dyDescent="0.25">
      <c r="A1997" t="s">
        <v>3012</v>
      </c>
    </row>
    <row r="1998" spans="1:1" x14ac:dyDescent="0.25">
      <c r="A1998" t="s">
        <v>3013</v>
      </c>
    </row>
    <row r="1999" spans="1:1" x14ac:dyDescent="0.25">
      <c r="A1999" t="s">
        <v>3014</v>
      </c>
    </row>
    <row r="2000" spans="1:1" x14ac:dyDescent="0.25">
      <c r="A2000" t="s">
        <v>3015</v>
      </c>
    </row>
    <row r="2001" spans="1:1" x14ac:dyDescent="0.25">
      <c r="A2001" t="s">
        <v>3016</v>
      </c>
    </row>
    <row r="2002" spans="1:1" x14ac:dyDescent="0.25">
      <c r="A2002" t="s">
        <v>3017</v>
      </c>
    </row>
    <row r="2003" spans="1:1" x14ac:dyDescent="0.25">
      <c r="A2003" t="s">
        <v>3018</v>
      </c>
    </row>
    <row r="2004" spans="1:1" x14ac:dyDescent="0.25">
      <c r="A2004" t="s">
        <v>3019</v>
      </c>
    </row>
    <row r="2005" spans="1:1" x14ac:dyDescent="0.25">
      <c r="A2005" t="s">
        <v>3020</v>
      </c>
    </row>
    <row r="2006" spans="1:1" x14ac:dyDescent="0.25">
      <c r="A2006" t="s">
        <v>3021</v>
      </c>
    </row>
    <row r="2007" spans="1:1" x14ac:dyDescent="0.25">
      <c r="A2007" t="s">
        <v>3022</v>
      </c>
    </row>
    <row r="2008" spans="1:1" x14ac:dyDescent="0.25">
      <c r="A2008" t="s">
        <v>3023</v>
      </c>
    </row>
    <row r="2009" spans="1:1" x14ac:dyDescent="0.25">
      <c r="A2009" t="s">
        <v>3024</v>
      </c>
    </row>
    <row r="2010" spans="1:1" x14ac:dyDescent="0.25">
      <c r="A2010" t="s">
        <v>3025</v>
      </c>
    </row>
    <row r="2011" spans="1:1" x14ac:dyDescent="0.25">
      <c r="A2011" t="s">
        <v>3026</v>
      </c>
    </row>
    <row r="2012" spans="1:1" x14ac:dyDescent="0.25">
      <c r="A2012" t="s">
        <v>3027</v>
      </c>
    </row>
    <row r="2013" spans="1:1" x14ac:dyDescent="0.25">
      <c r="A2013" t="s">
        <v>3028</v>
      </c>
    </row>
    <row r="2014" spans="1:1" x14ac:dyDescent="0.25">
      <c r="A2014" t="s">
        <v>3029</v>
      </c>
    </row>
    <row r="2015" spans="1:1" x14ac:dyDescent="0.25">
      <c r="A2015" t="s">
        <v>3030</v>
      </c>
    </row>
    <row r="2016" spans="1:1" x14ac:dyDescent="0.25">
      <c r="A2016" t="s">
        <v>3031</v>
      </c>
    </row>
    <row r="2017" spans="1:1" x14ac:dyDescent="0.25">
      <c r="A2017" t="s">
        <v>3032</v>
      </c>
    </row>
    <row r="2018" spans="1:1" x14ac:dyDescent="0.25">
      <c r="A2018" t="s">
        <v>3033</v>
      </c>
    </row>
    <row r="2019" spans="1:1" x14ac:dyDescent="0.25">
      <c r="A2019" t="s">
        <v>3034</v>
      </c>
    </row>
    <row r="2020" spans="1:1" x14ac:dyDescent="0.25">
      <c r="A2020" t="s">
        <v>3035</v>
      </c>
    </row>
    <row r="2021" spans="1:1" x14ac:dyDescent="0.25">
      <c r="A2021" t="s">
        <v>3036</v>
      </c>
    </row>
    <row r="2022" spans="1:1" x14ac:dyDescent="0.25">
      <c r="A2022" t="s">
        <v>3037</v>
      </c>
    </row>
    <row r="2023" spans="1:1" x14ac:dyDescent="0.25">
      <c r="A2023" t="s">
        <v>3038</v>
      </c>
    </row>
    <row r="2024" spans="1:1" x14ac:dyDescent="0.25">
      <c r="A2024" t="s">
        <v>3039</v>
      </c>
    </row>
    <row r="2025" spans="1:1" x14ac:dyDescent="0.25">
      <c r="A2025" t="s">
        <v>3040</v>
      </c>
    </row>
    <row r="2026" spans="1:1" x14ac:dyDescent="0.25">
      <c r="A2026" t="s">
        <v>3041</v>
      </c>
    </row>
    <row r="2027" spans="1:1" x14ac:dyDescent="0.25">
      <c r="A2027" t="s">
        <v>3042</v>
      </c>
    </row>
    <row r="2028" spans="1:1" x14ac:dyDescent="0.25">
      <c r="A2028" t="s">
        <v>3043</v>
      </c>
    </row>
    <row r="2029" spans="1:1" x14ac:dyDescent="0.25">
      <c r="A2029" t="s">
        <v>3044</v>
      </c>
    </row>
    <row r="2030" spans="1:1" x14ac:dyDescent="0.25">
      <c r="A2030" t="s">
        <v>3045</v>
      </c>
    </row>
    <row r="2031" spans="1:1" x14ac:dyDescent="0.25">
      <c r="A2031" t="s">
        <v>3046</v>
      </c>
    </row>
    <row r="2032" spans="1:1" x14ac:dyDescent="0.25">
      <c r="A2032" t="s">
        <v>3047</v>
      </c>
    </row>
    <row r="2033" spans="1:1" x14ac:dyDescent="0.25">
      <c r="A2033" t="s">
        <v>3048</v>
      </c>
    </row>
    <row r="2034" spans="1:1" x14ac:dyDescent="0.25">
      <c r="A2034" t="s">
        <v>3049</v>
      </c>
    </row>
    <row r="2035" spans="1:1" x14ac:dyDescent="0.25">
      <c r="A2035" t="s">
        <v>3050</v>
      </c>
    </row>
    <row r="2036" spans="1:1" x14ac:dyDescent="0.25">
      <c r="A2036" t="s">
        <v>3051</v>
      </c>
    </row>
    <row r="2037" spans="1:1" x14ac:dyDescent="0.25">
      <c r="A2037" t="s">
        <v>3052</v>
      </c>
    </row>
    <row r="2038" spans="1:1" x14ac:dyDescent="0.25">
      <c r="A2038" t="s">
        <v>3053</v>
      </c>
    </row>
    <row r="2039" spans="1:1" x14ac:dyDescent="0.25">
      <c r="A2039" t="s">
        <v>3054</v>
      </c>
    </row>
    <row r="2040" spans="1:1" x14ac:dyDescent="0.25">
      <c r="A2040" t="s">
        <v>3055</v>
      </c>
    </row>
    <row r="2041" spans="1:1" x14ac:dyDescent="0.25">
      <c r="A2041" t="s">
        <v>3056</v>
      </c>
    </row>
    <row r="2042" spans="1:1" x14ac:dyDescent="0.25">
      <c r="A2042" t="s">
        <v>3057</v>
      </c>
    </row>
    <row r="2043" spans="1:1" x14ac:dyDescent="0.25">
      <c r="A2043" t="s">
        <v>3058</v>
      </c>
    </row>
    <row r="2044" spans="1:1" x14ac:dyDescent="0.25">
      <c r="A2044" t="s">
        <v>3059</v>
      </c>
    </row>
    <row r="2045" spans="1:1" x14ac:dyDescent="0.25">
      <c r="A2045" t="s">
        <v>3060</v>
      </c>
    </row>
    <row r="2046" spans="1:1" x14ac:dyDescent="0.25">
      <c r="A2046" t="s">
        <v>3061</v>
      </c>
    </row>
    <row r="2047" spans="1:1" x14ac:dyDescent="0.25">
      <c r="A2047" t="s">
        <v>3062</v>
      </c>
    </row>
    <row r="2048" spans="1:1" x14ac:dyDescent="0.25">
      <c r="A2048" t="s">
        <v>3063</v>
      </c>
    </row>
    <row r="2049" spans="1:1" x14ac:dyDescent="0.25">
      <c r="A2049" t="s">
        <v>3064</v>
      </c>
    </row>
    <row r="2050" spans="1:1" x14ac:dyDescent="0.25">
      <c r="A2050" t="s">
        <v>3065</v>
      </c>
    </row>
    <row r="2051" spans="1:1" x14ac:dyDescent="0.25">
      <c r="A2051" t="s">
        <v>3066</v>
      </c>
    </row>
    <row r="2052" spans="1:1" x14ac:dyDescent="0.25">
      <c r="A2052" t="s">
        <v>3067</v>
      </c>
    </row>
    <row r="2053" spans="1:1" x14ac:dyDescent="0.25">
      <c r="A2053" t="s">
        <v>3068</v>
      </c>
    </row>
    <row r="2054" spans="1:1" x14ac:dyDescent="0.25">
      <c r="A2054" t="s">
        <v>3069</v>
      </c>
    </row>
    <row r="2055" spans="1:1" x14ac:dyDescent="0.25">
      <c r="A2055" t="s">
        <v>3070</v>
      </c>
    </row>
    <row r="2056" spans="1:1" x14ac:dyDescent="0.25">
      <c r="A2056" t="s">
        <v>3071</v>
      </c>
    </row>
    <row r="2057" spans="1:1" x14ac:dyDescent="0.25">
      <c r="A2057" t="s">
        <v>3072</v>
      </c>
    </row>
    <row r="2058" spans="1:1" x14ac:dyDescent="0.25">
      <c r="A2058" t="s">
        <v>3073</v>
      </c>
    </row>
    <row r="2059" spans="1:1" x14ac:dyDescent="0.25">
      <c r="A2059" t="s">
        <v>3074</v>
      </c>
    </row>
    <row r="2060" spans="1:1" x14ac:dyDescent="0.25">
      <c r="A2060" t="s">
        <v>3075</v>
      </c>
    </row>
    <row r="2061" spans="1:1" x14ac:dyDescent="0.25">
      <c r="A2061" t="s">
        <v>3076</v>
      </c>
    </row>
    <row r="2062" spans="1:1" x14ac:dyDescent="0.25">
      <c r="A2062" t="s">
        <v>3077</v>
      </c>
    </row>
    <row r="2063" spans="1:1" x14ac:dyDescent="0.25">
      <c r="A2063" t="s">
        <v>3078</v>
      </c>
    </row>
    <row r="2064" spans="1:1" x14ac:dyDescent="0.25">
      <c r="A2064" t="s">
        <v>3079</v>
      </c>
    </row>
    <row r="2065" spans="1:1" x14ac:dyDescent="0.25">
      <c r="A2065" t="s">
        <v>3080</v>
      </c>
    </row>
    <row r="2066" spans="1:1" x14ac:dyDescent="0.25">
      <c r="A2066" t="s">
        <v>3081</v>
      </c>
    </row>
    <row r="2067" spans="1:1" x14ac:dyDescent="0.25">
      <c r="A2067" t="s">
        <v>3082</v>
      </c>
    </row>
    <row r="2068" spans="1:1" x14ac:dyDescent="0.25">
      <c r="A2068" t="s">
        <v>3083</v>
      </c>
    </row>
    <row r="2069" spans="1:1" x14ac:dyDescent="0.25">
      <c r="A2069" t="s">
        <v>3084</v>
      </c>
    </row>
    <row r="2070" spans="1:1" x14ac:dyDescent="0.25">
      <c r="A2070" t="s">
        <v>3085</v>
      </c>
    </row>
    <row r="2071" spans="1:1" x14ac:dyDescent="0.25">
      <c r="A2071" t="s">
        <v>3086</v>
      </c>
    </row>
    <row r="2072" spans="1:1" x14ac:dyDescent="0.25">
      <c r="A2072" t="s">
        <v>3087</v>
      </c>
    </row>
    <row r="2073" spans="1:1" x14ac:dyDescent="0.25">
      <c r="A2073" t="s">
        <v>3088</v>
      </c>
    </row>
    <row r="2074" spans="1:1" x14ac:dyDescent="0.25">
      <c r="A2074" t="s">
        <v>3089</v>
      </c>
    </row>
    <row r="2075" spans="1:1" x14ac:dyDescent="0.25">
      <c r="A2075" t="s">
        <v>3090</v>
      </c>
    </row>
    <row r="2076" spans="1:1" x14ac:dyDescent="0.25">
      <c r="A2076" t="s">
        <v>3091</v>
      </c>
    </row>
    <row r="2077" spans="1:1" x14ac:dyDescent="0.25">
      <c r="A2077" t="s">
        <v>3092</v>
      </c>
    </row>
    <row r="2078" spans="1:1" x14ac:dyDescent="0.25">
      <c r="A2078" t="s">
        <v>3093</v>
      </c>
    </row>
    <row r="2079" spans="1:1" x14ac:dyDescent="0.25">
      <c r="A2079" t="s">
        <v>3094</v>
      </c>
    </row>
    <row r="2080" spans="1:1" x14ac:dyDescent="0.25">
      <c r="A2080" t="s">
        <v>3095</v>
      </c>
    </row>
    <row r="2081" spans="1:1" x14ac:dyDescent="0.25">
      <c r="A2081" t="s">
        <v>3096</v>
      </c>
    </row>
    <row r="2082" spans="1:1" x14ac:dyDescent="0.25">
      <c r="A2082" t="s">
        <v>3097</v>
      </c>
    </row>
    <row r="2083" spans="1:1" x14ac:dyDescent="0.25">
      <c r="A2083" t="s">
        <v>3098</v>
      </c>
    </row>
    <row r="2084" spans="1:1" x14ac:dyDescent="0.25">
      <c r="A2084" t="s">
        <v>3099</v>
      </c>
    </row>
    <row r="2085" spans="1:1" x14ac:dyDescent="0.25">
      <c r="A2085" t="s">
        <v>3100</v>
      </c>
    </row>
    <row r="2086" spans="1:1" x14ac:dyDescent="0.25">
      <c r="A2086" t="s">
        <v>3101</v>
      </c>
    </row>
    <row r="2087" spans="1:1" x14ac:dyDescent="0.25">
      <c r="A2087" t="s">
        <v>3102</v>
      </c>
    </row>
    <row r="2088" spans="1:1" x14ac:dyDescent="0.25">
      <c r="A2088" t="s">
        <v>3103</v>
      </c>
    </row>
    <row r="2089" spans="1:1" x14ac:dyDescent="0.25">
      <c r="A2089" t="s">
        <v>3104</v>
      </c>
    </row>
    <row r="2090" spans="1:1" x14ac:dyDescent="0.25">
      <c r="A2090" t="s">
        <v>3105</v>
      </c>
    </row>
    <row r="2091" spans="1:1" x14ac:dyDescent="0.25">
      <c r="A2091" t="s">
        <v>3106</v>
      </c>
    </row>
    <row r="2092" spans="1:1" x14ac:dyDescent="0.25">
      <c r="A2092" t="s">
        <v>3107</v>
      </c>
    </row>
    <row r="2093" spans="1:1" x14ac:dyDescent="0.25">
      <c r="A2093" t="s">
        <v>3108</v>
      </c>
    </row>
    <row r="2094" spans="1:1" x14ac:dyDescent="0.25">
      <c r="A2094" t="s">
        <v>3109</v>
      </c>
    </row>
    <row r="2095" spans="1:1" x14ac:dyDescent="0.25">
      <c r="A2095" t="s">
        <v>3110</v>
      </c>
    </row>
    <row r="2096" spans="1:1" x14ac:dyDescent="0.25">
      <c r="A2096" t="s">
        <v>3111</v>
      </c>
    </row>
    <row r="2097" spans="1:1" x14ac:dyDescent="0.25">
      <c r="A2097" t="s">
        <v>3112</v>
      </c>
    </row>
    <row r="2098" spans="1:1" x14ac:dyDescent="0.25">
      <c r="A2098" t="s">
        <v>3113</v>
      </c>
    </row>
    <row r="2099" spans="1:1" x14ac:dyDescent="0.25">
      <c r="A2099" t="s">
        <v>3114</v>
      </c>
    </row>
    <row r="2100" spans="1:1" x14ac:dyDescent="0.25">
      <c r="A2100" t="s">
        <v>3115</v>
      </c>
    </row>
    <row r="2101" spans="1:1" x14ac:dyDescent="0.25">
      <c r="A2101" t="s">
        <v>3116</v>
      </c>
    </row>
    <row r="2102" spans="1:1" x14ac:dyDescent="0.25">
      <c r="A2102" t="s">
        <v>3117</v>
      </c>
    </row>
    <row r="2103" spans="1:1" x14ac:dyDescent="0.25">
      <c r="A2103" t="s">
        <v>3118</v>
      </c>
    </row>
    <row r="2104" spans="1:1" x14ac:dyDescent="0.25">
      <c r="A2104" t="s">
        <v>3119</v>
      </c>
    </row>
    <row r="2105" spans="1:1" x14ac:dyDescent="0.25">
      <c r="A2105" t="s">
        <v>3120</v>
      </c>
    </row>
    <row r="2106" spans="1:1" x14ac:dyDescent="0.25">
      <c r="A2106" t="s">
        <v>3121</v>
      </c>
    </row>
    <row r="2107" spans="1:1" x14ac:dyDescent="0.25">
      <c r="A2107" t="s">
        <v>3122</v>
      </c>
    </row>
    <row r="2108" spans="1:1" x14ac:dyDescent="0.25">
      <c r="A2108" t="s">
        <v>3123</v>
      </c>
    </row>
    <row r="2109" spans="1:1" x14ac:dyDescent="0.25">
      <c r="A2109" t="s">
        <v>3124</v>
      </c>
    </row>
    <row r="2110" spans="1:1" x14ac:dyDescent="0.25">
      <c r="A2110" t="s">
        <v>3125</v>
      </c>
    </row>
    <row r="2111" spans="1:1" x14ac:dyDescent="0.25">
      <c r="A2111" t="s">
        <v>3126</v>
      </c>
    </row>
    <row r="2112" spans="1:1" x14ac:dyDescent="0.25">
      <c r="A2112" t="s">
        <v>3127</v>
      </c>
    </row>
    <row r="2113" spans="1:1" x14ac:dyDescent="0.25">
      <c r="A2113" t="s">
        <v>3128</v>
      </c>
    </row>
    <row r="2114" spans="1:1" x14ac:dyDescent="0.25">
      <c r="A2114" t="s">
        <v>3129</v>
      </c>
    </row>
    <row r="2115" spans="1:1" x14ac:dyDescent="0.25">
      <c r="A2115" t="s">
        <v>3130</v>
      </c>
    </row>
    <row r="2116" spans="1:1" x14ac:dyDescent="0.25">
      <c r="A2116" t="s">
        <v>3131</v>
      </c>
    </row>
    <row r="2117" spans="1:1" x14ac:dyDescent="0.25">
      <c r="A2117" t="s">
        <v>3132</v>
      </c>
    </row>
    <row r="2118" spans="1:1" x14ac:dyDescent="0.25">
      <c r="A2118" t="s">
        <v>3133</v>
      </c>
    </row>
    <row r="2119" spans="1:1" x14ac:dyDescent="0.25">
      <c r="A2119" t="s">
        <v>3134</v>
      </c>
    </row>
    <row r="2120" spans="1:1" x14ac:dyDescent="0.25">
      <c r="A2120" t="s">
        <v>3135</v>
      </c>
    </row>
    <row r="2121" spans="1:1" x14ac:dyDescent="0.25">
      <c r="A2121" t="s">
        <v>3136</v>
      </c>
    </row>
    <row r="2122" spans="1:1" x14ac:dyDescent="0.25">
      <c r="A2122" t="s">
        <v>3137</v>
      </c>
    </row>
    <row r="2123" spans="1:1" x14ac:dyDescent="0.25">
      <c r="A2123" t="s">
        <v>3138</v>
      </c>
    </row>
    <row r="2124" spans="1:1" x14ac:dyDescent="0.25">
      <c r="A2124" t="s">
        <v>3139</v>
      </c>
    </row>
    <row r="2125" spans="1:1" x14ac:dyDescent="0.25">
      <c r="A2125" t="s">
        <v>3140</v>
      </c>
    </row>
    <row r="2126" spans="1:1" x14ac:dyDescent="0.25">
      <c r="A2126" t="s">
        <v>3141</v>
      </c>
    </row>
    <row r="2127" spans="1:1" x14ac:dyDescent="0.25">
      <c r="A2127" t="s">
        <v>3142</v>
      </c>
    </row>
    <row r="2128" spans="1:1" x14ac:dyDescent="0.25">
      <c r="A2128" t="s">
        <v>3143</v>
      </c>
    </row>
    <row r="2129" spans="1:1" x14ac:dyDescent="0.25">
      <c r="A2129" t="s">
        <v>3144</v>
      </c>
    </row>
    <row r="2130" spans="1:1" x14ac:dyDescent="0.25">
      <c r="A2130" t="s">
        <v>3145</v>
      </c>
    </row>
    <row r="2131" spans="1:1" x14ac:dyDescent="0.25">
      <c r="A2131" t="s">
        <v>3146</v>
      </c>
    </row>
    <row r="2132" spans="1:1" x14ac:dyDescent="0.25">
      <c r="A2132" t="s">
        <v>3147</v>
      </c>
    </row>
    <row r="2133" spans="1:1" x14ac:dyDescent="0.25">
      <c r="A2133" t="s">
        <v>3148</v>
      </c>
    </row>
    <row r="2134" spans="1:1" x14ac:dyDescent="0.25">
      <c r="A2134" t="s">
        <v>3149</v>
      </c>
    </row>
    <row r="2135" spans="1:1" x14ac:dyDescent="0.25">
      <c r="A2135" t="s">
        <v>3150</v>
      </c>
    </row>
    <row r="2136" spans="1:1" x14ac:dyDescent="0.25">
      <c r="A2136" t="s">
        <v>3151</v>
      </c>
    </row>
    <row r="2137" spans="1:1" x14ac:dyDescent="0.25">
      <c r="A2137" t="s">
        <v>3152</v>
      </c>
    </row>
    <row r="2138" spans="1:1" x14ac:dyDescent="0.25">
      <c r="A2138" t="s">
        <v>3153</v>
      </c>
    </row>
    <row r="2139" spans="1:1" x14ac:dyDescent="0.25">
      <c r="A2139" t="s">
        <v>3154</v>
      </c>
    </row>
    <row r="2140" spans="1:1" x14ac:dyDescent="0.25">
      <c r="A2140" t="s">
        <v>3155</v>
      </c>
    </row>
    <row r="2141" spans="1:1" x14ac:dyDescent="0.25">
      <c r="A2141" t="s">
        <v>3156</v>
      </c>
    </row>
    <row r="2142" spans="1:1" x14ac:dyDescent="0.25">
      <c r="A2142" t="s">
        <v>3157</v>
      </c>
    </row>
    <row r="2143" spans="1:1" x14ac:dyDescent="0.25">
      <c r="A2143" t="s">
        <v>3158</v>
      </c>
    </row>
    <row r="2144" spans="1:1" x14ac:dyDescent="0.25">
      <c r="A2144" t="s">
        <v>3159</v>
      </c>
    </row>
    <row r="2145" spans="1:1" x14ac:dyDescent="0.25">
      <c r="A2145" t="s">
        <v>3160</v>
      </c>
    </row>
    <row r="2146" spans="1:1" x14ac:dyDescent="0.25">
      <c r="A2146" t="s">
        <v>3161</v>
      </c>
    </row>
    <row r="2147" spans="1:1" x14ac:dyDescent="0.25">
      <c r="A2147" t="s">
        <v>3162</v>
      </c>
    </row>
    <row r="2148" spans="1:1" x14ac:dyDescent="0.25">
      <c r="A2148" t="s">
        <v>3163</v>
      </c>
    </row>
    <row r="2149" spans="1:1" x14ac:dyDescent="0.25">
      <c r="A2149" t="s">
        <v>3164</v>
      </c>
    </row>
    <row r="2150" spans="1:1" x14ac:dyDescent="0.25">
      <c r="A2150" t="s">
        <v>3165</v>
      </c>
    </row>
    <row r="2151" spans="1:1" x14ac:dyDescent="0.25">
      <c r="A2151" t="s">
        <v>3166</v>
      </c>
    </row>
    <row r="2152" spans="1:1" x14ac:dyDescent="0.25">
      <c r="A2152" t="s">
        <v>3167</v>
      </c>
    </row>
    <row r="2153" spans="1:1" x14ac:dyDescent="0.25">
      <c r="A2153" t="s">
        <v>3168</v>
      </c>
    </row>
    <row r="2154" spans="1:1" x14ac:dyDescent="0.25">
      <c r="A2154" t="s">
        <v>3169</v>
      </c>
    </row>
    <row r="2155" spans="1:1" x14ac:dyDescent="0.25">
      <c r="A2155" t="s">
        <v>3170</v>
      </c>
    </row>
    <row r="2156" spans="1:1" x14ac:dyDescent="0.25">
      <c r="A2156" t="s">
        <v>3171</v>
      </c>
    </row>
    <row r="2157" spans="1:1" x14ac:dyDescent="0.25">
      <c r="A2157" t="s">
        <v>3172</v>
      </c>
    </row>
    <row r="2158" spans="1:1" x14ac:dyDescent="0.25">
      <c r="A2158" t="s">
        <v>3173</v>
      </c>
    </row>
    <row r="2159" spans="1:1" x14ac:dyDescent="0.25">
      <c r="A2159" t="s">
        <v>3174</v>
      </c>
    </row>
    <row r="2160" spans="1:1" x14ac:dyDescent="0.25">
      <c r="A2160" t="s">
        <v>3175</v>
      </c>
    </row>
    <row r="2161" spans="1:1" x14ac:dyDescent="0.25">
      <c r="A2161" t="s">
        <v>3176</v>
      </c>
    </row>
    <row r="2162" spans="1:1" x14ac:dyDescent="0.25">
      <c r="A2162" t="s">
        <v>3177</v>
      </c>
    </row>
    <row r="2163" spans="1:1" x14ac:dyDescent="0.25">
      <c r="A2163" t="s">
        <v>3178</v>
      </c>
    </row>
    <row r="2164" spans="1:1" x14ac:dyDescent="0.25">
      <c r="A2164" t="s">
        <v>3179</v>
      </c>
    </row>
    <row r="2165" spans="1:1" x14ac:dyDescent="0.25">
      <c r="A2165" t="s">
        <v>3180</v>
      </c>
    </row>
    <row r="2166" spans="1:1" x14ac:dyDescent="0.25">
      <c r="A2166" t="s">
        <v>3181</v>
      </c>
    </row>
    <row r="2167" spans="1:1" x14ac:dyDescent="0.25">
      <c r="A2167" t="s">
        <v>3182</v>
      </c>
    </row>
    <row r="2168" spans="1:1" x14ac:dyDescent="0.25">
      <c r="A2168" t="s">
        <v>3183</v>
      </c>
    </row>
    <row r="2169" spans="1:1" x14ac:dyDescent="0.25">
      <c r="A2169" t="s">
        <v>3184</v>
      </c>
    </row>
    <row r="2170" spans="1:1" x14ac:dyDescent="0.25">
      <c r="A2170" t="s">
        <v>3185</v>
      </c>
    </row>
    <row r="2171" spans="1:1" x14ac:dyDescent="0.25">
      <c r="A2171" t="s">
        <v>3186</v>
      </c>
    </row>
    <row r="2172" spans="1:1" x14ac:dyDescent="0.25">
      <c r="A2172" t="s">
        <v>3187</v>
      </c>
    </row>
    <row r="2173" spans="1:1" x14ac:dyDescent="0.25">
      <c r="A2173" t="s">
        <v>3188</v>
      </c>
    </row>
    <row r="2174" spans="1:1" x14ac:dyDescent="0.25">
      <c r="A2174" t="s">
        <v>3189</v>
      </c>
    </row>
    <row r="2175" spans="1:1" x14ac:dyDescent="0.25">
      <c r="A2175" t="s">
        <v>3190</v>
      </c>
    </row>
    <row r="2176" spans="1:1" x14ac:dyDescent="0.25">
      <c r="A2176" t="s">
        <v>3191</v>
      </c>
    </row>
    <row r="2177" spans="1:1" x14ac:dyDescent="0.25">
      <c r="A2177" t="s">
        <v>3192</v>
      </c>
    </row>
    <row r="2178" spans="1:1" x14ac:dyDescent="0.25">
      <c r="A2178" t="s">
        <v>3193</v>
      </c>
    </row>
    <row r="2179" spans="1:1" x14ac:dyDescent="0.25">
      <c r="A2179" t="s">
        <v>3194</v>
      </c>
    </row>
    <row r="2180" spans="1:1" x14ac:dyDescent="0.25">
      <c r="A2180" t="s">
        <v>3195</v>
      </c>
    </row>
    <row r="2181" spans="1:1" x14ac:dyDescent="0.25">
      <c r="A2181" t="s">
        <v>3196</v>
      </c>
    </row>
    <row r="2182" spans="1:1" x14ac:dyDescent="0.25">
      <c r="A2182" t="s">
        <v>3197</v>
      </c>
    </row>
    <row r="2183" spans="1:1" x14ac:dyDescent="0.25">
      <c r="A2183" t="s">
        <v>3198</v>
      </c>
    </row>
    <row r="2184" spans="1:1" x14ac:dyDescent="0.25">
      <c r="A2184" t="s">
        <v>3199</v>
      </c>
    </row>
    <row r="2185" spans="1:1" x14ac:dyDescent="0.25">
      <c r="A2185" t="s">
        <v>3200</v>
      </c>
    </row>
    <row r="2186" spans="1:1" x14ac:dyDescent="0.25">
      <c r="A2186" t="s">
        <v>3201</v>
      </c>
    </row>
    <row r="2187" spans="1:1" x14ac:dyDescent="0.25">
      <c r="A2187" t="s">
        <v>3202</v>
      </c>
    </row>
    <row r="2188" spans="1:1" x14ac:dyDescent="0.25">
      <c r="A2188" t="s">
        <v>3203</v>
      </c>
    </row>
    <row r="2189" spans="1:1" x14ac:dyDescent="0.25">
      <c r="A2189" t="s">
        <v>3204</v>
      </c>
    </row>
    <row r="2190" spans="1:1" x14ac:dyDescent="0.25">
      <c r="A2190" t="s">
        <v>3205</v>
      </c>
    </row>
    <row r="2191" spans="1:1" x14ac:dyDescent="0.25">
      <c r="A2191" t="s">
        <v>3206</v>
      </c>
    </row>
    <row r="2192" spans="1:1" x14ac:dyDescent="0.25">
      <c r="A2192" t="s">
        <v>3207</v>
      </c>
    </row>
    <row r="2193" spans="1:1" x14ac:dyDescent="0.25">
      <c r="A2193" t="s">
        <v>3208</v>
      </c>
    </row>
    <row r="2194" spans="1:1" x14ac:dyDescent="0.25">
      <c r="A2194" t="s">
        <v>3209</v>
      </c>
    </row>
    <row r="2195" spans="1:1" x14ac:dyDescent="0.25">
      <c r="A2195" t="s">
        <v>3210</v>
      </c>
    </row>
    <row r="2196" spans="1:1" x14ac:dyDescent="0.25">
      <c r="A2196" t="s">
        <v>3211</v>
      </c>
    </row>
    <row r="2197" spans="1:1" x14ac:dyDescent="0.25">
      <c r="A2197" t="s">
        <v>3212</v>
      </c>
    </row>
    <row r="2198" spans="1:1" x14ac:dyDescent="0.25">
      <c r="A2198" t="s">
        <v>3213</v>
      </c>
    </row>
    <row r="2199" spans="1:1" x14ac:dyDescent="0.25">
      <c r="A2199" t="s">
        <v>3214</v>
      </c>
    </row>
    <row r="2200" spans="1:1" x14ac:dyDescent="0.25">
      <c r="A2200" t="s">
        <v>3215</v>
      </c>
    </row>
    <row r="2201" spans="1:1" x14ac:dyDescent="0.25">
      <c r="A2201" t="s">
        <v>3216</v>
      </c>
    </row>
    <row r="2202" spans="1:1" x14ac:dyDescent="0.25">
      <c r="A2202" t="s">
        <v>3217</v>
      </c>
    </row>
    <row r="2203" spans="1:1" x14ac:dyDescent="0.25">
      <c r="A2203" t="s">
        <v>3218</v>
      </c>
    </row>
    <row r="2204" spans="1:1" x14ac:dyDescent="0.25">
      <c r="A2204" t="s">
        <v>3219</v>
      </c>
    </row>
    <row r="2205" spans="1:1" x14ac:dyDescent="0.25">
      <c r="A2205" t="s">
        <v>3220</v>
      </c>
    </row>
    <row r="2206" spans="1:1" x14ac:dyDescent="0.25">
      <c r="A2206" t="s">
        <v>3221</v>
      </c>
    </row>
    <row r="2207" spans="1:1" x14ac:dyDescent="0.25">
      <c r="A2207" t="s">
        <v>3222</v>
      </c>
    </row>
    <row r="2208" spans="1:1" x14ac:dyDescent="0.25">
      <c r="A2208" t="s">
        <v>3223</v>
      </c>
    </row>
    <row r="2209" spans="1:1" x14ac:dyDescent="0.25">
      <c r="A2209" t="s">
        <v>3224</v>
      </c>
    </row>
    <row r="2210" spans="1:1" x14ac:dyDescent="0.25">
      <c r="A2210" t="s">
        <v>3225</v>
      </c>
    </row>
    <row r="2211" spans="1:1" x14ac:dyDescent="0.25">
      <c r="A2211" t="s">
        <v>3226</v>
      </c>
    </row>
    <row r="2212" spans="1:1" x14ac:dyDescent="0.25">
      <c r="A2212" t="s">
        <v>3227</v>
      </c>
    </row>
    <row r="2213" spans="1:1" x14ac:dyDescent="0.25">
      <c r="A2213" t="s">
        <v>3228</v>
      </c>
    </row>
    <row r="2214" spans="1:1" x14ac:dyDescent="0.25">
      <c r="A2214" t="s">
        <v>3229</v>
      </c>
    </row>
    <row r="2215" spans="1:1" x14ac:dyDescent="0.25">
      <c r="A2215" t="s">
        <v>3230</v>
      </c>
    </row>
    <row r="2216" spans="1:1" x14ac:dyDescent="0.25">
      <c r="A2216" t="s">
        <v>3231</v>
      </c>
    </row>
    <row r="2217" spans="1:1" x14ac:dyDescent="0.25">
      <c r="A2217" t="s">
        <v>3232</v>
      </c>
    </row>
    <row r="2218" spans="1:1" x14ac:dyDescent="0.25">
      <c r="A2218" t="s">
        <v>3233</v>
      </c>
    </row>
    <row r="2219" spans="1:1" x14ac:dyDescent="0.25">
      <c r="A2219" t="s">
        <v>3234</v>
      </c>
    </row>
    <row r="2220" spans="1:1" x14ac:dyDescent="0.25">
      <c r="A2220" t="s">
        <v>3235</v>
      </c>
    </row>
    <row r="2221" spans="1:1" x14ac:dyDescent="0.25">
      <c r="A2221" t="s">
        <v>3236</v>
      </c>
    </row>
    <row r="2222" spans="1:1" x14ac:dyDescent="0.25">
      <c r="A2222" t="s">
        <v>3237</v>
      </c>
    </row>
    <row r="2223" spans="1:1" x14ac:dyDescent="0.25">
      <c r="A2223" t="s">
        <v>3238</v>
      </c>
    </row>
    <row r="2224" spans="1:1" x14ac:dyDescent="0.25">
      <c r="A2224" t="s">
        <v>3239</v>
      </c>
    </row>
    <row r="2225" spans="1:1" x14ac:dyDescent="0.25">
      <c r="A2225" t="s">
        <v>3240</v>
      </c>
    </row>
    <row r="2226" spans="1:1" x14ac:dyDescent="0.25">
      <c r="A2226" t="s">
        <v>3241</v>
      </c>
    </row>
    <row r="2227" spans="1:1" x14ac:dyDescent="0.25">
      <c r="A2227" t="s">
        <v>3242</v>
      </c>
    </row>
    <row r="2228" spans="1:1" x14ac:dyDescent="0.25">
      <c r="A2228" t="s">
        <v>3243</v>
      </c>
    </row>
    <row r="2229" spans="1:1" x14ac:dyDescent="0.25">
      <c r="A2229" t="s">
        <v>3244</v>
      </c>
    </row>
    <row r="2230" spans="1:1" x14ac:dyDescent="0.25">
      <c r="A2230" t="s">
        <v>3245</v>
      </c>
    </row>
    <row r="2231" spans="1:1" x14ac:dyDescent="0.25">
      <c r="A2231" t="s">
        <v>3246</v>
      </c>
    </row>
    <row r="2232" spans="1:1" x14ac:dyDescent="0.25">
      <c r="A2232" t="s">
        <v>3247</v>
      </c>
    </row>
    <row r="2233" spans="1:1" x14ac:dyDescent="0.25">
      <c r="A2233" t="s">
        <v>3248</v>
      </c>
    </row>
    <row r="2234" spans="1:1" x14ac:dyDescent="0.25">
      <c r="A2234" t="s">
        <v>3249</v>
      </c>
    </row>
    <row r="2235" spans="1:1" x14ac:dyDescent="0.25">
      <c r="A2235" t="s">
        <v>3250</v>
      </c>
    </row>
    <row r="2236" spans="1:1" x14ac:dyDescent="0.25">
      <c r="A2236" t="s">
        <v>3251</v>
      </c>
    </row>
    <row r="2237" spans="1:1" x14ac:dyDescent="0.25">
      <c r="A2237" t="s">
        <v>3252</v>
      </c>
    </row>
    <row r="2238" spans="1:1" x14ac:dyDescent="0.25">
      <c r="A2238" t="s">
        <v>3253</v>
      </c>
    </row>
    <row r="2239" spans="1:1" x14ac:dyDescent="0.25">
      <c r="A2239" t="s">
        <v>3254</v>
      </c>
    </row>
    <row r="2240" spans="1:1" x14ac:dyDescent="0.25">
      <c r="A2240" t="s">
        <v>3255</v>
      </c>
    </row>
    <row r="2241" spans="1:1" x14ac:dyDescent="0.25">
      <c r="A2241" t="s">
        <v>3256</v>
      </c>
    </row>
    <row r="2242" spans="1:1" x14ac:dyDescent="0.25">
      <c r="A2242" t="s">
        <v>3257</v>
      </c>
    </row>
    <row r="2243" spans="1:1" x14ac:dyDescent="0.25">
      <c r="A2243" t="s">
        <v>3258</v>
      </c>
    </row>
    <row r="2244" spans="1:1" x14ac:dyDescent="0.25">
      <c r="A2244" t="s">
        <v>3259</v>
      </c>
    </row>
    <row r="2245" spans="1:1" x14ac:dyDescent="0.25">
      <c r="A2245" t="s">
        <v>3260</v>
      </c>
    </row>
    <row r="2246" spans="1:1" x14ac:dyDescent="0.25">
      <c r="A2246" t="s">
        <v>3261</v>
      </c>
    </row>
    <row r="2247" spans="1:1" x14ac:dyDescent="0.25">
      <c r="A2247" t="s">
        <v>3262</v>
      </c>
    </row>
    <row r="2248" spans="1:1" x14ac:dyDescent="0.25">
      <c r="A2248" t="s">
        <v>3263</v>
      </c>
    </row>
    <row r="2249" spans="1:1" x14ac:dyDescent="0.25">
      <c r="A2249" t="s">
        <v>3264</v>
      </c>
    </row>
    <row r="2250" spans="1:1" x14ac:dyDescent="0.25">
      <c r="A2250" t="s">
        <v>3265</v>
      </c>
    </row>
    <row r="2251" spans="1:1" x14ac:dyDescent="0.25">
      <c r="A2251" t="s">
        <v>3266</v>
      </c>
    </row>
    <row r="2252" spans="1:1" x14ac:dyDescent="0.25">
      <c r="A2252" t="s">
        <v>3267</v>
      </c>
    </row>
    <row r="2253" spans="1:1" x14ac:dyDescent="0.25">
      <c r="A2253" t="s">
        <v>3268</v>
      </c>
    </row>
    <row r="2254" spans="1:1" x14ac:dyDescent="0.25">
      <c r="A2254" t="s">
        <v>3269</v>
      </c>
    </row>
    <row r="2255" spans="1:1" x14ac:dyDescent="0.25">
      <c r="A2255" t="s">
        <v>3270</v>
      </c>
    </row>
    <row r="2256" spans="1:1" x14ac:dyDescent="0.25">
      <c r="A2256" t="s">
        <v>3271</v>
      </c>
    </row>
    <row r="2257" spans="1:1" x14ac:dyDescent="0.25">
      <c r="A2257" t="s">
        <v>3272</v>
      </c>
    </row>
    <row r="2258" spans="1:1" x14ac:dyDescent="0.25">
      <c r="A2258" t="s">
        <v>3273</v>
      </c>
    </row>
    <row r="2259" spans="1:1" x14ac:dyDescent="0.25">
      <c r="A2259" t="s">
        <v>3274</v>
      </c>
    </row>
    <row r="2260" spans="1:1" x14ac:dyDescent="0.25">
      <c r="A2260" t="s">
        <v>3275</v>
      </c>
    </row>
    <row r="2261" spans="1:1" x14ac:dyDescent="0.25">
      <c r="A2261" t="s">
        <v>3276</v>
      </c>
    </row>
    <row r="2262" spans="1:1" x14ac:dyDescent="0.25">
      <c r="A2262" t="s">
        <v>3277</v>
      </c>
    </row>
    <row r="2263" spans="1:1" x14ac:dyDescent="0.25">
      <c r="A2263" t="s">
        <v>3278</v>
      </c>
    </row>
    <row r="2264" spans="1:1" x14ac:dyDescent="0.25">
      <c r="A2264" t="s">
        <v>3279</v>
      </c>
    </row>
    <row r="2265" spans="1:1" x14ac:dyDescent="0.25">
      <c r="A2265" t="s">
        <v>3280</v>
      </c>
    </row>
    <row r="2266" spans="1:1" x14ac:dyDescent="0.25">
      <c r="A2266" t="s">
        <v>3281</v>
      </c>
    </row>
    <row r="2267" spans="1:1" x14ac:dyDescent="0.25">
      <c r="A2267" t="s">
        <v>3282</v>
      </c>
    </row>
    <row r="2268" spans="1:1" x14ac:dyDescent="0.25">
      <c r="A2268" t="s">
        <v>3283</v>
      </c>
    </row>
    <row r="2269" spans="1:1" x14ac:dyDescent="0.25">
      <c r="A2269" t="s">
        <v>3284</v>
      </c>
    </row>
    <row r="2270" spans="1:1" x14ac:dyDescent="0.25">
      <c r="A2270" t="s">
        <v>3285</v>
      </c>
    </row>
    <row r="2271" spans="1:1" x14ac:dyDescent="0.25">
      <c r="A2271" t="s">
        <v>3286</v>
      </c>
    </row>
    <row r="2272" spans="1:1" x14ac:dyDescent="0.25">
      <c r="A2272" t="s">
        <v>3287</v>
      </c>
    </row>
    <row r="2273" spans="1:1" x14ac:dyDescent="0.25">
      <c r="A2273" t="s">
        <v>3288</v>
      </c>
    </row>
    <row r="2274" spans="1:1" x14ac:dyDescent="0.25">
      <c r="A2274" t="s">
        <v>3289</v>
      </c>
    </row>
    <row r="2275" spans="1:1" x14ac:dyDescent="0.25">
      <c r="A2275" t="s">
        <v>3290</v>
      </c>
    </row>
    <row r="2276" spans="1:1" x14ac:dyDescent="0.25">
      <c r="A2276" t="s">
        <v>3291</v>
      </c>
    </row>
    <row r="2277" spans="1:1" x14ac:dyDescent="0.25">
      <c r="A2277" t="s">
        <v>3292</v>
      </c>
    </row>
    <row r="2278" spans="1:1" x14ac:dyDescent="0.25">
      <c r="A2278" t="s">
        <v>3293</v>
      </c>
    </row>
    <row r="2279" spans="1:1" x14ac:dyDescent="0.25">
      <c r="A2279" t="s">
        <v>3294</v>
      </c>
    </row>
    <row r="2280" spans="1:1" x14ac:dyDescent="0.25">
      <c r="A2280" t="s">
        <v>3295</v>
      </c>
    </row>
    <row r="2281" spans="1:1" x14ac:dyDescent="0.25">
      <c r="A2281" t="s">
        <v>3296</v>
      </c>
    </row>
    <row r="2282" spans="1:1" x14ac:dyDescent="0.25">
      <c r="A2282" t="s">
        <v>3297</v>
      </c>
    </row>
    <row r="2283" spans="1:1" x14ac:dyDescent="0.25">
      <c r="A2283" t="s">
        <v>3298</v>
      </c>
    </row>
    <row r="2284" spans="1:1" x14ac:dyDescent="0.25">
      <c r="A2284" t="s">
        <v>3299</v>
      </c>
    </row>
    <row r="2285" spans="1:1" x14ac:dyDescent="0.25">
      <c r="A2285" t="s">
        <v>3300</v>
      </c>
    </row>
    <row r="2286" spans="1:1" x14ac:dyDescent="0.25">
      <c r="A2286" t="s">
        <v>3301</v>
      </c>
    </row>
    <row r="2287" spans="1:1" x14ac:dyDescent="0.25">
      <c r="A2287" t="s">
        <v>3302</v>
      </c>
    </row>
    <row r="2288" spans="1:1" x14ac:dyDescent="0.25">
      <c r="A2288" t="s">
        <v>3303</v>
      </c>
    </row>
    <row r="2289" spans="1:1" x14ac:dyDescent="0.25">
      <c r="A2289" t="s">
        <v>3304</v>
      </c>
    </row>
    <row r="2290" spans="1:1" x14ac:dyDescent="0.25">
      <c r="A2290" t="s">
        <v>3305</v>
      </c>
    </row>
    <row r="2291" spans="1:1" x14ac:dyDescent="0.25">
      <c r="A2291" t="s">
        <v>3306</v>
      </c>
    </row>
    <row r="2292" spans="1:1" x14ac:dyDescent="0.25">
      <c r="A2292" t="s">
        <v>3307</v>
      </c>
    </row>
    <row r="2293" spans="1:1" x14ac:dyDescent="0.25">
      <c r="A2293" t="s">
        <v>3308</v>
      </c>
    </row>
    <row r="2294" spans="1:1" x14ac:dyDescent="0.25">
      <c r="A2294" t="s">
        <v>3309</v>
      </c>
    </row>
    <row r="2295" spans="1:1" x14ac:dyDescent="0.25">
      <c r="A2295" t="s">
        <v>3310</v>
      </c>
    </row>
    <row r="2296" spans="1:1" x14ac:dyDescent="0.25">
      <c r="A2296" t="s">
        <v>3311</v>
      </c>
    </row>
    <row r="2297" spans="1:1" x14ac:dyDescent="0.25">
      <c r="A2297" t="s">
        <v>3312</v>
      </c>
    </row>
    <row r="2298" spans="1:1" x14ac:dyDescent="0.25">
      <c r="A2298" t="s">
        <v>3313</v>
      </c>
    </row>
    <row r="2299" spans="1:1" x14ac:dyDescent="0.25">
      <c r="A2299" t="s">
        <v>3314</v>
      </c>
    </row>
    <row r="2300" spans="1:1" x14ac:dyDescent="0.25">
      <c r="A2300" t="s">
        <v>3315</v>
      </c>
    </row>
    <row r="2301" spans="1:1" x14ac:dyDescent="0.25">
      <c r="A2301" t="s">
        <v>3316</v>
      </c>
    </row>
    <row r="2302" spans="1:1" x14ac:dyDescent="0.25">
      <c r="A2302" t="s">
        <v>3317</v>
      </c>
    </row>
    <row r="2303" spans="1:1" x14ac:dyDescent="0.25">
      <c r="A2303" t="s">
        <v>3318</v>
      </c>
    </row>
    <row r="2304" spans="1:1" x14ac:dyDescent="0.25">
      <c r="A2304" t="s">
        <v>3319</v>
      </c>
    </row>
    <row r="2305" spans="1:1" x14ac:dyDescent="0.25">
      <c r="A2305" t="s">
        <v>3320</v>
      </c>
    </row>
    <row r="2306" spans="1:1" x14ac:dyDescent="0.25">
      <c r="A2306" t="s">
        <v>3321</v>
      </c>
    </row>
    <row r="2307" spans="1:1" x14ac:dyDescent="0.25">
      <c r="A2307" t="s">
        <v>3322</v>
      </c>
    </row>
    <row r="2308" spans="1:1" x14ac:dyDescent="0.25">
      <c r="A2308" t="s">
        <v>3323</v>
      </c>
    </row>
    <row r="2309" spans="1:1" x14ac:dyDescent="0.25">
      <c r="A2309" t="s">
        <v>3324</v>
      </c>
    </row>
    <row r="2310" spans="1:1" x14ac:dyDescent="0.25">
      <c r="A2310" t="s">
        <v>3325</v>
      </c>
    </row>
    <row r="2311" spans="1:1" x14ac:dyDescent="0.25">
      <c r="A2311" t="s">
        <v>3326</v>
      </c>
    </row>
    <row r="2312" spans="1:1" x14ac:dyDescent="0.25">
      <c r="A2312" t="s">
        <v>3327</v>
      </c>
    </row>
    <row r="2313" spans="1:1" x14ac:dyDescent="0.25">
      <c r="A2313" t="s">
        <v>3328</v>
      </c>
    </row>
    <row r="2314" spans="1:1" x14ac:dyDescent="0.25">
      <c r="A2314" t="s">
        <v>3329</v>
      </c>
    </row>
    <row r="2315" spans="1:1" x14ac:dyDescent="0.25">
      <c r="A2315" t="s">
        <v>3330</v>
      </c>
    </row>
    <row r="2316" spans="1:1" x14ac:dyDescent="0.25">
      <c r="A2316" t="s">
        <v>3331</v>
      </c>
    </row>
    <row r="2317" spans="1:1" x14ac:dyDescent="0.25">
      <c r="A2317" t="s">
        <v>3332</v>
      </c>
    </row>
    <row r="2318" spans="1:1" x14ac:dyDescent="0.25">
      <c r="A2318" t="s">
        <v>3333</v>
      </c>
    </row>
    <row r="2319" spans="1:1" x14ac:dyDescent="0.25">
      <c r="A2319" t="s">
        <v>3334</v>
      </c>
    </row>
    <row r="2320" spans="1:1" x14ac:dyDescent="0.25">
      <c r="A2320" t="s">
        <v>3335</v>
      </c>
    </row>
    <row r="2321" spans="1:1" x14ac:dyDescent="0.25">
      <c r="A2321" t="s">
        <v>3336</v>
      </c>
    </row>
    <row r="2322" spans="1:1" x14ac:dyDescent="0.25">
      <c r="A2322" t="s">
        <v>3337</v>
      </c>
    </row>
    <row r="2323" spans="1:1" x14ac:dyDescent="0.25">
      <c r="A2323" t="s">
        <v>3338</v>
      </c>
    </row>
    <row r="2324" spans="1:1" x14ac:dyDescent="0.25">
      <c r="A2324" t="s">
        <v>3339</v>
      </c>
    </row>
    <row r="2325" spans="1:1" x14ac:dyDescent="0.25">
      <c r="A2325" t="s">
        <v>3340</v>
      </c>
    </row>
    <row r="2326" spans="1:1" x14ac:dyDescent="0.25">
      <c r="A2326" t="s">
        <v>3341</v>
      </c>
    </row>
    <row r="2327" spans="1:1" x14ac:dyDescent="0.25">
      <c r="A2327" t="s">
        <v>3342</v>
      </c>
    </row>
    <row r="2328" spans="1:1" x14ac:dyDescent="0.25">
      <c r="A2328" t="s">
        <v>3343</v>
      </c>
    </row>
    <row r="2329" spans="1:1" x14ac:dyDescent="0.25">
      <c r="A2329" t="s">
        <v>3344</v>
      </c>
    </row>
    <row r="2330" spans="1:1" x14ac:dyDescent="0.25">
      <c r="A2330" t="s">
        <v>3345</v>
      </c>
    </row>
    <row r="2331" spans="1:1" x14ac:dyDescent="0.25">
      <c r="A2331" t="s">
        <v>3346</v>
      </c>
    </row>
    <row r="2332" spans="1:1" x14ac:dyDescent="0.25">
      <c r="A2332" t="s">
        <v>3347</v>
      </c>
    </row>
    <row r="2333" spans="1:1" x14ac:dyDescent="0.25">
      <c r="A2333" t="s">
        <v>3348</v>
      </c>
    </row>
    <row r="2334" spans="1:1" x14ac:dyDescent="0.25">
      <c r="A2334" t="s">
        <v>3349</v>
      </c>
    </row>
    <row r="2335" spans="1:1" x14ac:dyDescent="0.25">
      <c r="A2335" t="s">
        <v>3350</v>
      </c>
    </row>
    <row r="2336" spans="1:1" x14ac:dyDescent="0.25">
      <c r="A2336" t="s">
        <v>3351</v>
      </c>
    </row>
    <row r="2337" spans="1:1" x14ac:dyDescent="0.25">
      <c r="A2337" t="s">
        <v>3352</v>
      </c>
    </row>
    <row r="2338" spans="1:1" x14ac:dyDescent="0.25">
      <c r="A2338" t="s">
        <v>3353</v>
      </c>
    </row>
    <row r="2339" spans="1:1" x14ac:dyDescent="0.25">
      <c r="A2339" t="s">
        <v>3354</v>
      </c>
    </row>
    <row r="2340" spans="1:1" x14ac:dyDescent="0.25">
      <c r="A2340" t="s">
        <v>3355</v>
      </c>
    </row>
    <row r="2341" spans="1:1" x14ac:dyDescent="0.25">
      <c r="A2341" t="s">
        <v>3356</v>
      </c>
    </row>
    <row r="2342" spans="1:1" x14ac:dyDescent="0.25">
      <c r="A2342" t="s">
        <v>3357</v>
      </c>
    </row>
    <row r="2343" spans="1:1" x14ac:dyDescent="0.25">
      <c r="A2343" t="s">
        <v>3358</v>
      </c>
    </row>
    <row r="2344" spans="1:1" x14ac:dyDescent="0.25">
      <c r="A2344" t="s">
        <v>3359</v>
      </c>
    </row>
    <row r="2345" spans="1:1" x14ac:dyDescent="0.25">
      <c r="A2345" t="s">
        <v>3360</v>
      </c>
    </row>
    <row r="2346" spans="1:1" x14ac:dyDescent="0.25">
      <c r="A2346" t="s">
        <v>3361</v>
      </c>
    </row>
    <row r="2347" spans="1:1" x14ac:dyDescent="0.25">
      <c r="A2347" t="s">
        <v>3362</v>
      </c>
    </row>
    <row r="2348" spans="1:1" x14ac:dyDescent="0.25">
      <c r="A2348" t="s">
        <v>3363</v>
      </c>
    </row>
    <row r="2349" spans="1:1" x14ac:dyDescent="0.25">
      <c r="A2349" t="s">
        <v>3364</v>
      </c>
    </row>
    <row r="2350" spans="1:1" x14ac:dyDescent="0.25">
      <c r="A2350" t="s">
        <v>3365</v>
      </c>
    </row>
    <row r="2351" spans="1:1" x14ac:dyDescent="0.25">
      <c r="A2351" t="s">
        <v>3366</v>
      </c>
    </row>
    <row r="2352" spans="1:1" x14ac:dyDescent="0.25">
      <c r="A2352" t="s">
        <v>3367</v>
      </c>
    </row>
    <row r="2353" spans="1:1" x14ac:dyDescent="0.25">
      <c r="A2353" t="s">
        <v>3368</v>
      </c>
    </row>
    <row r="2354" spans="1:1" x14ac:dyDescent="0.25">
      <c r="A2354" t="s">
        <v>3369</v>
      </c>
    </row>
    <row r="2355" spans="1:1" x14ac:dyDescent="0.25">
      <c r="A2355" t="s">
        <v>3370</v>
      </c>
    </row>
    <row r="2356" spans="1:1" x14ac:dyDescent="0.25">
      <c r="A2356" t="s">
        <v>3371</v>
      </c>
    </row>
    <row r="2357" spans="1:1" x14ac:dyDescent="0.25">
      <c r="A2357" t="s">
        <v>3372</v>
      </c>
    </row>
    <row r="2358" spans="1:1" x14ac:dyDescent="0.25">
      <c r="A2358" t="s">
        <v>3373</v>
      </c>
    </row>
    <row r="2359" spans="1:1" x14ac:dyDescent="0.25">
      <c r="A2359" t="s">
        <v>3374</v>
      </c>
    </row>
    <row r="2360" spans="1:1" x14ac:dyDescent="0.25">
      <c r="A2360" t="s">
        <v>3375</v>
      </c>
    </row>
    <row r="2361" spans="1:1" x14ac:dyDescent="0.25">
      <c r="A2361" t="s">
        <v>3376</v>
      </c>
    </row>
    <row r="2362" spans="1:1" x14ac:dyDescent="0.25">
      <c r="A2362" t="s">
        <v>3377</v>
      </c>
    </row>
    <row r="2363" spans="1:1" x14ac:dyDescent="0.25">
      <c r="A2363" t="s">
        <v>3378</v>
      </c>
    </row>
    <row r="2364" spans="1:1" x14ac:dyDescent="0.25">
      <c r="A2364" t="s">
        <v>3379</v>
      </c>
    </row>
    <row r="2365" spans="1:1" x14ac:dyDescent="0.25">
      <c r="A2365" t="s">
        <v>3380</v>
      </c>
    </row>
    <row r="2366" spans="1:1" x14ac:dyDescent="0.25">
      <c r="A2366" t="s">
        <v>3381</v>
      </c>
    </row>
    <row r="2367" spans="1:1" x14ac:dyDescent="0.25">
      <c r="A2367" t="s">
        <v>3382</v>
      </c>
    </row>
    <row r="2368" spans="1:1" x14ac:dyDescent="0.25">
      <c r="A2368" t="s">
        <v>3383</v>
      </c>
    </row>
    <row r="2369" spans="1:1" x14ac:dyDescent="0.25">
      <c r="A2369" t="s">
        <v>3384</v>
      </c>
    </row>
    <row r="2370" spans="1:1" x14ac:dyDescent="0.25">
      <c r="A2370" t="s">
        <v>3385</v>
      </c>
    </row>
    <row r="2371" spans="1:1" x14ac:dyDescent="0.25">
      <c r="A2371" t="s">
        <v>3386</v>
      </c>
    </row>
    <row r="2372" spans="1:1" x14ac:dyDescent="0.25">
      <c r="A2372" t="s">
        <v>3387</v>
      </c>
    </row>
    <row r="2373" spans="1:1" x14ac:dyDescent="0.25">
      <c r="A2373" t="s">
        <v>3388</v>
      </c>
    </row>
    <row r="2374" spans="1:1" x14ac:dyDescent="0.25">
      <c r="A2374" t="s">
        <v>1427</v>
      </c>
    </row>
    <row r="2375" spans="1:1" x14ac:dyDescent="0.25">
      <c r="A2375" t="s">
        <v>3389</v>
      </c>
    </row>
    <row r="2376" spans="1:1" x14ac:dyDescent="0.25">
      <c r="A2376" t="s">
        <v>3390</v>
      </c>
    </row>
    <row r="2377" spans="1:1" x14ac:dyDescent="0.25">
      <c r="A2377" t="s">
        <v>3391</v>
      </c>
    </row>
    <row r="2378" spans="1:1" x14ac:dyDescent="0.25">
      <c r="A2378" t="s">
        <v>3392</v>
      </c>
    </row>
    <row r="2379" spans="1:1" x14ac:dyDescent="0.25">
      <c r="A2379" t="s">
        <v>3393</v>
      </c>
    </row>
    <row r="2380" spans="1:1" x14ac:dyDescent="0.25">
      <c r="A2380" t="s">
        <v>3394</v>
      </c>
    </row>
    <row r="2381" spans="1:1" x14ac:dyDescent="0.25">
      <c r="A2381" t="s">
        <v>3395</v>
      </c>
    </row>
    <row r="2382" spans="1:1" x14ac:dyDescent="0.25">
      <c r="A2382" t="s">
        <v>3396</v>
      </c>
    </row>
    <row r="2383" spans="1:1" x14ac:dyDescent="0.25">
      <c r="A2383" t="s">
        <v>3397</v>
      </c>
    </row>
    <row r="2384" spans="1:1" x14ac:dyDescent="0.25">
      <c r="A2384" t="s">
        <v>3398</v>
      </c>
    </row>
    <row r="2385" spans="1:1" x14ac:dyDescent="0.25">
      <c r="A2385" t="s">
        <v>3399</v>
      </c>
    </row>
    <row r="2386" spans="1:1" x14ac:dyDescent="0.25">
      <c r="A2386" t="s">
        <v>3400</v>
      </c>
    </row>
    <row r="2387" spans="1:1" x14ac:dyDescent="0.25">
      <c r="A2387" t="s">
        <v>3401</v>
      </c>
    </row>
    <row r="2388" spans="1:1" x14ac:dyDescent="0.25">
      <c r="A2388" t="s">
        <v>3402</v>
      </c>
    </row>
    <row r="2389" spans="1:1" x14ac:dyDescent="0.25">
      <c r="A2389" t="s">
        <v>3403</v>
      </c>
    </row>
    <row r="2390" spans="1:1" x14ac:dyDescent="0.25">
      <c r="A2390" t="s">
        <v>3404</v>
      </c>
    </row>
    <row r="2391" spans="1:1" x14ac:dyDescent="0.25">
      <c r="A2391" t="s">
        <v>3405</v>
      </c>
    </row>
    <row r="2392" spans="1:1" x14ac:dyDescent="0.25">
      <c r="A2392" t="s">
        <v>3406</v>
      </c>
    </row>
    <row r="2393" spans="1:1" x14ac:dyDescent="0.25">
      <c r="A2393" t="s">
        <v>3407</v>
      </c>
    </row>
    <row r="2394" spans="1:1" x14ac:dyDescent="0.25">
      <c r="A2394" t="s">
        <v>3408</v>
      </c>
    </row>
    <row r="2395" spans="1:1" x14ac:dyDescent="0.25">
      <c r="A2395" t="s">
        <v>3409</v>
      </c>
    </row>
    <row r="2396" spans="1:1" x14ac:dyDescent="0.25">
      <c r="A2396" t="s">
        <v>3410</v>
      </c>
    </row>
    <row r="2397" spans="1:1" x14ac:dyDescent="0.25">
      <c r="A2397" t="s">
        <v>3411</v>
      </c>
    </row>
    <row r="2398" spans="1:1" x14ac:dyDescent="0.25">
      <c r="A2398" t="s">
        <v>3412</v>
      </c>
    </row>
    <row r="2399" spans="1:1" x14ac:dyDescent="0.25">
      <c r="A2399" t="s">
        <v>3413</v>
      </c>
    </row>
    <row r="2400" spans="1:1" x14ac:dyDescent="0.25">
      <c r="A2400" t="s">
        <v>3414</v>
      </c>
    </row>
    <row r="2401" spans="1:1" x14ac:dyDescent="0.25">
      <c r="A2401" t="s">
        <v>3415</v>
      </c>
    </row>
    <row r="2402" spans="1:1" x14ac:dyDescent="0.25">
      <c r="A2402" t="s">
        <v>3416</v>
      </c>
    </row>
    <row r="2403" spans="1:1" x14ac:dyDescent="0.25">
      <c r="A2403" t="s">
        <v>3417</v>
      </c>
    </row>
    <row r="2404" spans="1:1" x14ac:dyDescent="0.25">
      <c r="A2404" t="s">
        <v>3418</v>
      </c>
    </row>
    <row r="2405" spans="1:1" x14ac:dyDescent="0.25">
      <c r="A2405" t="s">
        <v>3419</v>
      </c>
    </row>
    <row r="2406" spans="1:1" x14ac:dyDescent="0.25">
      <c r="A2406" t="s">
        <v>3420</v>
      </c>
    </row>
    <row r="2407" spans="1:1" x14ac:dyDescent="0.25">
      <c r="A2407" t="s">
        <v>3421</v>
      </c>
    </row>
    <row r="2408" spans="1:1" x14ac:dyDescent="0.25">
      <c r="A2408" t="s">
        <v>3422</v>
      </c>
    </row>
    <row r="2409" spans="1:1" x14ac:dyDescent="0.25">
      <c r="A2409" t="s">
        <v>3423</v>
      </c>
    </row>
    <row r="2410" spans="1:1" x14ac:dyDescent="0.25">
      <c r="A2410" t="s">
        <v>3424</v>
      </c>
    </row>
    <row r="2411" spans="1:1" x14ac:dyDescent="0.25">
      <c r="A2411" t="s">
        <v>3425</v>
      </c>
    </row>
    <row r="2412" spans="1:1" x14ac:dyDescent="0.25">
      <c r="A2412" t="s">
        <v>3426</v>
      </c>
    </row>
    <row r="2413" spans="1:1" x14ac:dyDescent="0.25">
      <c r="A2413" t="s">
        <v>3427</v>
      </c>
    </row>
    <row r="2414" spans="1:1" x14ac:dyDescent="0.25">
      <c r="A2414" t="s">
        <v>3428</v>
      </c>
    </row>
    <row r="2415" spans="1:1" x14ac:dyDescent="0.25">
      <c r="A2415" t="s">
        <v>3429</v>
      </c>
    </row>
    <row r="2416" spans="1:1" x14ac:dyDescent="0.25">
      <c r="A2416" t="s">
        <v>3430</v>
      </c>
    </row>
    <row r="2417" spans="1:1" x14ac:dyDescent="0.25">
      <c r="A2417" t="s">
        <v>3431</v>
      </c>
    </row>
    <row r="2418" spans="1:1" x14ac:dyDescent="0.25">
      <c r="A2418" t="s">
        <v>3432</v>
      </c>
    </row>
    <row r="2419" spans="1:1" x14ac:dyDescent="0.25">
      <c r="A2419" t="s">
        <v>3433</v>
      </c>
    </row>
    <row r="2420" spans="1:1" x14ac:dyDescent="0.25">
      <c r="A2420" t="s">
        <v>3434</v>
      </c>
    </row>
    <row r="2421" spans="1:1" x14ac:dyDescent="0.25">
      <c r="A2421" t="s">
        <v>3435</v>
      </c>
    </row>
    <row r="2422" spans="1:1" x14ac:dyDescent="0.25">
      <c r="A2422" t="s">
        <v>3436</v>
      </c>
    </row>
    <row r="2423" spans="1:1" x14ac:dyDescent="0.25">
      <c r="A2423" t="s">
        <v>3437</v>
      </c>
    </row>
    <row r="2424" spans="1:1" x14ac:dyDescent="0.25">
      <c r="A2424" t="s">
        <v>3438</v>
      </c>
    </row>
    <row r="2425" spans="1:1" x14ac:dyDescent="0.25">
      <c r="A2425" t="s">
        <v>3439</v>
      </c>
    </row>
    <row r="2426" spans="1:1" x14ac:dyDescent="0.25">
      <c r="A2426" t="s">
        <v>3440</v>
      </c>
    </row>
    <row r="2427" spans="1:1" x14ac:dyDescent="0.25">
      <c r="A2427" t="s">
        <v>3441</v>
      </c>
    </row>
    <row r="2428" spans="1:1" x14ac:dyDescent="0.25">
      <c r="A2428" t="s">
        <v>3442</v>
      </c>
    </row>
    <row r="2429" spans="1:1" x14ac:dyDescent="0.25">
      <c r="A2429" t="s">
        <v>3443</v>
      </c>
    </row>
    <row r="2430" spans="1:1" x14ac:dyDescent="0.25">
      <c r="A2430" t="s">
        <v>1432</v>
      </c>
    </row>
    <row r="2431" spans="1:1" x14ac:dyDescent="0.25">
      <c r="A2431" t="s">
        <v>3444</v>
      </c>
    </row>
    <row r="2432" spans="1:1" x14ac:dyDescent="0.25">
      <c r="A2432" t="s">
        <v>3445</v>
      </c>
    </row>
    <row r="2433" spans="1:1" x14ac:dyDescent="0.25">
      <c r="A2433" t="s">
        <v>3446</v>
      </c>
    </row>
    <row r="2434" spans="1:1" x14ac:dyDescent="0.25">
      <c r="A2434" t="s">
        <v>3447</v>
      </c>
    </row>
    <row r="2435" spans="1:1" x14ac:dyDescent="0.25">
      <c r="A2435" t="s">
        <v>3448</v>
      </c>
    </row>
    <row r="2436" spans="1:1" x14ac:dyDescent="0.25">
      <c r="A2436" t="s">
        <v>3449</v>
      </c>
    </row>
    <row r="2437" spans="1:1" x14ac:dyDescent="0.25">
      <c r="A2437" t="s">
        <v>3450</v>
      </c>
    </row>
    <row r="2438" spans="1:1" x14ac:dyDescent="0.25">
      <c r="A2438" t="s">
        <v>3451</v>
      </c>
    </row>
    <row r="2439" spans="1:1" x14ac:dyDescent="0.25">
      <c r="A2439" t="s">
        <v>3452</v>
      </c>
    </row>
    <row r="2440" spans="1:1" x14ac:dyDescent="0.25">
      <c r="A2440" t="s">
        <v>3453</v>
      </c>
    </row>
    <row r="2441" spans="1:1" x14ac:dyDescent="0.25">
      <c r="A2441" t="s">
        <v>3454</v>
      </c>
    </row>
    <row r="2442" spans="1:1" x14ac:dyDescent="0.25">
      <c r="A2442" t="s">
        <v>3455</v>
      </c>
    </row>
    <row r="2443" spans="1:1" x14ac:dyDescent="0.25">
      <c r="A2443" t="s">
        <v>3456</v>
      </c>
    </row>
    <row r="2444" spans="1:1" x14ac:dyDescent="0.25">
      <c r="A2444" t="s">
        <v>3457</v>
      </c>
    </row>
    <row r="2445" spans="1:1" x14ac:dyDescent="0.25">
      <c r="A2445" t="s">
        <v>3458</v>
      </c>
    </row>
    <row r="2446" spans="1:1" x14ac:dyDescent="0.25">
      <c r="A2446" t="s">
        <v>3459</v>
      </c>
    </row>
    <row r="2447" spans="1:1" x14ac:dyDescent="0.25">
      <c r="A2447" t="s">
        <v>3460</v>
      </c>
    </row>
    <row r="2448" spans="1:1" x14ac:dyDescent="0.25">
      <c r="A2448" t="s">
        <v>3461</v>
      </c>
    </row>
    <row r="2449" spans="1:1" x14ac:dyDescent="0.25">
      <c r="A2449" t="s">
        <v>3462</v>
      </c>
    </row>
    <row r="2450" spans="1:1" x14ac:dyDescent="0.25">
      <c r="A2450" t="s">
        <v>3463</v>
      </c>
    </row>
    <row r="2451" spans="1:1" x14ac:dyDescent="0.25">
      <c r="A2451" t="s">
        <v>3464</v>
      </c>
    </row>
    <row r="2452" spans="1:1" x14ac:dyDescent="0.25">
      <c r="A2452" t="s">
        <v>3465</v>
      </c>
    </row>
    <row r="2453" spans="1:1" x14ac:dyDescent="0.25">
      <c r="A2453" t="s">
        <v>3466</v>
      </c>
    </row>
    <row r="2454" spans="1:1" x14ac:dyDescent="0.25">
      <c r="A2454" t="s">
        <v>3467</v>
      </c>
    </row>
    <row r="2455" spans="1:1" x14ac:dyDescent="0.25">
      <c r="A2455" t="s">
        <v>3468</v>
      </c>
    </row>
    <row r="2456" spans="1:1" x14ac:dyDescent="0.25">
      <c r="A2456" t="s">
        <v>3469</v>
      </c>
    </row>
    <row r="2457" spans="1:1" x14ac:dyDescent="0.25">
      <c r="A2457" t="s">
        <v>3470</v>
      </c>
    </row>
    <row r="2458" spans="1:1" x14ac:dyDescent="0.25">
      <c r="A2458" t="s">
        <v>3471</v>
      </c>
    </row>
    <row r="2459" spans="1:1" x14ac:dyDescent="0.25">
      <c r="A2459" t="s">
        <v>3472</v>
      </c>
    </row>
    <row r="2460" spans="1:1" x14ac:dyDescent="0.25">
      <c r="A2460" t="s">
        <v>3473</v>
      </c>
    </row>
    <row r="2461" spans="1:1" x14ac:dyDescent="0.25">
      <c r="A2461" t="s">
        <v>3474</v>
      </c>
    </row>
    <row r="2462" spans="1:1" x14ac:dyDescent="0.25">
      <c r="A2462" t="s">
        <v>3475</v>
      </c>
    </row>
    <row r="2463" spans="1:1" x14ac:dyDescent="0.25">
      <c r="A2463" t="s">
        <v>3476</v>
      </c>
    </row>
    <row r="2464" spans="1:1" x14ac:dyDescent="0.25">
      <c r="A2464" t="s">
        <v>3477</v>
      </c>
    </row>
    <row r="2465" spans="1:1" x14ac:dyDescent="0.25">
      <c r="A2465" t="s">
        <v>3478</v>
      </c>
    </row>
    <row r="2466" spans="1:1" x14ac:dyDescent="0.25">
      <c r="A2466" t="s">
        <v>3479</v>
      </c>
    </row>
    <row r="2467" spans="1:1" x14ac:dyDescent="0.25">
      <c r="A2467" t="s">
        <v>3480</v>
      </c>
    </row>
    <row r="2468" spans="1:1" x14ac:dyDescent="0.25">
      <c r="A2468" t="s">
        <v>3481</v>
      </c>
    </row>
    <row r="2469" spans="1:1" x14ac:dyDescent="0.25">
      <c r="A2469" t="s">
        <v>3482</v>
      </c>
    </row>
    <row r="2470" spans="1:1" x14ac:dyDescent="0.25">
      <c r="A2470" t="s">
        <v>3483</v>
      </c>
    </row>
    <row r="2471" spans="1:1" x14ac:dyDescent="0.25">
      <c r="A2471" t="s">
        <v>3484</v>
      </c>
    </row>
    <row r="2472" spans="1:1" x14ac:dyDescent="0.25">
      <c r="A2472" t="s">
        <v>3485</v>
      </c>
    </row>
    <row r="2473" spans="1:1" x14ac:dyDescent="0.25">
      <c r="A2473" t="s">
        <v>3486</v>
      </c>
    </row>
    <row r="2474" spans="1:1" x14ac:dyDescent="0.25">
      <c r="A2474" t="s">
        <v>3487</v>
      </c>
    </row>
    <row r="2475" spans="1:1" x14ac:dyDescent="0.25">
      <c r="A2475" t="s">
        <v>3488</v>
      </c>
    </row>
    <row r="2476" spans="1:1" x14ac:dyDescent="0.25">
      <c r="A2476" t="s">
        <v>3489</v>
      </c>
    </row>
    <row r="2477" spans="1:1" x14ac:dyDescent="0.25">
      <c r="A2477" t="s">
        <v>3490</v>
      </c>
    </row>
    <row r="2478" spans="1:1" x14ac:dyDescent="0.25">
      <c r="A2478" t="s">
        <v>3491</v>
      </c>
    </row>
    <row r="2479" spans="1:1" x14ac:dyDescent="0.25">
      <c r="A2479" t="s">
        <v>3492</v>
      </c>
    </row>
    <row r="2480" spans="1:1" x14ac:dyDescent="0.25">
      <c r="A2480" t="s">
        <v>3493</v>
      </c>
    </row>
    <row r="2481" spans="1:1" x14ac:dyDescent="0.25">
      <c r="A2481" t="s">
        <v>3494</v>
      </c>
    </row>
    <row r="2482" spans="1:1" x14ac:dyDescent="0.25">
      <c r="A2482" t="s">
        <v>1441</v>
      </c>
    </row>
    <row r="2483" spans="1:1" x14ac:dyDescent="0.25">
      <c r="A2483" t="s">
        <v>3495</v>
      </c>
    </row>
    <row r="2484" spans="1:1" x14ac:dyDescent="0.25">
      <c r="A2484" t="s">
        <v>3496</v>
      </c>
    </row>
    <row r="2485" spans="1:1" x14ac:dyDescent="0.25">
      <c r="A2485" t="s">
        <v>3497</v>
      </c>
    </row>
    <row r="2486" spans="1:1" x14ac:dyDescent="0.25">
      <c r="A2486" t="s">
        <v>3498</v>
      </c>
    </row>
    <row r="2487" spans="1:1" x14ac:dyDescent="0.25">
      <c r="A2487" t="s">
        <v>3499</v>
      </c>
    </row>
    <row r="2488" spans="1:1" x14ac:dyDescent="0.25">
      <c r="A2488" t="s">
        <v>3500</v>
      </c>
    </row>
    <row r="2489" spans="1:1" x14ac:dyDescent="0.25">
      <c r="A2489" t="s">
        <v>3501</v>
      </c>
    </row>
    <row r="2490" spans="1:1" x14ac:dyDescent="0.25">
      <c r="A2490" t="s">
        <v>3502</v>
      </c>
    </row>
    <row r="2491" spans="1:1" x14ac:dyDescent="0.25">
      <c r="A2491" t="s">
        <v>3503</v>
      </c>
    </row>
    <row r="2492" spans="1:1" x14ac:dyDescent="0.25">
      <c r="A2492" t="s">
        <v>3504</v>
      </c>
    </row>
    <row r="2493" spans="1:1" x14ac:dyDescent="0.25">
      <c r="A2493" t="s">
        <v>3505</v>
      </c>
    </row>
    <row r="2494" spans="1:1" x14ac:dyDescent="0.25">
      <c r="A2494" t="s">
        <v>3506</v>
      </c>
    </row>
    <row r="2495" spans="1:1" x14ac:dyDescent="0.25">
      <c r="A2495" t="s">
        <v>3507</v>
      </c>
    </row>
    <row r="2496" spans="1:1" x14ac:dyDescent="0.25">
      <c r="A2496" t="s">
        <v>3508</v>
      </c>
    </row>
    <row r="2497" spans="1:1" x14ac:dyDescent="0.25">
      <c r="A2497" t="s">
        <v>3509</v>
      </c>
    </row>
    <row r="2498" spans="1:1" x14ac:dyDescent="0.25">
      <c r="A2498" t="s">
        <v>3510</v>
      </c>
    </row>
    <row r="2499" spans="1:1" x14ac:dyDescent="0.25">
      <c r="A2499" t="s">
        <v>3511</v>
      </c>
    </row>
    <row r="2500" spans="1:1" x14ac:dyDescent="0.25">
      <c r="A2500" t="s">
        <v>3512</v>
      </c>
    </row>
    <row r="2501" spans="1:1" x14ac:dyDescent="0.25">
      <c r="A2501" t="s">
        <v>3513</v>
      </c>
    </row>
    <row r="2502" spans="1:1" x14ac:dyDescent="0.25">
      <c r="A2502" t="s">
        <v>3514</v>
      </c>
    </row>
    <row r="2503" spans="1:1" x14ac:dyDescent="0.25">
      <c r="A2503" t="s">
        <v>3515</v>
      </c>
    </row>
    <row r="2504" spans="1:1" x14ac:dyDescent="0.25">
      <c r="A2504" t="s">
        <v>3516</v>
      </c>
    </row>
    <row r="2505" spans="1:1" x14ac:dyDescent="0.25">
      <c r="A2505" t="s">
        <v>3517</v>
      </c>
    </row>
    <row r="2506" spans="1:1" x14ac:dyDescent="0.25">
      <c r="A2506" t="s">
        <v>3518</v>
      </c>
    </row>
    <row r="2507" spans="1:1" x14ac:dyDescent="0.25">
      <c r="A2507" t="s">
        <v>3519</v>
      </c>
    </row>
    <row r="2508" spans="1:1" x14ac:dyDescent="0.25">
      <c r="A2508" t="s">
        <v>3520</v>
      </c>
    </row>
    <row r="2509" spans="1:1" x14ac:dyDescent="0.25">
      <c r="A2509" t="s">
        <v>3521</v>
      </c>
    </row>
    <row r="2510" spans="1:1" x14ac:dyDescent="0.25">
      <c r="A2510" t="s">
        <v>3522</v>
      </c>
    </row>
    <row r="2511" spans="1:1" x14ac:dyDescent="0.25">
      <c r="A2511" t="s">
        <v>3523</v>
      </c>
    </row>
    <row r="2512" spans="1:1" x14ac:dyDescent="0.25">
      <c r="A2512" t="s">
        <v>3524</v>
      </c>
    </row>
    <row r="2513" spans="1:1" x14ac:dyDescent="0.25">
      <c r="A2513" t="s">
        <v>3525</v>
      </c>
    </row>
    <row r="2514" spans="1:1" x14ac:dyDescent="0.25">
      <c r="A2514" t="s">
        <v>3526</v>
      </c>
    </row>
    <row r="2515" spans="1:1" x14ac:dyDescent="0.25">
      <c r="A2515" t="s">
        <v>3527</v>
      </c>
    </row>
    <row r="2516" spans="1:1" x14ac:dyDescent="0.25">
      <c r="A2516" t="s">
        <v>3528</v>
      </c>
    </row>
    <row r="2517" spans="1:1" x14ac:dyDescent="0.25">
      <c r="A2517" t="s">
        <v>3529</v>
      </c>
    </row>
    <row r="2518" spans="1:1" x14ac:dyDescent="0.25">
      <c r="A2518" t="s">
        <v>3530</v>
      </c>
    </row>
    <row r="2519" spans="1:1" x14ac:dyDescent="0.25">
      <c r="A2519" t="s">
        <v>3531</v>
      </c>
    </row>
    <row r="2520" spans="1:1" x14ac:dyDescent="0.25">
      <c r="A2520" t="s">
        <v>3532</v>
      </c>
    </row>
    <row r="2521" spans="1:1" x14ac:dyDescent="0.25">
      <c r="A2521" t="s">
        <v>3533</v>
      </c>
    </row>
    <row r="2522" spans="1:1" x14ac:dyDescent="0.25">
      <c r="A2522" t="s">
        <v>3534</v>
      </c>
    </row>
    <row r="2523" spans="1:1" x14ac:dyDescent="0.25">
      <c r="A2523" t="s">
        <v>3535</v>
      </c>
    </row>
    <row r="2524" spans="1:1" x14ac:dyDescent="0.25">
      <c r="A2524" t="s">
        <v>3536</v>
      </c>
    </row>
    <row r="2525" spans="1:1" x14ac:dyDescent="0.25">
      <c r="A2525" t="s">
        <v>3537</v>
      </c>
    </row>
    <row r="2526" spans="1:1" x14ac:dyDescent="0.25">
      <c r="A2526" t="s">
        <v>3538</v>
      </c>
    </row>
    <row r="2527" spans="1:1" x14ac:dyDescent="0.25">
      <c r="A2527" t="s">
        <v>3539</v>
      </c>
    </row>
    <row r="2528" spans="1:1" x14ac:dyDescent="0.25">
      <c r="A2528" t="s">
        <v>3540</v>
      </c>
    </row>
    <row r="2529" spans="1:1" x14ac:dyDescent="0.25">
      <c r="A2529" t="s">
        <v>3541</v>
      </c>
    </row>
    <row r="2530" spans="1:1" x14ac:dyDescent="0.25">
      <c r="A2530" t="s">
        <v>3542</v>
      </c>
    </row>
    <row r="2531" spans="1:1" x14ac:dyDescent="0.25">
      <c r="A2531" t="s">
        <v>3543</v>
      </c>
    </row>
    <row r="2532" spans="1:1" x14ac:dyDescent="0.25">
      <c r="A2532" t="s">
        <v>3544</v>
      </c>
    </row>
    <row r="2533" spans="1:1" x14ac:dyDescent="0.25">
      <c r="A2533" t="s">
        <v>3545</v>
      </c>
    </row>
    <row r="2534" spans="1:1" x14ac:dyDescent="0.25">
      <c r="A2534" t="s">
        <v>3546</v>
      </c>
    </row>
    <row r="2535" spans="1:1" x14ac:dyDescent="0.25">
      <c r="A2535" t="s">
        <v>3547</v>
      </c>
    </row>
    <row r="2536" spans="1:1" x14ac:dyDescent="0.25">
      <c r="A2536" t="s">
        <v>3548</v>
      </c>
    </row>
    <row r="2537" spans="1:1" x14ac:dyDescent="0.25">
      <c r="A2537" t="s">
        <v>3549</v>
      </c>
    </row>
    <row r="2538" spans="1:1" x14ac:dyDescent="0.25">
      <c r="A2538" t="s">
        <v>3550</v>
      </c>
    </row>
    <row r="2539" spans="1:1" x14ac:dyDescent="0.25">
      <c r="A2539" t="s">
        <v>3551</v>
      </c>
    </row>
    <row r="2540" spans="1:1" x14ac:dyDescent="0.25">
      <c r="A2540" t="s">
        <v>3552</v>
      </c>
    </row>
    <row r="2541" spans="1:1" x14ac:dyDescent="0.25">
      <c r="A2541" t="s">
        <v>3553</v>
      </c>
    </row>
    <row r="2542" spans="1:1" x14ac:dyDescent="0.25">
      <c r="A2542" t="s">
        <v>3554</v>
      </c>
    </row>
    <row r="2543" spans="1:1" x14ac:dyDescent="0.25">
      <c r="A2543" t="s">
        <v>3555</v>
      </c>
    </row>
    <row r="2544" spans="1:1" x14ac:dyDescent="0.25">
      <c r="A2544" t="s">
        <v>3556</v>
      </c>
    </row>
    <row r="2545" spans="1:1" x14ac:dyDescent="0.25">
      <c r="A2545" t="s">
        <v>3557</v>
      </c>
    </row>
    <row r="2546" spans="1:1" x14ac:dyDescent="0.25">
      <c r="A2546" t="s">
        <v>3558</v>
      </c>
    </row>
    <row r="2547" spans="1:1" x14ac:dyDescent="0.25">
      <c r="A2547" t="s">
        <v>3559</v>
      </c>
    </row>
    <row r="2548" spans="1:1" x14ac:dyDescent="0.25">
      <c r="A2548" t="s">
        <v>3560</v>
      </c>
    </row>
    <row r="2549" spans="1:1" x14ac:dyDescent="0.25">
      <c r="A2549" t="s">
        <v>3561</v>
      </c>
    </row>
    <row r="2550" spans="1:1" x14ac:dyDescent="0.25">
      <c r="A2550" t="s">
        <v>3562</v>
      </c>
    </row>
    <row r="2551" spans="1:1" x14ac:dyDescent="0.25">
      <c r="A2551" t="s">
        <v>3563</v>
      </c>
    </row>
    <row r="2552" spans="1:1" x14ac:dyDescent="0.25">
      <c r="A2552" t="s">
        <v>3564</v>
      </c>
    </row>
    <row r="2553" spans="1:1" x14ac:dyDescent="0.25">
      <c r="A2553" t="s">
        <v>3565</v>
      </c>
    </row>
    <row r="2554" spans="1:1" x14ac:dyDescent="0.25">
      <c r="A2554" t="s">
        <v>3566</v>
      </c>
    </row>
    <row r="2555" spans="1:1" x14ac:dyDescent="0.25">
      <c r="A2555" t="s">
        <v>3567</v>
      </c>
    </row>
    <row r="2556" spans="1:1" x14ac:dyDescent="0.25">
      <c r="A2556" t="s">
        <v>3568</v>
      </c>
    </row>
    <row r="2557" spans="1:1" x14ac:dyDescent="0.25">
      <c r="A2557" t="s">
        <v>3569</v>
      </c>
    </row>
    <row r="2558" spans="1:1" x14ac:dyDescent="0.25">
      <c r="A2558" t="s">
        <v>3570</v>
      </c>
    </row>
    <row r="2559" spans="1:1" x14ac:dyDescent="0.25">
      <c r="A2559" t="s">
        <v>3571</v>
      </c>
    </row>
    <row r="2560" spans="1:1" x14ac:dyDescent="0.25">
      <c r="A2560" t="s">
        <v>3572</v>
      </c>
    </row>
    <row r="2561" spans="1:1" x14ac:dyDescent="0.25">
      <c r="A2561" t="s">
        <v>3573</v>
      </c>
    </row>
    <row r="2562" spans="1:1" x14ac:dyDescent="0.25">
      <c r="A2562" t="s">
        <v>3574</v>
      </c>
    </row>
    <row r="2563" spans="1:1" x14ac:dyDescent="0.25">
      <c r="A2563" t="s">
        <v>3575</v>
      </c>
    </row>
    <row r="2564" spans="1:1" x14ac:dyDescent="0.25">
      <c r="A2564" t="s">
        <v>3576</v>
      </c>
    </row>
    <row r="2565" spans="1:1" x14ac:dyDescent="0.25">
      <c r="A2565" t="s">
        <v>3577</v>
      </c>
    </row>
    <row r="2566" spans="1:1" x14ac:dyDescent="0.25">
      <c r="A2566" t="s">
        <v>3578</v>
      </c>
    </row>
    <row r="2567" spans="1:1" x14ac:dyDescent="0.25">
      <c r="A2567" t="s">
        <v>3579</v>
      </c>
    </row>
    <row r="2568" spans="1:1" x14ac:dyDescent="0.25">
      <c r="A2568" t="s">
        <v>3580</v>
      </c>
    </row>
    <row r="2569" spans="1:1" x14ac:dyDescent="0.25">
      <c r="A2569" t="s">
        <v>3581</v>
      </c>
    </row>
    <row r="2570" spans="1:1" x14ac:dyDescent="0.25">
      <c r="A2570" t="s">
        <v>3582</v>
      </c>
    </row>
    <row r="2571" spans="1:1" x14ac:dyDescent="0.25">
      <c r="A2571" t="s">
        <v>3583</v>
      </c>
    </row>
    <row r="2572" spans="1:1" x14ac:dyDescent="0.25">
      <c r="A2572" t="s">
        <v>3584</v>
      </c>
    </row>
    <row r="2573" spans="1:1" x14ac:dyDescent="0.25">
      <c r="A2573" t="s">
        <v>3585</v>
      </c>
    </row>
    <row r="2574" spans="1:1" x14ac:dyDescent="0.25">
      <c r="A2574" t="s">
        <v>3586</v>
      </c>
    </row>
    <row r="2575" spans="1:1" x14ac:dyDescent="0.25">
      <c r="A2575" t="s">
        <v>3587</v>
      </c>
    </row>
    <row r="2576" spans="1:1" x14ac:dyDescent="0.25">
      <c r="A2576" t="s">
        <v>3588</v>
      </c>
    </row>
    <row r="2577" spans="1:1" x14ac:dyDescent="0.25">
      <c r="A2577" t="s">
        <v>3589</v>
      </c>
    </row>
    <row r="2578" spans="1:1" x14ac:dyDescent="0.25">
      <c r="A2578" t="s">
        <v>3590</v>
      </c>
    </row>
    <row r="2579" spans="1:1" x14ac:dyDescent="0.25">
      <c r="A2579" t="s">
        <v>3591</v>
      </c>
    </row>
    <row r="2580" spans="1:1" x14ac:dyDescent="0.25">
      <c r="A2580" t="s">
        <v>3592</v>
      </c>
    </row>
    <row r="2581" spans="1:1" x14ac:dyDescent="0.25">
      <c r="A2581" t="s">
        <v>3593</v>
      </c>
    </row>
    <row r="2582" spans="1:1" x14ac:dyDescent="0.25">
      <c r="A2582" t="s">
        <v>3594</v>
      </c>
    </row>
    <row r="2583" spans="1:1" x14ac:dyDescent="0.25">
      <c r="A2583" t="s">
        <v>3595</v>
      </c>
    </row>
    <row r="2584" spans="1:1" x14ac:dyDescent="0.25">
      <c r="A2584" t="s">
        <v>3596</v>
      </c>
    </row>
    <row r="2585" spans="1:1" x14ac:dyDescent="0.25">
      <c r="A2585" t="s">
        <v>3597</v>
      </c>
    </row>
    <row r="2586" spans="1:1" x14ac:dyDescent="0.25">
      <c r="A2586" t="s">
        <v>3598</v>
      </c>
    </row>
    <row r="2587" spans="1:1" x14ac:dyDescent="0.25">
      <c r="A2587" t="s">
        <v>3599</v>
      </c>
    </row>
    <row r="2588" spans="1:1" x14ac:dyDescent="0.25">
      <c r="A2588" t="s">
        <v>3600</v>
      </c>
    </row>
    <row r="2589" spans="1:1" x14ac:dyDescent="0.25">
      <c r="A2589" t="s">
        <v>3601</v>
      </c>
    </row>
    <row r="2590" spans="1:1" x14ac:dyDescent="0.25">
      <c r="A2590" t="s">
        <v>3602</v>
      </c>
    </row>
    <row r="2591" spans="1:1" x14ac:dyDescent="0.25">
      <c r="A2591" t="s">
        <v>3603</v>
      </c>
    </row>
    <row r="2592" spans="1:1" x14ac:dyDescent="0.25">
      <c r="A2592" t="s">
        <v>3604</v>
      </c>
    </row>
    <row r="2593" spans="1:1" x14ac:dyDescent="0.25">
      <c r="A2593" t="s">
        <v>3605</v>
      </c>
    </row>
    <row r="2594" spans="1:1" x14ac:dyDescent="0.25">
      <c r="A2594" t="s">
        <v>3606</v>
      </c>
    </row>
    <row r="2595" spans="1:1" x14ac:dyDescent="0.25">
      <c r="A2595" t="s">
        <v>3607</v>
      </c>
    </row>
    <row r="2596" spans="1:1" x14ac:dyDescent="0.25">
      <c r="A2596" t="s">
        <v>3608</v>
      </c>
    </row>
    <row r="2597" spans="1:1" x14ac:dyDescent="0.25">
      <c r="A2597" t="s">
        <v>3609</v>
      </c>
    </row>
    <row r="2598" spans="1:1" x14ac:dyDescent="0.25">
      <c r="A2598" t="s">
        <v>3610</v>
      </c>
    </row>
    <row r="2599" spans="1:1" x14ac:dyDescent="0.25">
      <c r="A2599" t="s">
        <v>3611</v>
      </c>
    </row>
    <row r="2600" spans="1:1" x14ac:dyDescent="0.25">
      <c r="A2600" t="s">
        <v>3612</v>
      </c>
    </row>
    <row r="2601" spans="1:1" x14ac:dyDescent="0.25">
      <c r="A2601" t="s">
        <v>3613</v>
      </c>
    </row>
    <row r="2602" spans="1:1" x14ac:dyDescent="0.25">
      <c r="A2602" t="s">
        <v>3614</v>
      </c>
    </row>
    <row r="2603" spans="1:1" x14ac:dyDescent="0.25">
      <c r="A2603" t="s">
        <v>3615</v>
      </c>
    </row>
    <row r="2604" spans="1:1" x14ac:dyDescent="0.25">
      <c r="A2604" t="s">
        <v>3616</v>
      </c>
    </row>
    <row r="2605" spans="1:1" x14ac:dyDescent="0.25">
      <c r="A2605" t="s">
        <v>3617</v>
      </c>
    </row>
    <row r="2606" spans="1:1" x14ac:dyDescent="0.25">
      <c r="A2606" t="s">
        <v>3618</v>
      </c>
    </row>
    <row r="2607" spans="1:1" x14ac:dyDescent="0.25">
      <c r="A2607" t="s">
        <v>3619</v>
      </c>
    </row>
    <row r="2608" spans="1:1" x14ac:dyDescent="0.25">
      <c r="A2608" t="s">
        <v>3620</v>
      </c>
    </row>
    <row r="2609" spans="1:1" x14ac:dyDescent="0.25">
      <c r="A2609" t="s">
        <v>3621</v>
      </c>
    </row>
    <row r="2610" spans="1:1" x14ac:dyDescent="0.25">
      <c r="A2610" t="s">
        <v>3622</v>
      </c>
    </row>
    <row r="2611" spans="1:1" x14ac:dyDescent="0.25">
      <c r="A2611" t="s">
        <v>3623</v>
      </c>
    </row>
    <row r="2612" spans="1:1" x14ac:dyDescent="0.25">
      <c r="A2612" t="s">
        <v>3624</v>
      </c>
    </row>
    <row r="2613" spans="1:1" x14ac:dyDescent="0.25">
      <c r="A2613" t="s">
        <v>3625</v>
      </c>
    </row>
    <row r="2614" spans="1:1" x14ac:dyDescent="0.25">
      <c r="A2614" t="s">
        <v>3626</v>
      </c>
    </row>
    <row r="2615" spans="1:1" x14ac:dyDescent="0.25">
      <c r="A2615" t="s">
        <v>3627</v>
      </c>
    </row>
    <row r="2616" spans="1:1" x14ac:dyDescent="0.25">
      <c r="A2616" t="s">
        <v>3628</v>
      </c>
    </row>
    <row r="2617" spans="1:1" x14ac:dyDescent="0.25">
      <c r="A2617" t="s">
        <v>3629</v>
      </c>
    </row>
    <row r="2618" spans="1:1" x14ac:dyDescent="0.25">
      <c r="A2618" t="s">
        <v>3630</v>
      </c>
    </row>
    <row r="2619" spans="1:1" x14ac:dyDescent="0.25">
      <c r="A2619" t="s">
        <v>3631</v>
      </c>
    </row>
    <row r="2620" spans="1:1" x14ac:dyDescent="0.25">
      <c r="A2620" t="s">
        <v>3632</v>
      </c>
    </row>
    <row r="2621" spans="1:1" x14ac:dyDescent="0.25">
      <c r="A2621" t="s">
        <v>3633</v>
      </c>
    </row>
    <row r="2622" spans="1:1" x14ac:dyDescent="0.25">
      <c r="A2622" t="s">
        <v>3634</v>
      </c>
    </row>
    <row r="2623" spans="1:1" x14ac:dyDescent="0.25">
      <c r="A2623" t="s">
        <v>3635</v>
      </c>
    </row>
    <row r="2624" spans="1:1" x14ac:dyDescent="0.25">
      <c r="A2624" t="s">
        <v>3636</v>
      </c>
    </row>
    <row r="2625" spans="1:1" x14ac:dyDescent="0.25">
      <c r="A2625" t="s">
        <v>3637</v>
      </c>
    </row>
    <row r="2626" spans="1:1" x14ac:dyDescent="0.25">
      <c r="A2626" t="s">
        <v>3638</v>
      </c>
    </row>
    <row r="2627" spans="1:1" x14ac:dyDescent="0.25">
      <c r="A2627" t="s">
        <v>3639</v>
      </c>
    </row>
    <row r="2628" spans="1:1" x14ac:dyDescent="0.25">
      <c r="A2628" t="s">
        <v>3640</v>
      </c>
    </row>
    <row r="2629" spans="1:1" x14ac:dyDescent="0.25">
      <c r="A2629" t="s">
        <v>3641</v>
      </c>
    </row>
    <row r="2630" spans="1:1" x14ac:dyDescent="0.25">
      <c r="A2630" t="s">
        <v>3642</v>
      </c>
    </row>
    <row r="2631" spans="1:1" x14ac:dyDescent="0.25">
      <c r="A2631" t="s">
        <v>3643</v>
      </c>
    </row>
    <row r="2632" spans="1:1" x14ac:dyDescent="0.25">
      <c r="A2632" t="s">
        <v>3644</v>
      </c>
    </row>
    <row r="2633" spans="1:1" x14ac:dyDescent="0.25">
      <c r="A2633" t="s">
        <v>3645</v>
      </c>
    </row>
    <row r="2634" spans="1:1" x14ac:dyDescent="0.25">
      <c r="A2634" t="s">
        <v>3646</v>
      </c>
    </row>
    <row r="2635" spans="1:1" x14ac:dyDescent="0.25">
      <c r="A2635" t="s">
        <v>3647</v>
      </c>
    </row>
    <row r="2636" spans="1:1" x14ac:dyDescent="0.25">
      <c r="A2636" t="s">
        <v>3648</v>
      </c>
    </row>
    <row r="2637" spans="1:1" x14ac:dyDescent="0.25">
      <c r="A2637" t="s">
        <v>3649</v>
      </c>
    </row>
    <row r="2638" spans="1:1" x14ac:dyDescent="0.25">
      <c r="A2638" t="s">
        <v>3650</v>
      </c>
    </row>
    <row r="2639" spans="1:1" x14ac:dyDescent="0.25">
      <c r="A2639" t="s">
        <v>3651</v>
      </c>
    </row>
    <row r="2640" spans="1:1" x14ac:dyDescent="0.25">
      <c r="A2640" t="s">
        <v>3652</v>
      </c>
    </row>
    <row r="2641" spans="1:1" x14ac:dyDescent="0.25">
      <c r="A2641" t="s">
        <v>3653</v>
      </c>
    </row>
    <row r="2642" spans="1:1" x14ac:dyDescent="0.25">
      <c r="A2642" t="s">
        <v>3654</v>
      </c>
    </row>
    <row r="2643" spans="1:1" x14ac:dyDescent="0.25">
      <c r="A2643" t="s">
        <v>3655</v>
      </c>
    </row>
    <row r="2644" spans="1:1" x14ac:dyDescent="0.25">
      <c r="A2644" t="s">
        <v>3656</v>
      </c>
    </row>
    <row r="2645" spans="1:1" x14ac:dyDescent="0.25">
      <c r="A2645" t="s">
        <v>3657</v>
      </c>
    </row>
    <row r="2646" spans="1:1" x14ac:dyDescent="0.25">
      <c r="A2646" t="s">
        <v>3658</v>
      </c>
    </row>
    <row r="2647" spans="1:1" x14ac:dyDescent="0.25">
      <c r="A2647" t="s">
        <v>3659</v>
      </c>
    </row>
    <row r="2648" spans="1:1" x14ac:dyDescent="0.25">
      <c r="A2648" t="s">
        <v>3660</v>
      </c>
    </row>
    <row r="2649" spans="1:1" x14ac:dyDescent="0.25">
      <c r="A2649" t="s">
        <v>3661</v>
      </c>
    </row>
    <row r="2650" spans="1:1" x14ac:dyDescent="0.25">
      <c r="A2650" t="s">
        <v>3662</v>
      </c>
    </row>
    <row r="2651" spans="1:1" x14ac:dyDescent="0.25">
      <c r="A2651" t="s">
        <v>3663</v>
      </c>
    </row>
    <row r="2652" spans="1:1" x14ac:dyDescent="0.25">
      <c r="A2652" t="s">
        <v>3664</v>
      </c>
    </row>
    <row r="2653" spans="1:1" x14ac:dyDescent="0.25">
      <c r="A2653" t="s">
        <v>3665</v>
      </c>
    </row>
    <row r="2654" spans="1:1" x14ac:dyDescent="0.25">
      <c r="A2654" t="s">
        <v>3666</v>
      </c>
    </row>
    <row r="2655" spans="1:1" x14ac:dyDescent="0.25">
      <c r="A2655" t="s">
        <v>3667</v>
      </c>
    </row>
    <row r="2656" spans="1:1" x14ac:dyDescent="0.25">
      <c r="A2656" t="s">
        <v>3668</v>
      </c>
    </row>
    <row r="2657" spans="1:1" x14ac:dyDescent="0.25">
      <c r="A2657" t="s">
        <v>3669</v>
      </c>
    </row>
    <row r="2658" spans="1:1" x14ac:dyDescent="0.25">
      <c r="A2658" t="s">
        <v>3670</v>
      </c>
    </row>
    <row r="2659" spans="1:1" x14ac:dyDescent="0.25">
      <c r="A2659" t="s">
        <v>3671</v>
      </c>
    </row>
    <row r="2660" spans="1:1" x14ac:dyDescent="0.25">
      <c r="A2660" t="s">
        <v>3672</v>
      </c>
    </row>
    <row r="2661" spans="1:1" x14ac:dyDescent="0.25">
      <c r="A2661" t="s">
        <v>3673</v>
      </c>
    </row>
    <row r="2662" spans="1:1" x14ac:dyDescent="0.25">
      <c r="A2662" t="s">
        <v>3674</v>
      </c>
    </row>
    <row r="2663" spans="1:1" x14ac:dyDescent="0.25">
      <c r="A2663" t="s">
        <v>3675</v>
      </c>
    </row>
    <row r="2664" spans="1:1" x14ac:dyDescent="0.25">
      <c r="A2664" t="s">
        <v>3676</v>
      </c>
    </row>
    <row r="2665" spans="1:1" x14ac:dyDescent="0.25">
      <c r="A2665" t="s">
        <v>3677</v>
      </c>
    </row>
    <row r="2666" spans="1:1" x14ac:dyDescent="0.25">
      <c r="A2666" t="s">
        <v>3678</v>
      </c>
    </row>
    <row r="2667" spans="1:1" x14ac:dyDescent="0.25">
      <c r="A2667" t="s">
        <v>3679</v>
      </c>
    </row>
    <row r="2668" spans="1:1" x14ac:dyDescent="0.25">
      <c r="A2668" t="s">
        <v>3680</v>
      </c>
    </row>
    <row r="2669" spans="1:1" x14ac:dyDescent="0.25">
      <c r="A2669" t="s">
        <v>3681</v>
      </c>
    </row>
    <row r="2670" spans="1:1" x14ac:dyDescent="0.25">
      <c r="A2670" t="s">
        <v>3682</v>
      </c>
    </row>
    <row r="2671" spans="1:1" x14ac:dyDescent="0.25">
      <c r="A2671" t="s">
        <v>3683</v>
      </c>
    </row>
    <row r="2672" spans="1:1" x14ac:dyDescent="0.25">
      <c r="A2672" t="s">
        <v>3684</v>
      </c>
    </row>
    <row r="2673" spans="1:1" x14ac:dyDescent="0.25">
      <c r="A2673" t="s">
        <v>3685</v>
      </c>
    </row>
    <row r="2674" spans="1:1" x14ac:dyDescent="0.25">
      <c r="A2674" t="s">
        <v>3686</v>
      </c>
    </row>
    <row r="2675" spans="1:1" x14ac:dyDescent="0.25">
      <c r="A2675" t="s">
        <v>3687</v>
      </c>
    </row>
    <row r="2676" spans="1:1" x14ac:dyDescent="0.25">
      <c r="A2676" t="s">
        <v>3688</v>
      </c>
    </row>
    <row r="2677" spans="1:1" x14ac:dyDescent="0.25">
      <c r="A2677" t="s">
        <v>3689</v>
      </c>
    </row>
    <row r="2678" spans="1:1" x14ac:dyDescent="0.25">
      <c r="A2678" t="s">
        <v>3690</v>
      </c>
    </row>
    <row r="2679" spans="1:1" x14ac:dyDescent="0.25">
      <c r="A2679" t="s">
        <v>3691</v>
      </c>
    </row>
    <row r="2680" spans="1:1" x14ac:dyDescent="0.25">
      <c r="A2680" t="s">
        <v>3692</v>
      </c>
    </row>
    <row r="2681" spans="1:1" x14ac:dyDescent="0.25">
      <c r="A2681" t="s">
        <v>3693</v>
      </c>
    </row>
    <row r="2682" spans="1:1" x14ac:dyDescent="0.25">
      <c r="A2682" t="s">
        <v>3694</v>
      </c>
    </row>
    <row r="2683" spans="1:1" x14ac:dyDescent="0.25">
      <c r="A2683" t="s">
        <v>3695</v>
      </c>
    </row>
    <row r="2684" spans="1:1" x14ac:dyDescent="0.25">
      <c r="A2684" t="s">
        <v>3696</v>
      </c>
    </row>
    <row r="2685" spans="1:1" x14ac:dyDescent="0.25">
      <c r="A2685" t="s">
        <v>3697</v>
      </c>
    </row>
    <row r="2686" spans="1:1" x14ac:dyDescent="0.25">
      <c r="A2686" t="s">
        <v>3698</v>
      </c>
    </row>
    <row r="2687" spans="1:1" x14ac:dyDescent="0.25">
      <c r="A2687" t="s">
        <v>3699</v>
      </c>
    </row>
    <row r="2688" spans="1:1" x14ac:dyDescent="0.25">
      <c r="A2688" t="s">
        <v>3700</v>
      </c>
    </row>
    <row r="2689" spans="1:1" x14ac:dyDescent="0.25">
      <c r="A2689" t="s">
        <v>3701</v>
      </c>
    </row>
    <row r="2690" spans="1:1" x14ac:dyDescent="0.25">
      <c r="A2690" t="s">
        <v>3702</v>
      </c>
    </row>
    <row r="2691" spans="1:1" x14ac:dyDescent="0.25">
      <c r="A2691" t="s">
        <v>3703</v>
      </c>
    </row>
    <row r="2692" spans="1:1" x14ac:dyDescent="0.25">
      <c r="A2692" t="s">
        <v>3704</v>
      </c>
    </row>
    <row r="2693" spans="1:1" x14ac:dyDescent="0.25">
      <c r="A2693" t="s">
        <v>3705</v>
      </c>
    </row>
    <row r="2694" spans="1:1" x14ac:dyDescent="0.25">
      <c r="A2694" t="s">
        <v>3706</v>
      </c>
    </row>
    <row r="2695" spans="1:1" x14ac:dyDescent="0.25">
      <c r="A2695" t="s">
        <v>3707</v>
      </c>
    </row>
    <row r="2696" spans="1:1" x14ac:dyDescent="0.25">
      <c r="A2696" t="s">
        <v>3708</v>
      </c>
    </row>
    <row r="2697" spans="1:1" x14ac:dyDescent="0.25">
      <c r="A2697" t="s">
        <v>3709</v>
      </c>
    </row>
    <row r="2698" spans="1:1" x14ac:dyDescent="0.25">
      <c r="A2698" t="s">
        <v>3710</v>
      </c>
    </row>
    <row r="2699" spans="1:1" x14ac:dyDescent="0.25">
      <c r="A2699" t="s">
        <v>3711</v>
      </c>
    </row>
    <row r="2700" spans="1:1" x14ac:dyDescent="0.25">
      <c r="A2700" t="s">
        <v>3712</v>
      </c>
    </row>
    <row r="2701" spans="1:1" x14ac:dyDescent="0.25">
      <c r="A2701" t="s">
        <v>3713</v>
      </c>
    </row>
    <row r="2702" spans="1:1" x14ac:dyDescent="0.25">
      <c r="A2702" t="s">
        <v>3714</v>
      </c>
    </row>
    <row r="2703" spans="1:1" x14ac:dyDescent="0.25">
      <c r="A2703" t="s">
        <v>3715</v>
      </c>
    </row>
    <row r="2704" spans="1:1" x14ac:dyDescent="0.25">
      <c r="A2704" t="s">
        <v>3716</v>
      </c>
    </row>
    <row r="2705" spans="1:1" x14ac:dyDescent="0.25">
      <c r="A2705" t="s">
        <v>3717</v>
      </c>
    </row>
    <row r="2706" spans="1:1" x14ac:dyDescent="0.25">
      <c r="A2706" t="s">
        <v>3718</v>
      </c>
    </row>
    <row r="2707" spans="1:1" x14ac:dyDescent="0.25">
      <c r="A2707" t="s">
        <v>3719</v>
      </c>
    </row>
    <row r="2708" spans="1:1" x14ac:dyDescent="0.25">
      <c r="A2708" t="s">
        <v>3720</v>
      </c>
    </row>
    <row r="2709" spans="1:1" x14ac:dyDescent="0.25">
      <c r="A2709" t="s">
        <v>3721</v>
      </c>
    </row>
    <row r="2710" spans="1:1" x14ac:dyDescent="0.25">
      <c r="A2710" t="s">
        <v>3722</v>
      </c>
    </row>
    <row r="2711" spans="1:1" x14ac:dyDescent="0.25">
      <c r="A2711" t="s">
        <v>3723</v>
      </c>
    </row>
    <row r="2712" spans="1:1" x14ac:dyDescent="0.25">
      <c r="A2712" t="s">
        <v>3724</v>
      </c>
    </row>
    <row r="2713" spans="1:1" x14ac:dyDescent="0.25">
      <c r="A2713" t="s">
        <v>3725</v>
      </c>
    </row>
    <row r="2714" spans="1:1" x14ac:dyDescent="0.25">
      <c r="A2714" t="s">
        <v>3726</v>
      </c>
    </row>
    <row r="2715" spans="1:1" x14ac:dyDescent="0.25">
      <c r="A2715" t="s">
        <v>3727</v>
      </c>
    </row>
    <row r="2716" spans="1:1" x14ac:dyDescent="0.25">
      <c r="A2716" t="s">
        <v>3728</v>
      </c>
    </row>
    <row r="2717" spans="1:1" x14ac:dyDescent="0.25">
      <c r="A2717" t="s">
        <v>3729</v>
      </c>
    </row>
    <row r="2718" spans="1:1" x14ac:dyDescent="0.25">
      <c r="A2718" t="s">
        <v>3730</v>
      </c>
    </row>
    <row r="2719" spans="1:1" x14ac:dyDescent="0.25">
      <c r="A2719" t="s">
        <v>3731</v>
      </c>
    </row>
    <row r="2720" spans="1:1" x14ac:dyDescent="0.25">
      <c r="A2720" t="s">
        <v>3732</v>
      </c>
    </row>
    <row r="2721" spans="1:1" x14ac:dyDescent="0.25">
      <c r="A2721" t="s">
        <v>3733</v>
      </c>
    </row>
    <row r="2722" spans="1:1" x14ac:dyDescent="0.25">
      <c r="A2722" t="s">
        <v>3734</v>
      </c>
    </row>
    <row r="2723" spans="1:1" x14ac:dyDescent="0.25">
      <c r="A2723" t="s">
        <v>3735</v>
      </c>
    </row>
    <row r="2724" spans="1:1" x14ac:dyDescent="0.25">
      <c r="A2724" t="s">
        <v>3736</v>
      </c>
    </row>
    <row r="2725" spans="1:1" x14ac:dyDescent="0.25">
      <c r="A2725" t="s">
        <v>3737</v>
      </c>
    </row>
    <row r="2726" spans="1:1" x14ac:dyDescent="0.25">
      <c r="A2726" t="s">
        <v>3738</v>
      </c>
    </row>
    <row r="2727" spans="1:1" x14ac:dyDescent="0.25">
      <c r="A2727" t="s">
        <v>3739</v>
      </c>
    </row>
    <row r="2728" spans="1:1" x14ac:dyDescent="0.25">
      <c r="A2728" t="s">
        <v>3740</v>
      </c>
    </row>
    <row r="2729" spans="1:1" x14ac:dyDescent="0.25">
      <c r="A2729" t="s">
        <v>3741</v>
      </c>
    </row>
    <row r="2730" spans="1:1" x14ac:dyDescent="0.25">
      <c r="A2730" t="s">
        <v>3742</v>
      </c>
    </row>
    <row r="2731" spans="1:1" x14ac:dyDescent="0.25">
      <c r="A2731" t="s">
        <v>3743</v>
      </c>
    </row>
    <row r="2732" spans="1:1" x14ac:dyDescent="0.25">
      <c r="A2732" t="s">
        <v>3744</v>
      </c>
    </row>
    <row r="2733" spans="1:1" x14ac:dyDescent="0.25">
      <c r="A2733" t="s">
        <v>3745</v>
      </c>
    </row>
    <row r="2734" spans="1:1" x14ac:dyDescent="0.25">
      <c r="A2734" t="s">
        <v>3746</v>
      </c>
    </row>
    <row r="2735" spans="1:1" x14ac:dyDescent="0.25">
      <c r="A2735" t="s">
        <v>3747</v>
      </c>
    </row>
    <row r="2736" spans="1:1" x14ac:dyDescent="0.25">
      <c r="A2736" t="s">
        <v>3748</v>
      </c>
    </row>
    <row r="2737" spans="1:1" x14ac:dyDescent="0.25">
      <c r="A2737" t="s">
        <v>3749</v>
      </c>
    </row>
    <row r="2738" spans="1:1" x14ac:dyDescent="0.25">
      <c r="A2738" t="s">
        <v>3750</v>
      </c>
    </row>
    <row r="2739" spans="1:1" x14ac:dyDescent="0.25">
      <c r="A2739" t="s">
        <v>3751</v>
      </c>
    </row>
    <row r="2740" spans="1:1" x14ac:dyDescent="0.25">
      <c r="A2740" t="s">
        <v>3752</v>
      </c>
    </row>
    <row r="2741" spans="1:1" x14ac:dyDescent="0.25">
      <c r="A2741" t="s">
        <v>3753</v>
      </c>
    </row>
    <row r="2742" spans="1:1" x14ac:dyDescent="0.25">
      <c r="A2742" t="s">
        <v>3754</v>
      </c>
    </row>
    <row r="2743" spans="1:1" x14ac:dyDescent="0.25">
      <c r="A2743" t="s">
        <v>3755</v>
      </c>
    </row>
    <row r="2744" spans="1:1" x14ac:dyDescent="0.25">
      <c r="A2744" t="s">
        <v>3756</v>
      </c>
    </row>
    <row r="2745" spans="1:1" x14ac:dyDescent="0.25">
      <c r="A2745" t="s">
        <v>3757</v>
      </c>
    </row>
    <row r="2746" spans="1:1" x14ac:dyDescent="0.25">
      <c r="A2746" t="s">
        <v>3758</v>
      </c>
    </row>
    <row r="2747" spans="1:1" x14ac:dyDescent="0.25">
      <c r="A2747" t="s">
        <v>3759</v>
      </c>
    </row>
    <row r="2748" spans="1:1" x14ac:dyDescent="0.25">
      <c r="A2748" t="s">
        <v>3760</v>
      </c>
    </row>
    <row r="2749" spans="1:1" x14ac:dyDescent="0.25">
      <c r="A2749" t="s">
        <v>3761</v>
      </c>
    </row>
    <row r="2750" spans="1:1" x14ac:dyDescent="0.25">
      <c r="A2750" t="s">
        <v>3762</v>
      </c>
    </row>
    <row r="2751" spans="1:1" x14ac:dyDescent="0.25">
      <c r="A2751" t="s">
        <v>3763</v>
      </c>
    </row>
    <row r="2752" spans="1:1" x14ac:dyDescent="0.25">
      <c r="A2752" t="s">
        <v>3764</v>
      </c>
    </row>
    <row r="2753" spans="1:1" x14ac:dyDescent="0.25">
      <c r="A2753" t="s">
        <v>3765</v>
      </c>
    </row>
    <row r="2754" spans="1:1" x14ac:dyDescent="0.25">
      <c r="A2754" t="s">
        <v>3766</v>
      </c>
    </row>
    <row r="2755" spans="1:1" x14ac:dyDescent="0.25">
      <c r="A2755" t="s">
        <v>3767</v>
      </c>
    </row>
    <row r="2756" spans="1:1" x14ac:dyDescent="0.25">
      <c r="A2756" t="s">
        <v>3768</v>
      </c>
    </row>
    <row r="2757" spans="1:1" x14ac:dyDescent="0.25">
      <c r="A2757" t="s">
        <v>3769</v>
      </c>
    </row>
    <row r="2758" spans="1:1" x14ac:dyDescent="0.25">
      <c r="A2758" t="s">
        <v>3770</v>
      </c>
    </row>
    <row r="2759" spans="1:1" x14ac:dyDescent="0.25">
      <c r="A2759" t="s">
        <v>3771</v>
      </c>
    </row>
    <row r="2760" spans="1:1" x14ac:dyDescent="0.25">
      <c r="A2760" t="s">
        <v>3772</v>
      </c>
    </row>
    <row r="2761" spans="1:1" x14ac:dyDescent="0.25">
      <c r="A2761" t="s">
        <v>3773</v>
      </c>
    </row>
    <row r="2762" spans="1:1" x14ac:dyDescent="0.25">
      <c r="A2762" t="s">
        <v>3774</v>
      </c>
    </row>
    <row r="2763" spans="1:1" x14ac:dyDescent="0.25">
      <c r="A2763" t="s">
        <v>3775</v>
      </c>
    </row>
    <row r="2764" spans="1:1" x14ac:dyDescent="0.25">
      <c r="A2764" t="s">
        <v>3776</v>
      </c>
    </row>
    <row r="2765" spans="1:1" x14ac:dyDescent="0.25">
      <c r="A2765" t="s">
        <v>3777</v>
      </c>
    </row>
    <row r="2766" spans="1:1" x14ac:dyDescent="0.25">
      <c r="A2766" t="s">
        <v>3778</v>
      </c>
    </row>
    <row r="2767" spans="1:1" x14ac:dyDescent="0.25">
      <c r="A2767" t="s">
        <v>3779</v>
      </c>
    </row>
    <row r="2768" spans="1:1" x14ac:dyDescent="0.25">
      <c r="A2768" t="s">
        <v>3780</v>
      </c>
    </row>
    <row r="2769" spans="1:1" x14ac:dyDescent="0.25">
      <c r="A2769" t="s">
        <v>3781</v>
      </c>
    </row>
    <row r="2770" spans="1:1" x14ac:dyDescent="0.25">
      <c r="A2770" t="s">
        <v>3782</v>
      </c>
    </row>
    <row r="2771" spans="1:1" x14ac:dyDescent="0.25">
      <c r="A2771" t="s">
        <v>3783</v>
      </c>
    </row>
    <row r="2772" spans="1:1" x14ac:dyDescent="0.25">
      <c r="A2772" t="s">
        <v>3784</v>
      </c>
    </row>
    <row r="2773" spans="1:1" x14ac:dyDescent="0.25">
      <c r="A2773" t="s">
        <v>3785</v>
      </c>
    </row>
    <row r="2774" spans="1:1" x14ac:dyDescent="0.25">
      <c r="A2774" t="s">
        <v>3786</v>
      </c>
    </row>
    <row r="2775" spans="1:1" x14ac:dyDescent="0.25">
      <c r="A2775" t="s">
        <v>3787</v>
      </c>
    </row>
    <row r="2776" spans="1:1" x14ac:dyDescent="0.25">
      <c r="A2776" t="s">
        <v>3788</v>
      </c>
    </row>
    <row r="2777" spans="1:1" x14ac:dyDescent="0.25">
      <c r="A2777" t="s">
        <v>3789</v>
      </c>
    </row>
    <row r="2778" spans="1:1" x14ac:dyDescent="0.25">
      <c r="A2778" t="s">
        <v>3790</v>
      </c>
    </row>
    <row r="2779" spans="1:1" x14ac:dyDescent="0.25">
      <c r="A2779" t="s">
        <v>3791</v>
      </c>
    </row>
    <row r="2780" spans="1:1" x14ac:dyDescent="0.25">
      <c r="A2780" t="s">
        <v>3792</v>
      </c>
    </row>
    <row r="2781" spans="1:1" x14ac:dyDescent="0.25">
      <c r="A2781" t="s">
        <v>3793</v>
      </c>
    </row>
    <row r="2782" spans="1:1" x14ac:dyDescent="0.25">
      <c r="A2782" t="s">
        <v>3794</v>
      </c>
    </row>
    <row r="2783" spans="1:1" x14ac:dyDescent="0.25">
      <c r="A2783" t="s">
        <v>3795</v>
      </c>
    </row>
    <row r="2784" spans="1:1" x14ac:dyDescent="0.25">
      <c r="A2784" t="s">
        <v>3796</v>
      </c>
    </row>
    <row r="2785" spans="1:1" x14ac:dyDescent="0.25">
      <c r="A2785" t="s">
        <v>3797</v>
      </c>
    </row>
    <row r="2786" spans="1:1" x14ac:dyDescent="0.25">
      <c r="A2786" t="s">
        <v>3798</v>
      </c>
    </row>
    <row r="2787" spans="1:1" x14ac:dyDescent="0.25">
      <c r="A2787" t="s">
        <v>3799</v>
      </c>
    </row>
    <row r="2788" spans="1:1" x14ac:dyDescent="0.25">
      <c r="A2788" t="s">
        <v>3800</v>
      </c>
    </row>
    <row r="2789" spans="1:1" x14ac:dyDescent="0.25">
      <c r="A2789" t="s">
        <v>3801</v>
      </c>
    </row>
    <row r="2790" spans="1:1" x14ac:dyDescent="0.25">
      <c r="A2790" t="s">
        <v>3802</v>
      </c>
    </row>
    <row r="2791" spans="1:1" x14ac:dyDescent="0.25">
      <c r="A2791" t="s">
        <v>3803</v>
      </c>
    </row>
    <row r="2792" spans="1:1" x14ac:dyDescent="0.25">
      <c r="A2792" t="s">
        <v>3804</v>
      </c>
    </row>
    <row r="2793" spans="1:1" x14ac:dyDescent="0.25">
      <c r="A2793" t="s">
        <v>3805</v>
      </c>
    </row>
    <row r="2794" spans="1:1" x14ac:dyDescent="0.25">
      <c r="A2794" t="s">
        <v>3806</v>
      </c>
    </row>
    <row r="2795" spans="1:1" x14ac:dyDescent="0.25">
      <c r="A2795" t="s">
        <v>3807</v>
      </c>
    </row>
    <row r="2796" spans="1:1" x14ac:dyDescent="0.25">
      <c r="A2796" t="s">
        <v>3808</v>
      </c>
    </row>
    <row r="2797" spans="1:1" x14ac:dyDescent="0.25">
      <c r="A2797" t="s">
        <v>3809</v>
      </c>
    </row>
    <row r="2798" spans="1:1" x14ac:dyDescent="0.25">
      <c r="A2798" t="s">
        <v>3810</v>
      </c>
    </row>
    <row r="2799" spans="1:1" x14ac:dyDescent="0.25">
      <c r="A2799" t="s">
        <v>3811</v>
      </c>
    </row>
    <row r="2800" spans="1:1" x14ac:dyDescent="0.25">
      <c r="A2800" t="s">
        <v>3812</v>
      </c>
    </row>
    <row r="2801" spans="1:1" x14ac:dyDescent="0.25">
      <c r="A2801" t="s">
        <v>3813</v>
      </c>
    </row>
    <row r="2802" spans="1:1" x14ac:dyDescent="0.25">
      <c r="A2802" t="s">
        <v>3814</v>
      </c>
    </row>
    <row r="2803" spans="1:1" x14ac:dyDescent="0.25">
      <c r="A2803" t="s">
        <v>3815</v>
      </c>
    </row>
    <row r="2804" spans="1:1" x14ac:dyDescent="0.25">
      <c r="A2804" t="s">
        <v>3816</v>
      </c>
    </row>
    <row r="2805" spans="1:1" x14ac:dyDescent="0.25">
      <c r="A2805" t="s">
        <v>3817</v>
      </c>
    </row>
    <row r="2806" spans="1:1" x14ac:dyDescent="0.25">
      <c r="A2806" t="s">
        <v>3818</v>
      </c>
    </row>
    <row r="2807" spans="1:1" x14ac:dyDescent="0.25">
      <c r="A2807" t="s">
        <v>3819</v>
      </c>
    </row>
    <row r="2808" spans="1:1" x14ac:dyDescent="0.25">
      <c r="A2808" t="s">
        <v>3820</v>
      </c>
    </row>
    <row r="2809" spans="1:1" x14ac:dyDescent="0.25">
      <c r="A2809" t="s">
        <v>3821</v>
      </c>
    </row>
    <row r="2810" spans="1:1" x14ac:dyDescent="0.25">
      <c r="A2810" t="s">
        <v>3822</v>
      </c>
    </row>
    <row r="2811" spans="1:1" x14ac:dyDescent="0.25">
      <c r="A2811" t="s">
        <v>3823</v>
      </c>
    </row>
    <row r="2812" spans="1:1" x14ac:dyDescent="0.25">
      <c r="A2812" t="s">
        <v>3824</v>
      </c>
    </row>
    <row r="2813" spans="1:1" x14ac:dyDescent="0.25">
      <c r="A2813" t="s">
        <v>3825</v>
      </c>
    </row>
    <row r="2814" spans="1:1" x14ac:dyDescent="0.25">
      <c r="A2814" t="s">
        <v>3826</v>
      </c>
    </row>
    <row r="2815" spans="1:1" x14ac:dyDescent="0.25">
      <c r="A2815" t="s">
        <v>3827</v>
      </c>
    </row>
    <row r="2816" spans="1:1" x14ac:dyDescent="0.25">
      <c r="A2816" t="s">
        <v>3828</v>
      </c>
    </row>
    <row r="2817" spans="1:1" x14ac:dyDescent="0.25">
      <c r="A2817" t="s">
        <v>3829</v>
      </c>
    </row>
    <row r="2818" spans="1:1" x14ac:dyDescent="0.25">
      <c r="A2818" t="s">
        <v>3830</v>
      </c>
    </row>
    <row r="2819" spans="1:1" x14ac:dyDescent="0.25">
      <c r="A2819" t="s">
        <v>3831</v>
      </c>
    </row>
    <row r="2820" spans="1:1" x14ac:dyDescent="0.25">
      <c r="A2820" t="s">
        <v>3832</v>
      </c>
    </row>
    <row r="2821" spans="1:1" x14ac:dyDescent="0.25">
      <c r="A2821" t="s">
        <v>3833</v>
      </c>
    </row>
    <row r="2822" spans="1:1" x14ac:dyDescent="0.25">
      <c r="A2822" t="s">
        <v>3834</v>
      </c>
    </row>
    <row r="2823" spans="1:1" x14ac:dyDescent="0.25">
      <c r="A2823" t="s">
        <v>3835</v>
      </c>
    </row>
    <row r="2824" spans="1:1" x14ac:dyDescent="0.25">
      <c r="A2824" t="s">
        <v>3836</v>
      </c>
    </row>
    <row r="2825" spans="1:1" x14ac:dyDescent="0.25">
      <c r="A2825" t="s">
        <v>3837</v>
      </c>
    </row>
    <row r="2826" spans="1:1" x14ac:dyDescent="0.25">
      <c r="A2826" t="s">
        <v>3838</v>
      </c>
    </row>
    <row r="2827" spans="1:1" x14ac:dyDescent="0.25">
      <c r="A2827" t="s">
        <v>3839</v>
      </c>
    </row>
    <row r="2828" spans="1:1" x14ac:dyDescent="0.25">
      <c r="A2828" t="s">
        <v>3840</v>
      </c>
    </row>
    <row r="2829" spans="1:1" x14ac:dyDescent="0.25">
      <c r="A2829" t="s">
        <v>3841</v>
      </c>
    </row>
    <row r="2830" spans="1:1" x14ac:dyDescent="0.25">
      <c r="A2830" t="s">
        <v>3842</v>
      </c>
    </row>
    <row r="2831" spans="1:1" x14ac:dyDescent="0.25">
      <c r="A2831" t="s">
        <v>3843</v>
      </c>
    </row>
    <row r="2832" spans="1:1" x14ac:dyDescent="0.25">
      <c r="A2832" t="s">
        <v>3844</v>
      </c>
    </row>
    <row r="2833" spans="1:1" x14ac:dyDescent="0.25">
      <c r="A2833" t="s">
        <v>3845</v>
      </c>
    </row>
    <row r="2834" spans="1:1" x14ac:dyDescent="0.25">
      <c r="A2834" t="s">
        <v>3846</v>
      </c>
    </row>
    <row r="2835" spans="1:1" x14ac:dyDescent="0.25">
      <c r="A2835" t="s">
        <v>3847</v>
      </c>
    </row>
    <row r="2836" spans="1:1" x14ac:dyDescent="0.25">
      <c r="A2836" t="s">
        <v>3848</v>
      </c>
    </row>
    <row r="2837" spans="1:1" x14ac:dyDescent="0.25">
      <c r="A2837" t="s">
        <v>3849</v>
      </c>
    </row>
    <row r="2838" spans="1:1" x14ac:dyDescent="0.25">
      <c r="A2838" t="s">
        <v>3850</v>
      </c>
    </row>
    <row r="2839" spans="1:1" x14ac:dyDescent="0.25">
      <c r="A2839" t="s">
        <v>3851</v>
      </c>
    </row>
    <row r="2840" spans="1:1" x14ac:dyDescent="0.25">
      <c r="A2840" t="s">
        <v>3852</v>
      </c>
    </row>
    <row r="2841" spans="1:1" x14ac:dyDescent="0.25">
      <c r="A2841" t="s">
        <v>3853</v>
      </c>
    </row>
    <row r="2842" spans="1:1" x14ac:dyDescent="0.25">
      <c r="A2842" t="s">
        <v>3854</v>
      </c>
    </row>
    <row r="2843" spans="1:1" x14ac:dyDescent="0.25">
      <c r="A2843" t="s">
        <v>3855</v>
      </c>
    </row>
    <row r="2844" spans="1:1" x14ac:dyDescent="0.25">
      <c r="A2844" t="s">
        <v>3856</v>
      </c>
    </row>
    <row r="2845" spans="1:1" x14ac:dyDescent="0.25">
      <c r="A2845" t="s">
        <v>3857</v>
      </c>
    </row>
    <row r="2846" spans="1:1" x14ac:dyDescent="0.25">
      <c r="A2846" t="s">
        <v>3858</v>
      </c>
    </row>
    <row r="2847" spans="1:1" x14ac:dyDescent="0.25">
      <c r="A2847" t="s">
        <v>3859</v>
      </c>
    </row>
    <row r="2848" spans="1:1" x14ac:dyDescent="0.25">
      <c r="A2848" t="s">
        <v>3860</v>
      </c>
    </row>
    <row r="2849" spans="1:1" x14ac:dyDescent="0.25">
      <c r="A2849" t="s">
        <v>3861</v>
      </c>
    </row>
    <row r="2850" spans="1:1" x14ac:dyDescent="0.25">
      <c r="A2850" t="s">
        <v>3862</v>
      </c>
    </row>
    <row r="2851" spans="1:1" x14ac:dyDescent="0.25">
      <c r="A2851" t="s">
        <v>3863</v>
      </c>
    </row>
    <row r="2852" spans="1:1" x14ac:dyDescent="0.25">
      <c r="A2852" t="s">
        <v>3864</v>
      </c>
    </row>
    <row r="2853" spans="1:1" x14ac:dyDescent="0.25">
      <c r="A2853" t="s">
        <v>3865</v>
      </c>
    </row>
    <row r="2854" spans="1:1" x14ac:dyDescent="0.25">
      <c r="A2854" t="s">
        <v>3866</v>
      </c>
    </row>
    <row r="2855" spans="1:1" x14ac:dyDescent="0.25">
      <c r="A2855" t="s">
        <v>3867</v>
      </c>
    </row>
    <row r="2856" spans="1:1" x14ac:dyDescent="0.25">
      <c r="A2856" t="s">
        <v>3868</v>
      </c>
    </row>
    <row r="2857" spans="1:1" x14ac:dyDescent="0.25">
      <c r="A2857" t="s">
        <v>3869</v>
      </c>
    </row>
    <row r="2858" spans="1:1" x14ac:dyDescent="0.25">
      <c r="A2858" t="s">
        <v>3870</v>
      </c>
    </row>
    <row r="2859" spans="1:1" x14ac:dyDescent="0.25">
      <c r="A2859" t="s">
        <v>3871</v>
      </c>
    </row>
    <row r="2860" spans="1:1" x14ac:dyDescent="0.25">
      <c r="A2860" t="s">
        <v>3872</v>
      </c>
    </row>
    <row r="2861" spans="1:1" x14ac:dyDescent="0.25">
      <c r="A2861" t="s">
        <v>3873</v>
      </c>
    </row>
    <row r="2862" spans="1:1" x14ac:dyDescent="0.25">
      <c r="A2862" t="s">
        <v>3874</v>
      </c>
    </row>
    <row r="2863" spans="1:1" x14ac:dyDescent="0.25">
      <c r="A2863" t="s">
        <v>3875</v>
      </c>
    </row>
    <row r="2864" spans="1:1" x14ac:dyDescent="0.25">
      <c r="A2864" t="s">
        <v>3876</v>
      </c>
    </row>
    <row r="2865" spans="1:1" x14ac:dyDescent="0.25">
      <c r="A2865" t="s">
        <v>3877</v>
      </c>
    </row>
    <row r="2866" spans="1:1" x14ac:dyDescent="0.25">
      <c r="A2866" t="s">
        <v>3878</v>
      </c>
    </row>
    <row r="2867" spans="1:1" x14ac:dyDescent="0.25">
      <c r="A2867" t="s">
        <v>3879</v>
      </c>
    </row>
    <row r="2868" spans="1:1" x14ac:dyDescent="0.25">
      <c r="A2868" t="s">
        <v>3880</v>
      </c>
    </row>
    <row r="2869" spans="1:1" x14ac:dyDescent="0.25">
      <c r="A2869" t="s">
        <v>3881</v>
      </c>
    </row>
    <row r="2870" spans="1:1" x14ac:dyDescent="0.25">
      <c r="A2870" t="s">
        <v>3882</v>
      </c>
    </row>
    <row r="2871" spans="1:1" x14ac:dyDescent="0.25">
      <c r="A2871" t="s">
        <v>3883</v>
      </c>
    </row>
    <row r="2872" spans="1:1" x14ac:dyDescent="0.25">
      <c r="A2872" t="s">
        <v>3884</v>
      </c>
    </row>
    <row r="2873" spans="1:1" x14ac:dyDescent="0.25">
      <c r="A2873" t="s">
        <v>3885</v>
      </c>
    </row>
    <row r="2874" spans="1:1" x14ac:dyDescent="0.25">
      <c r="A2874" t="s">
        <v>3886</v>
      </c>
    </row>
    <row r="2875" spans="1:1" x14ac:dyDescent="0.25">
      <c r="A2875" t="s">
        <v>3887</v>
      </c>
    </row>
    <row r="2876" spans="1:1" x14ac:dyDescent="0.25">
      <c r="A2876" t="s">
        <v>3888</v>
      </c>
    </row>
    <row r="2877" spans="1:1" x14ac:dyDescent="0.25">
      <c r="A2877" t="s">
        <v>3889</v>
      </c>
    </row>
    <row r="2878" spans="1:1" x14ac:dyDescent="0.25">
      <c r="A2878" t="s">
        <v>3890</v>
      </c>
    </row>
    <row r="2879" spans="1:1" x14ac:dyDescent="0.25">
      <c r="A2879" t="s">
        <v>3891</v>
      </c>
    </row>
    <row r="2880" spans="1:1" x14ac:dyDescent="0.25">
      <c r="A2880" t="s">
        <v>3892</v>
      </c>
    </row>
    <row r="2881" spans="1:1" x14ac:dyDescent="0.25">
      <c r="A2881" t="s">
        <v>3893</v>
      </c>
    </row>
    <row r="2882" spans="1:1" x14ac:dyDescent="0.25">
      <c r="A2882" t="s">
        <v>3894</v>
      </c>
    </row>
    <row r="2883" spans="1:1" x14ac:dyDescent="0.25">
      <c r="A2883" t="s">
        <v>3895</v>
      </c>
    </row>
    <row r="2884" spans="1:1" x14ac:dyDescent="0.25">
      <c r="A2884" t="s">
        <v>3896</v>
      </c>
    </row>
    <row r="2885" spans="1:1" x14ac:dyDescent="0.25">
      <c r="A2885" t="s">
        <v>3897</v>
      </c>
    </row>
    <row r="2886" spans="1:1" x14ac:dyDescent="0.25">
      <c r="A2886" t="s">
        <v>3898</v>
      </c>
    </row>
    <row r="2887" spans="1:1" x14ac:dyDescent="0.25">
      <c r="A2887" t="s">
        <v>3899</v>
      </c>
    </row>
    <row r="2888" spans="1:1" x14ac:dyDescent="0.25">
      <c r="A2888" t="s">
        <v>3900</v>
      </c>
    </row>
    <row r="2889" spans="1:1" x14ac:dyDescent="0.25">
      <c r="A2889" t="s">
        <v>3901</v>
      </c>
    </row>
    <row r="2890" spans="1:1" x14ac:dyDescent="0.25">
      <c r="A2890" t="s">
        <v>3902</v>
      </c>
    </row>
    <row r="2891" spans="1:1" x14ac:dyDescent="0.25">
      <c r="A2891" t="s">
        <v>3903</v>
      </c>
    </row>
    <row r="2892" spans="1:1" x14ac:dyDescent="0.25">
      <c r="A2892" t="s">
        <v>3904</v>
      </c>
    </row>
    <row r="2893" spans="1:1" x14ac:dyDescent="0.25">
      <c r="A2893" t="s">
        <v>3905</v>
      </c>
    </row>
    <row r="2894" spans="1:1" x14ac:dyDescent="0.25">
      <c r="A2894" t="s">
        <v>3906</v>
      </c>
    </row>
    <row r="2895" spans="1:1" x14ac:dyDescent="0.25">
      <c r="A2895" t="s">
        <v>3907</v>
      </c>
    </row>
    <row r="2896" spans="1:1" x14ac:dyDescent="0.25">
      <c r="A2896" t="s">
        <v>3908</v>
      </c>
    </row>
    <row r="2897" spans="1:1" x14ac:dyDescent="0.25">
      <c r="A2897" t="s">
        <v>3909</v>
      </c>
    </row>
    <row r="2898" spans="1:1" x14ac:dyDescent="0.25">
      <c r="A2898" t="s">
        <v>3910</v>
      </c>
    </row>
    <row r="2899" spans="1:1" x14ac:dyDescent="0.25">
      <c r="A2899" t="s">
        <v>3911</v>
      </c>
    </row>
    <row r="2900" spans="1:1" x14ac:dyDescent="0.25">
      <c r="A2900" t="s">
        <v>3912</v>
      </c>
    </row>
    <row r="2901" spans="1:1" x14ac:dyDescent="0.25">
      <c r="A2901" t="s">
        <v>3913</v>
      </c>
    </row>
    <row r="2902" spans="1:1" x14ac:dyDescent="0.25">
      <c r="A2902" t="s">
        <v>3914</v>
      </c>
    </row>
    <row r="2903" spans="1:1" x14ac:dyDescent="0.25">
      <c r="A2903" t="s">
        <v>3915</v>
      </c>
    </row>
    <row r="2904" spans="1:1" x14ac:dyDescent="0.25">
      <c r="A2904" t="s">
        <v>3916</v>
      </c>
    </row>
    <row r="2905" spans="1:1" x14ac:dyDescent="0.25">
      <c r="A2905" t="s">
        <v>3917</v>
      </c>
    </row>
    <row r="2906" spans="1:1" x14ac:dyDescent="0.25">
      <c r="A2906" t="s">
        <v>3918</v>
      </c>
    </row>
    <row r="2907" spans="1:1" x14ac:dyDescent="0.25">
      <c r="A2907" t="s">
        <v>3919</v>
      </c>
    </row>
    <row r="2908" spans="1:1" x14ac:dyDescent="0.25">
      <c r="A2908" t="s">
        <v>3920</v>
      </c>
    </row>
    <row r="2909" spans="1:1" x14ac:dyDescent="0.25">
      <c r="A2909" t="s">
        <v>3921</v>
      </c>
    </row>
    <row r="2910" spans="1:1" x14ac:dyDescent="0.25">
      <c r="A2910" t="s">
        <v>3922</v>
      </c>
    </row>
    <row r="2911" spans="1:1" x14ac:dyDescent="0.25">
      <c r="A2911" t="s">
        <v>3923</v>
      </c>
    </row>
    <row r="2912" spans="1:1" x14ac:dyDescent="0.25">
      <c r="A2912" t="s">
        <v>3924</v>
      </c>
    </row>
    <row r="2913" spans="1:1" x14ac:dyDescent="0.25">
      <c r="A2913" t="s">
        <v>3925</v>
      </c>
    </row>
    <row r="2914" spans="1:1" x14ac:dyDescent="0.25">
      <c r="A2914" t="s">
        <v>1454</v>
      </c>
    </row>
    <row r="2915" spans="1:1" x14ac:dyDescent="0.25">
      <c r="A2915" t="s">
        <v>3926</v>
      </c>
    </row>
    <row r="2916" spans="1:1" x14ac:dyDescent="0.25">
      <c r="A2916" t="s">
        <v>3927</v>
      </c>
    </row>
    <row r="2917" spans="1:1" x14ac:dyDescent="0.25">
      <c r="A2917" t="s">
        <v>3928</v>
      </c>
    </row>
    <row r="2918" spans="1:1" x14ac:dyDescent="0.25">
      <c r="A2918" t="s">
        <v>3929</v>
      </c>
    </row>
    <row r="2919" spans="1:1" x14ac:dyDescent="0.25">
      <c r="A2919" t="s">
        <v>3930</v>
      </c>
    </row>
    <row r="2920" spans="1:1" x14ac:dyDescent="0.25">
      <c r="A2920" t="s">
        <v>3931</v>
      </c>
    </row>
    <row r="2921" spans="1:1" x14ac:dyDescent="0.25">
      <c r="A2921" t="s">
        <v>3932</v>
      </c>
    </row>
    <row r="2922" spans="1:1" x14ac:dyDescent="0.25">
      <c r="A2922" t="s">
        <v>3933</v>
      </c>
    </row>
    <row r="2923" spans="1:1" x14ac:dyDescent="0.25">
      <c r="A2923" t="s">
        <v>3934</v>
      </c>
    </row>
    <row r="2924" spans="1:1" x14ac:dyDescent="0.25">
      <c r="A2924" t="s">
        <v>3935</v>
      </c>
    </row>
    <row r="2925" spans="1:1" x14ac:dyDescent="0.25">
      <c r="A2925" t="s">
        <v>3936</v>
      </c>
    </row>
    <row r="2926" spans="1:1" x14ac:dyDescent="0.25">
      <c r="A2926" t="s">
        <v>3937</v>
      </c>
    </row>
    <row r="2927" spans="1:1" x14ac:dyDescent="0.25">
      <c r="A2927" t="s">
        <v>3938</v>
      </c>
    </row>
    <row r="2928" spans="1:1" x14ac:dyDescent="0.25">
      <c r="A2928" t="s">
        <v>3939</v>
      </c>
    </row>
    <row r="2929" spans="1:1" x14ac:dyDescent="0.25">
      <c r="A2929" t="s">
        <v>3940</v>
      </c>
    </row>
    <row r="2930" spans="1:1" x14ac:dyDescent="0.25">
      <c r="A2930" t="s">
        <v>3941</v>
      </c>
    </row>
    <row r="2931" spans="1:1" x14ac:dyDescent="0.25">
      <c r="A2931" t="s">
        <v>3942</v>
      </c>
    </row>
    <row r="2932" spans="1:1" x14ac:dyDescent="0.25">
      <c r="A2932" t="s">
        <v>3943</v>
      </c>
    </row>
    <row r="2933" spans="1:1" x14ac:dyDescent="0.25">
      <c r="A2933" t="s">
        <v>3944</v>
      </c>
    </row>
    <row r="2934" spans="1:1" x14ac:dyDescent="0.25">
      <c r="A2934" t="s">
        <v>3945</v>
      </c>
    </row>
    <row r="2935" spans="1:1" x14ac:dyDescent="0.25">
      <c r="A2935" t="s">
        <v>3946</v>
      </c>
    </row>
    <row r="2936" spans="1:1" x14ac:dyDescent="0.25">
      <c r="A2936" t="s">
        <v>3947</v>
      </c>
    </row>
    <row r="2937" spans="1:1" x14ac:dyDescent="0.25">
      <c r="A2937" t="s">
        <v>3948</v>
      </c>
    </row>
    <row r="2938" spans="1:1" x14ac:dyDescent="0.25">
      <c r="A2938" t="s">
        <v>3949</v>
      </c>
    </row>
    <row r="2939" spans="1:1" x14ac:dyDescent="0.25">
      <c r="A2939" t="s">
        <v>3950</v>
      </c>
    </row>
    <row r="2940" spans="1:1" x14ac:dyDescent="0.25">
      <c r="A2940" t="s">
        <v>3951</v>
      </c>
    </row>
    <row r="2941" spans="1:1" x14ac:dyDescent="0.25">
      <c r="A2941" t="s">
        <v>3952</v>
      </c>
    </row>
    <row r="2942" spans="1:1" x14ac:dyDescent="0.25">
      <c r="A2942" t="s">
        <v>3953</v>
      </c>
    </row>
    <row r="2943" spans="1:1" x14ac:dyDescent="0.25">
      <c r="A2943" t="s">
        <v>3954</v>
      </c>
    </row>
    <row r="2944" spans="1:1" x14ac:dyDescent="0.25">
      <c r="A2944" t="s">
        <v>3955</v>
      </c>
    </row>
    <row r="2945" spans="1:1" x14ac:dyDescent="0.25">
      <c r="A2945" t="s">
        <v>3956</v>
      </c>
    </row>
    <row r="2946" spans="1:1" x14ac:dyDescent="0.25">
      <c r="A2946" t="s">
        <v>3957</v>
      </c>
    </row>
    <row r="2947" spans="1:1" x14ac:dyDescent="0.25">
      <c r="A2947" t="s">
        <v>3958</v>
      </c>
    </row>
    <row r="2948" spans="1:1" x14ac:dyDescent="0.25">
      <c r="A2948" t="s">
        <v>3959</v>
      </c>
    </row>
    <row r="2949" spans="1:1" x14ac:dyDescent="0.25">
      <c r="A2949" t="s">
        <v>3960</v>
      </c>
    </row>
    <row r="2950" spans="1:1" x14ac:dyDescent="0.25">
      <c r="A2950" t="s">
        <v>3961</v>
      </c>
    </row>
    <row r="2951" spans="1:1" x14ac:dyDescent="0.25">
      <c r="A2951" t="s">
        <v>3962</v>
      </c>
    </row>
    <row r="2952" spans="1:1" x14ac:dyDescent="0.25">
      <c r="A2952" t="s">
        <v>3963</v>
      </c>
    </row>
    <row r="2953" spans="1:1" x14ac:dyDescent="0.25">
      <c r="A2953" t="s">
        <v>3964</v>
      </c>
    </row>
    <row r="2954" spans="1:1" x14ac:dyDescent="0.25">
      <c r="A2954" t="s">
        <v>3965</v>
      </c>
    </row>
    <row r="2955" spans="1:1" x14ac:dyDescent="0.25">
      <c r="A2955" t="s">
        <v>3966</v>
      </c>
    </row>
    <row r="2956" spans="1:1" x14ac:dyDescent="0.25">
      <c r="A2956" t="s">
        <v>3967</v>
      </c>
    </row>
    <row r="2957" spans="1:1" x14ac:dyDescent="0.25">
      <c r="A2957" t="s">
        <v>3968</v>
      </c>
    </row>
    <row r="2958" spans="1:1" x14ac:dyDescent="0.25">
      <c r="A2958" t="s">
        <v>3969</v>
      </c>
    </row>
    <row r="2959" spans="1:1" x14ac:dyDescent="0.25">
      <c r="A2959" t="s">
        <v>3970</v>
      </c>
    </row>
    <row r="2960" spans="1:1" x14ac:dyDescent="0.25">
      <c r="A2960" t="s">
        <v>3971</v>
      </c>
    </row>
    <row r="2961" spans="1:1" x14ac:dyDescent="0.25">
      <c r="A2961" t="s">
        <v>3972</v>
      </c>
    </row>
    <row r="2962" spans="1:1" x14ac:dyDescent="0.25">
      <c r="A2962" t="s">
        <v>3973</v>
      </c>
    </row>
    <row r="2963" spans="1:1" x14ac:dyDescent="0.25">
      <c r="A2963" t="s">
        <v>3974</v>
      </c>
    </row>
    <row r="2964" spans="1:1" x14ac:dyDescent="0.25">
      <c r="A2964" t="s">
        <v>3975</v>
      </c>
    </row>
    <row r="2965" spans="1:1" x14ac:dyDescent="0.25">
      <c r="A2965" t="s">
        <v>3976</v>
      </c>
    </row>
    <row r="2966" spans="1:1" x14ac:dyDescent="0.25">
      <c r="A2966" t="s">
        <v>3977</v>
      </c>
    </row>
    <row r="2967" spans="1:1" x14ac:dyDescent="0.25">
      <c r="A2967" t="s">
        <v>3978</v>
      </c>
    </row>
    <row r="2968" spans="1:1" x14ac:dyDescent="0.25">
      <c r="A2968" t="s">
        <v>3979</v>
      </c>
    </row>
    <row r="2969" spans="1:1" x14ac:dyDescent="0.25">
      <c r="A2969" t="s">
        <v>3980</v>
      </c>
    </row>
    <row r="2970" spans="1:1" x14ac:dyDescent="0.25">
      <c r="A2970" t="s">
        <v>3981</v>
      </c>
    </row>
    <row r="2971" spans="1:1" x14ac:dyDescent="0.25">
      <c r="A2971" t="s">
        <v>3982</v>
      </c>
    </row>
    <row r="2972" spans="1:1" x14ac:dyDescent="0.25">
      <c r="A2972" t="s">
        <v>3983</v>
      </c>
    </row>
    <row r="2973" spans="1:1" x14ac:dyDescent="0.25">
      <c r="A2973" t="s">
        <v>3984</v>
      </c>
    </row>
    <row r="2974" spans="1:1" x14ac:dyDescent="0.25">
      <c r="A2974" t="s">
        <v>3985</v>
      </c>
    </row>
    <row r="2975" spans="1:1" x14ac:dyDescent="0.25">
      <c r="A2975" t="s">
        <v>3986</v>
      </c>
    </row>
    <row r="2976" spans="1:1" x14ac:dyDescent="0.25">
      <c r="A2976" t="s">
        <v>3987</v>
      </c>
    </row>
    <row r="2977" spans="1:1" x14ac:dyDescent="0.25">
      <c r="A2977" t="s">
        <v>3988</v>
      </c>
    </row>
    <row r="2978" spans="1:1" x14ac:dyDescent="0.25">
      <c r="A2978" t="s">
        <v>3989</v>
      </c>
    </row>
    <row r="2979" spans="1:1" x14ac:dyDescent="0.25">
      <c r="A2979" t="s">
        <v>3990</v>
      </c>
    </row>
    <row r="2980" spans="1:1" x14ac:dyDescent="0.25">
      <c r="A2980" t="s">
        <v>3991</v>
      </c>
    </row>
    <row r="2981" spans="1:1" x14ac:dyDescent="0.25">
      <c r="A2981" t="s">
        <v>3992</v>
      </c>
    </row>
    <row r="2982" spans="1:1" x14ac:dyDescent="0.25">
      <c r="A2982" t="s">
        <v>3993</v>
      </c>
    </row>
    <row r="2983" spans="1:1" x14ac:dyDescent="0.25">
      <c r="A2983" t="s">
        <v>3994</v>
      </c>
    </row>
    <row r="2984" spans="1:1" x14ac:dyDescent="0.25">
      <c r="A2984" t="s">
        <v>3995</v>
      </c>
    </row>
    <row r="2985" spans="1:1" x14ac:dyDescent="0.25">
      <c r="A2985" t="s">
        <v>3996</v>
      </c>
    </row>
    <row r="2986" spans="1:1" x14ac:dyDescent="0.25">
      <c r="A2986" t="s">
        <v>3997</v>
      </c>
    </row>
    <row r="2987" spans="1:1" x14ac:dyDescent="0.25">
      <c r="A2987" t="s">
        <v>3998</v>
      </c>
    </row>
    <row r="2988" spans="1:1" x14ac:dyDescent="0.25">
      <c r="A2988" t="s">
        <v>3999</v>
      </c>
    </row>
    <row r="2989" spans="1:1" x14ac:dyDescent="0.25">
      <c r="A2989" t="s">
        <v>4000</v>
      </c>
    </row>
    <row r="2990" spans="1:1" x14ac:dyDescent="0.25">
      <c r="A2990" t="s">
        <v>4001</v>
      </c>
    </row>
    <row r="2991" spans="1:1" x14ac:dyDescent="0.25">
      <c r="A2991" t="s">
        <v>4002</v>
      </c>
    </row>
    <row r="2992" spans="1:1" x14ac:dyDescent="0.25">
      <c r="A2992" t="s">
        <v>4003</v>
      </c>
    </row>
    <row r="2993" spans="1:1" x14ac:dyDescent="0.25">
      <c r="A2993" t="s">
        <v>4004</v>
      </c>
    </row>
    <row r="2994" spans="1:1" x14ac:dyDescent="0.25">
      <c r="A2994" t="s">
        <v>4005</v>
      </c>
    </row>
    <row r="2995" spans="1:1" x14ac:dyDescent="0.25">
      <c r="A2995" t="s">
        <v>4006</v>
      </c>
    </row>
    <row r="2996" spans="1:1" x14ac:dyDescent="0.25">
      <c r="A2996" t="s">
        <v>4007</v>
      </c>
    </row>
    <row r="2997" spans="1:1" x14ac:dyDescent="0.25">
      <c r="A2997" t="s">
        <v>4008</v>
      </c>
    </row>
    <row r="2998" spans="1:1" x14ac:dyDescent="0.25">
      <c r="A2998" t="s">
        <v>4009</v>
      </c>
    </row>
    <row r="2999" spans="1:1" x14ac:dyDescent="0.25">
      <c r="A2999" t="s">
        <v>4010</v>
      </c>
    </row>
    <row r="3000" spans="1:1" x14ac:dyDescent="0.25">
      <c r="A3000" t="s">
        <v>4011</v>
      </c>
    </row>
    <row r="3001" spans="1:1" x14ac:dyDescent="0.25">
      <c r="A3001" t="s">
        <v>4012</v>
      </c>
    </row>
    <row r="3002" spans="1:1" x14ac:dyDescent="0.25">
      <c r="A3002" t="s">
        <v>4013</v>
      </c>
    </row>
    <row r="3003" spans="1:1" x14ac:dyDescent="0.25">
      <c r="A3003" t="s">
        <v>4014</v>
      </c>
    </row>
    <row r="3004" spans="1:1" x14ac:dyDescent="0.25">
      <c r="A3004" t="s">
        <v>4015</v>
      </c>
    </row>
    <row r="3005" spans="1:1" x14ac:dyDescent="0.25">
      <c r="A3005" t="s">
        <v>4016</v>
      </c>
    </row>
    <row r="3006" spans="1:1" x14ac:dyDescent="0.25">
      <c r="A3006" t="s">
        <v>4017</v>
      </c>
    </row>
    <row r="3007" spans="1:1" x14ac:dyDescent="0.25">
      <c r="A3007" t="s">
        <v>4018</v>
      </c>
    </row>
    <row r="3008" spans="1:1" x14ac:dyDescent="0.25">
      <c r="A3008" t="s">
        <v>4019</v>
      </c>
    </row>
    <row r="3009" spans="1:1" x14ac:dyDescent="0.25">
      <c r="A3009" t="s">
        <v>4020</v>
      </c>
    </row>
    <row r="3010" spans="1:1" x14ac:dyDescent="0.25">
      <c r="A3010" t="s">
        <v>4021</v>
      </c>
    </row>
    <row r="3011" spans="1:1" x14ac:dyDescent="0.25">
      <c r="A3011" t="s">
        <v>4022</v>
      </c>
    </row>
    <row r="3012" spans="1:1" x14ac:dyDescent="0.25">
      <c r="A3012" t="s">
        <v>4023</v>
      </c>
    </row>
    <row r="3013" spans="1:1" x14ac:dyDescent="0.25">
      <c r="A3013" t="s">
        <v>4024</v>
      </c>
    </row>
    <row r="3014" spans="1:1" x14ac:dyDescent="0.25">
      <c r="A3014" t="s">
        <v>4025</v>
      </c>
    </row>
    <row r="3015" spans="1:1" x14ac:dyDescent="0.25">
      <c r="A3015" t="s">
        <v>4026</v>
      </c>
    </row>
    <row r="3016" spans="1:1" x14ac:dyDescent="0.25">
      <c r="A3016" t="s">
        <v>4027</v>
      </c>
    </row>
    <row r="3017" spans="1:1" x14ac:dyDescent="0.25">
      <c r="A3017" t="s">
        <v>4028</v>
      </c>
    </row>
    <row r="3018" spans="1:1" x14ac:dyDescent="0.25">
      <c r="A3018" t="s">
        <v>4029</v>
      </c>
    </row>
    <row r="3019" spans="1:1" x14ac:dyDescent="0.25">
      <c r="A3019" t="s">
        <v>4030</v>
      </c>
    </row>
    <row r="3020" spans="1:1" x14ac:dyDescent="0.25">
      <c r="A3020" t="s">
        <v>4031</v>
      </c>
    </row>
    <row r="3021" spans="1:1" x14ac:dyDescent="0.25">
      <c r="A3021" t="s">
        <v>4032</v>
      </c>
    </row>
    <row r="3022" spans="1:1" x14ac:dyDescent="0.25">
      <c r="A3022" t="s">
        <v>4033</v>
      </c>
    </row>
    <row r="3023" spans="1:1" x14ac:dyDescent="0.25">
      <c r="A3023" t="s">
        <v>4034</v>
      </c>
    </row>
    <row r="3024" spans="1:1" x14ac:dyDescent="0.25">
      <c r="A3024" t="s">
        <v>4035</v>
      </c>
    </row>
    <row r="3025" spans="1:1" x14ac:dyDescent="0.25">
      <c r="A3025" t="s">
        <v>4036</v>
      </c>
    </row>
    <row r="3026" spans="1:1" x14ac:dyDescent="0.25">
      <c r="A3026" t="s">
        <v>4037</v>
      </c>
    </row>
    <row r="3027" spans="1:1" x14ac:dyDescent="0.25">
      <c r="A3027" t="s">
        <v>4038</v>
      </c>
    </row>
    <row r="3028" spans="1:1" x14ac:dyDescent="0.25">
      <c r="A3028" t="s">
        <v>4039</v>
      </c>
    </row>
    <row r="3029" spans="1:1" x14ac:dyDescent="0.25">
      <c r="A3029" t="s">
        <v>4040</v>
      </c>
    </row>
    <row r="3030" spans="1:1" x14ac:dyDescent="0.25">
      <c r="A3030" t="s">
        <v>4041</v>
      </c>
    </row>
    <row r="3031" spans="1:1" x14ac:dyDescent="0.25">
      <c r="A3031" t="s">
        <v>4042</v>
      </c>
    </row>
    <row r="3032" spans="1:1" x14ac:dyDescent="0.25">
      <c r="A3032" t="s">
        <v>4043</v>
      </c>
    </row>
    <row r="3033" spans="1:1" x14ac:dyDescent="0.25">
      <c r="A3033" t="s">
        <v>4044</v>
      </c>
    </row>
    <row r="3034" spans="1:1" x14ac:dyDescent="0.25">
      <c r="A3034" t="s">
        <v>4045</v>
      </c>
    </row>
    <row r="3035" spans="1:1" x14ac:dyDescent="0.25">
      <c r="A3035" t="s">
        <v>4046</v>
      </c>
    </row>
    <row r="3036" spans="1:1" x14ac:dyDescent="0.25">
      <c r="A3036" t="s">
        <v>4047</v>
      </c>
    </row>
    <row r="3037" spans="1:1" x14ac:dyDescent="0.25">
      <c r="A3037" t="s">
        <v>4048</v>
      </c>
    </row>
    <row r="3038" spans="1:1" x14ac:dyDescent="0.25">
      <c r="A3038" t="s">
        <v>4049</v>
      </c>
    </row>
    <row r="3039" spans="1:1" x14ac:dyDescent="0.25">
      <c r="A3039" t="s">
        <v>4050</v>
      </c>
    </row>
    <row r="3040" spans="1:1" x14ac:dyDescent="0.25">
      <c r="A3040" t="s">
        <v>4051</v>
      </c>
    </row>
    <row r="3041" spans="1:1" x14ac:dyDescent="0.25">
      <c r="A3041" t="s">
        <v>4052</v>
      </c>
    </row>
    <row r="3042" spans="1:1" x14ac:dyDescent="0.25">
      <c r="A3042" t="s">
        <v>4053</v>
      </c>
    </row>
    <row r="3043" spans="1:1" x14ac:dyDescent="0.25">
      <c r="A3043" t="s">
        <v>4054</v>
      </c>
    </row>
    <row r="3044" spans="1:1" x14ac:dyDescent="0.25">
      <c r="A3044" t="s">
        <v>4055</v>
      </c>
    </row>
    <row r="3045" spans="1:1" x14ac:dyDescent="0.25">
      <c r="A3045" t="s">
        <v>4056</v>
      </c>
    </row>
    <row r="3046" spans="1:1" x14ac:dyDescent="0.25">
      <c r="A3046" t="s">
        <v>4057</v>
      </c>
    </row>
    <row r="3047" spans="1:1" x14ac:dyDescent="0.25">
      <c r="A3047" t="s">
        <v>4058</v>
      </c>
    </row>
    <row r="3048" spans="1:1" x14ac:dyDescent="0.25">
      <c r="A3048" t="s">
        <v>4059</v>
      </c>
    </row>
    <row r="3049" spans="1:1" x14ac:dyDescent="0.25">
      <c r="A3049" t="s">
        <v>4060</v>
      </c>
    </row>
    <row r="3050" spans="1:1" x14ac:dyDescent="0.25">
      <c r="A3050" t="s">
        <v>4061</v>
      </c>
    </row>
    <row r="3051" spans="1:1" x14ac:dyDescent="0.25">
      <c r="A3051" t="s">
        <v>4062</v>
      </c>
    </row>
    <row r="3052" spans="1:1" x14ac:dyDescent="0.25">
      <c r="A3052" t="s">
        <v>4063</v>
      </c>
    </row>
    <row r="3053" spans="1:1" x14ac:dyDescent="0.25">
      <c r="A3053" t="s">
        <v>4064</v>
      </c>
    </row>
    <row r="3054" spans="1:1" x14ac:dyDescent="0.25">
      <c r="A3054" t="s">
        <v>4065</v>
      </c>
    </row>
    <row r="3055" spans="1:1" x14ac:dyDescent="0.25">
      <c r="A3055" t="s">
        <v>4066</v>
      </c>
    </row>
    <row r="3056" spans="1:1" x14ac:dyDescent="0.25">
      <c r="A3056" t="s">
        <v>4067</v>
      </c>
    </row>
    <row r="3057" spans="1:1" x14ac:dyDescent="0.25">
      <c r="A3057" t="s">
        <v>4068</v>
      </c>
    </row>
    <row r="3058" spans="1:1" x14ac:dyDescent="0.25">
      <c r="A3058" t="s">
        <v>4069</v>
      </c>
    </row>
    <row r="3059" spans="1:1" x14ac:dyDescent="0.25">
      <c r="A3059" t="s">
        <v>4070</v>
      </c>
    </row>
    <row r="3060" spans="1:1" x14ac:dyDescent="0.25">
      <c r="A3060" t="s">
        <v>4071</v>
      </c>
    </row>
    <row r="3061" spans="1:1" x14ac:dyDescent="0.25">
      <c r="A3061" t="s">
        <v>4072</v>
      </c>
    </row>
    <row r="3062" spans="1:1" x14ac:dyDescent="0.25">
      <c r="A3062" t="s">
        <v>4073</v>
      </c>
    </row>
    <row r="3063" spans="1:1" x14ac:dyDescent="0.25">
      <c r="A3063" t="s">
        <v>4074</v>
      </c>
    </row>
    <row r="3064" spans="1:1" x14ac:dyDescent="0.25">
      <c r="A3064" t="s">
        <v>4075</v>
      </c>
    </row>
    <row r="3065" spans="1:1" x14ac:dyDescent="0.25">
      <c r="A3065" t="s">
        <v>4076</v>
      </c>
    </row>
    <row r="3066" spans="1:1" x14ac:dyDescent="0.25">
      <c r="A3066" t="s">
        <v>4077</v>
      </c>
    </row>
    <row r="3067" spans="1:1" x14ac:dyDescent="0.25">
      <c r="A3067" t="s">
        <v>4078</v>
      </c>
    </row>
    <row r="3068" spans="1:1" x14ac:dyDescent="0.25">
      <c r="A3068" t="s">
        <v>4079</v>
      </c>
    </row>
    <row r="3069" spans="1:1" x14ac:dyDescent="0.25">
      <c r="A3069" t="s">
        <v>4080</v>
      </c>
    </row>
    <row r="3070" spans="1:1" x14ac:dyDescent="0.25">
      <c r="A3070" t="s">
        <v>4081</v>
      </c>
    </row>
    <row r="3071" spans="1:1" x14ac:dyDescent="0.25">
      <c r="A3071" t="s">
        <v>4082</v>
      </c>
    </row>
    <row r="3072" spans="1:1" x14ac:dyDescent="0.25">
      <c r="A3072" t="s">
        <v>4083</v>
      </c>
    </row>
    <row r="3073" spans="1:1" x14ac:dyDescent="0.25">
      <c r="A3073" t="s">
        <v>4084</v>
      </c>
    </row>
    <row r="3074" spans="1:1" x14ac:dyDescent="0.25">
      <c r="A3074" t="s">
        <v>4085</v>
      </c>
    </row>
    <row r="3075" spans="1:1" x14ac:dyDescent="0.25">
      <c r="A3075" t="s">
        <v>4086</v>
      </c>
    </row>
    <row r="3076" spans="1:1" x14ac:dyDescent="0.25">
      <c r="A3076" t="s">
        <v>4087</v>
      </c>
    </row>
    <row r="3077" spans="1:1" x14ac:dyDescent="0.25">
      <c r="A3077" t="s">
        <v>4088</v>
      </c>
    </row>
    <row r="3078" spans="1:1" x14ac:dyDescent="0.25">
      <c r="A3078" t="s">
        <v>4089</v>
      </c>
    </row>
    <row r="3079" spans="1:1" x14ac:dyDescent="0.25">
      <c r="A3079" t="s">
        <v>4090</v>
      </c>
    </row>
    <row r="3080" spans="1:1" x14ac:dyDescent="0.25">
      <c r="A3080" t="s">
        <v>4091</v>
      </c>
    </row>
    <row r="3081" spans="1:1" x14ac:dyDescent="0.25">
      <c r="A3081" t="s">
        <v>4092</v>
      </c>
    </row>
  </sheetData>
  <sortState ref="C11:I547">
    <sortCondition ref="G11:G547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7"/>
  <sheetViews>
    <sheetView workbookViewId="0">
      <pane xSplit="4" ySplit="11" topLeftCell="E12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22" customWidth="1"/>
    <col min="3" max="3" width="15.140625" customWidth="1"/>
    <col min="4" max="4" width="31.42578125" customWidth="1"/>
  </cols>
  <sheetData>
    <row r="1" spans="1:9" ht="20.25" x14ac:dyDescent="0.3">
      <c r="A1" s="12" t="s">
        <v>4093</v>
      </c>
    </row>
    <row r="2" spans="1:9" x14ac:dyDescent="0.25">
      <c r="A2" s="6" t="s">
        <v>4094</v>
      </c>
      <c r="B2" s="8">
        <f>1815/7100</f>
        <v>0.2556338028169014</v>
      </c>
      <c r="C2" t="s">
        <v>2</v>
      </c>
      <c r="D2">
        <v>1371</v>
      </c>
    </row>
    <row r="3" spans="1:9" x14ac:dyDescent="0.25">
      <c r="A3" t="s">
        <v>161</v>
      </c>
      <c r="C3" t="s">
        <v>4</v>
      </c>
      <c r="D3">
        <v>77079</v>
      </c>
    </row>
    <row r="4" spans="1:9" x14ac:dyDescent="0.25">
      <c r="A4" t="s">
        <v>162</v>
      </c>
      <c r="C4" t="s">
        <v>6</v>
      </c>
      <c r="D4" t="s">
        <v>7</v>
      </c>
    </row>
    <row r="5" spans="1:9" x14ac:dyDescent="0.25">
      <c r="A5" t="s">
        <v>163</v>
      </c>
      <c r="C5" t="s">
        <v>9</v>
      </c>
      <c r="D5" t="s">
        <v>10</v>
      </c>
    </row>
    <row r="6" spans="1:9" x14ac:dyDescent="0.25">
      <c r="A6" t="s">
        <v>164</v>
      </c>
      <c r="C6" t="s">
        <v>12</v>
      </c>
      <c r="D6" t="s">
        <v>13</v>
      </c>
    </row>
    <row r="7" spans="1:9" x14ac:dyDescent="0.25">
      <c r="A7" t="s">
        <v>4095</v>
      </c>
      <c r="C7" t="s">
        <v>15</v>
      </c>
      <c r="D7" t="s">
        <v>16</v>
      </c>
    </row>
    <row r="8" spans="1:9" x14ac:dyDescent="0.25">
      <c r="A8" t="s">
        <v>4096</v>
      </c>
      <c r="C8" t="s">
        <v>18</v>
      </c>
      <c r="D8" t="s">
        <v>19</v>
      </c>
    </row>
    <row r="9" spans="1:9" x14ac:dyDescent="0.25">
      <c r="A9" t="s">
        <v>4097</v>
      </c>
      <c r="C9" t="s">
        <v>21</v>
      </c>
      <c r="D9">
        <v>3</v>
      </c>
    </row>
    <row r="10" spans="1:9" x14ac:dyDescent="0.25">
      <c r="A10" t="s">
        <v>165</v>
      </c>
    </row>
    <row r="11" spans="1:9" x14ac:dyDescent="0.25">
      <c r="A11" t="s">
        <v>4098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166</v>
      </c>
      <c r="C12" s="3" t="str">
        <f>HYPERLINK("http://amigo.geneontology.org/amigo/term/GO:0016984","GO:0016984")</f>
        <v>GO:0016984</v>
      </c>
      <c r="D12" t="s">
        <v>200</v>
      </c>
      <c r="E12">
        <v>28</v>
      </c>
      <c r="F12">
        <v>21</v>
      </c>
      <c r="G12" s="4">
        <v>1.61643207638193E-31</v>
      </c>
      <c r="H12" s="4">
        <v>7.2981908248644396E-28</v>
      </c>
      <c r="I12" t="s">
        <v>4099</v>
      </c>
    </row>
    <row r="13" spans="1:9" x14ac:dyDescent="0.25">
      <c r="A13" t="s">
        <v>167</v>
      </c>
      <c r="C13" s="3" t="str">
        <f>HYPERLINK("http://amigo.geneontology.org/amigo/term/GO:0016491","GO:0016491")</f>
        <v>GO:0016491</v>
      </c>
      <c r="D13" t="s">
        <v>315</v>
      </c>
      <c r="E13">
        <v>6975</v>
      </c>
      <c r="F13">
        <v>248</v>
      </c>
      <c r="G13" s="4">
        <v>4.1984272022549401E-26</v>
      </c>
      <c r="H13" s="4">
        <v>9.4758501954894103E-23</v>
      </c>
      <c r="I13" t="s">
        <v>4100</v>
      </c>
    </row>
    <row r="14" spans="1:9" x14ac:dyDescent="0.25">
      <c r="A14" t="s">
        <v>4101</v>
      </c>
      <c r="C14" s="3" t="str">
        <f>HYPERLINK("http://amigo.geneontology.org/amigo/term/GO:0005975","GO:0005975")</f>
        <v>GO:0005975</v>
      </c>
      <c r="D14" t="s">
        <v>171</v>
      </c>
      <c r="E14">
        <v>2990</v>
      </c>
      <c r="F14">
        <v>141</v>
      </c>
      <c r="G14" s="4">
        <v>1.8710582859177799E-25</v>
      </c>
      <c r="H14" s="4">
        <v>2.8159427203062702E-22</v>
      </c>
      <c r="I14" t="s">
        <v>4102</v>
      </c>
    </row>
    <row r="15" spans="1:9" x14ac:dyDescent="0.25">
      <c r="A15" t="s">
        <v>168</v>
      </c>
      <c r="C15" s="3" t="str">
        <f>HYPERLINK("http://amigo.geneontology.org/amigo/term/GO:0015977","GO:0015977")</f>
        <v>GO:0015977</v>
      </c>
      <c r="D15" t="s">
        <v>228</v>
      </c>
      <c r="E15">
        <v>55</v>
      </c>
      <c r="F15">
        <v>21</v>
      </c>
      <c r="G15" s="4">
        <v>7.2896379027110705E-23</v>
      </c>
      <c r="H15" s="4">
        <v>8.2227115542580904E-20</v>
      </c>
      <c r="I15" t="s">
        <v>4099</v>
      </c>
    </row>
    <row r="16" spans="1:9" x14ac:dyDescent="0.25">
      <c r="A16" t="s">
        <v>169</v>
      </c>
      <c r="C16" s="3" t="str">
        <f>HYPERLINK("http://amigo.geneontology.org/amigo/term/GO:0055114","GO:0055114")</f>
        <v>GO:0055114</v>
      </c>
      <c r="D16" t="s">
        <v>454</v>
      </c>
      <c r="E16">
        <v>6698</v>
      </c>
      <c r="F16">
        <v>229</v>
      </c>
      <c r="G16" s="4">
        <v>7.3413465335781301E-22</v>
      </c>
      <c r="H16" s="4">
        <v>6.6292359198210497E-19</v>
      </c>
      <c r="I16" t="s">
        <v>4103</v>
      </c>
    </row>
    <row r="17" spans="1:9" x14ac:dyDescent="0.25">
      <c r="A17" t="s">
        <v>170</v>
      </c>
      <c r="C17" s="3" t="str">
        <f>HYPERLINK("http://amigo.geneontology.org/amigo/term/GO:0006629","GO:0006629")</f>
        <v>GO:0006629</v>
      </c>
      <c r="D17" t="s">
        <v>182</v>
      </c>
      <c r="E17">
        <v>2608</v>
      </c>
      <c r="F17">
        <v>119</v>
      </c>
      <c r="G17" s="4">
        <v>1.9118241771064899E-20</v>
      </c>
      <c r="H17" s="4">
        <v>1.4376917811840801E-17</v>
      </c>
      <c r="I17" t="s">
        <v>4104</v>
      </c>
    </row>
    <row r="18" spans="1:9" x14ac:dyDescent="0.25">
      <c r="A18" t="s">
        <v>4105</v>
      </c>
      <c r="C18" s="3" t="str">
        <f>HYPERLINK("http://amigo.geneontology.org/amigo/term/GO:0016746","GO:0016746")</f>
        <v>GO:0016746</v>
      </c>
      <c r="D18" t="s">
        <v>742</v>
      </c>
      <c r="E18">
        <v>1506</v>
      </c>
      <c r="F18">
        <v>85</v>
      </c>
      <c r="G18" s="4">
        <v>2.46987970454057E-20</v>
      </c>
      <c r="H18" s="4">
        <v>1.59307240942867E-17</v>
      </c>
      <c r="I18" t="s">
        <v>4106</v>
      </c>
    </row>
    <row r="19" spans="1:9" x14ac:dyDescent="0.25">
      <c r="A19" t="s">
        <v>173</v>
      </c>
      <c r="C19" s="3" t="str">
        <f>HYPERLINK("http://amigo.geneontology.org/amigo/term/GO:0016798","GO:0016798")</f>
        <v>GO:0016798</v>
      </c>
      <c r="D19" t="s">
        <v>177</v>
      </c>
      <c r="E19">
        <v>1691</v>
      </c>
      <c r="F19">
        <v>91</v>
      </c>
      <c r="G19" s="4">
        <v>2.4839236331348301E-20</v>
      </c>
      <c r="H19" s="4">
        <v>1.4009329290880399E-17</v>
      </c>
      <c r="I19" t="s">
        <v>4107</v>
      </c>
    </row>
    <row r="20" spans="1:9" x14ac:dyDescent="0.25">
      <c r="A20" t="s">
        <v>176</v>
      </c>
      <c r="C20" s="3" t="str">
        <f>HYPERLINK("http://amigo.geneontology.org/amigo/term/GO:0004553","GO:0004553")</f>
        <v>GO:0004553</v>
      </c>
      <c r="D20" t="s">
        <v>174</v>
      </c>
      <c r="E20">
        <v>1509</v>
      </c>
      <c r="F20">
        <v>84</v>
      </c>
      <c r="G20" s="4">
        <v>9.6710662256327295E-20</v>
      </c>
      <c r="H20" s="4">
        <v>4.8452041790419898E-17</v>
      </c>
      <c r="I20" t="s">
        <v>4108</v>
      </c>
    </row>
    <row r="21" spans="1:9" x14ac:dyDescent="0.25">
      <c r="A21" t="s">
        <v>179</v>
      </c>
      <c r="C21" s="3" t="str">
        <f>HYPERLINK("http://amigo.geneontology.org/amigo/term/GO:0016747","GO:0016747")</f>
        <v>GO:0016747</v>
      </c>
      <c r="D21" t="s">
        <v>708</v>
      </c>
      <c r="E21">
        <v>1353</v>
      </c>
      <c r="F21">
        <v>77</v>
      </c>
      <c r="G21" s="4">
        <v>9.8559076247752509E-19</v>
      </c>
      <c r="H21" s="4">
        <v>4.4450143387736402E-16</v>
      </c>
      <c r="I21" t="s">
        <v>4109</v>
      </c>
    </row>
    <row r="22" spans="1:9" x14ac:dyDescent="0.25">
      <c r="A22" t="s">
        <v>181</v>
      </c>
      <c r="C22" s="3" t="str">
        <f>HYPERLINK("http://amigo.geneontology.org/amigo/term/GO:0006633","GO:0006633")</f>
        <v>GO:0006633</v>
      </c>
      <c r="D22" t="s">
        <v>287</v>
      </c>
      <c r="E22">
        <v>444</v>
      </c>
      <c r="F22">
        <v>42</v>
      </c>
      <c r="G22" s="4">
        <v>2.7414792575832499E-18</v>
      </c>
      <c r="H22" s="4">
        <v>1.1240064956091299E-15</v>
      </c>
      <c r="I22" t="s">
        <v>4110</v>
      </c>
    </row>
    <row r="23" spans="1:9" x14ac:dyDescent="0.25">
      <c r="A23" t="s">
        <v>4111</v>
      </c>
      <c r="C23" s="3" t="str">
        <f>HYPERLINK("http://amigo.geneontology.org/amigo/term/GO:0016831","GO:0016831")</f>
        <v>GO:0016831</v>
      </c>
      <c r="D23" t="s">
        <v>296</v>
      </c>
      <c r="E23">
        <v>237</v>
      </c>
      <c r="F23">
        <v>31</v>
      </c>
      <c r="G23" s="4">
        <v>7.9254726027040803E-18</v>
      </c>
      <c r="H23" s="4">
        <v>2.97997769861673E-15</v>
      </c>
      <c r="I23" t="s">
        <v>4112</v>
      </c>
    </row>
    <row r="24" spans="1:9" x14ac:dyDescent="0.25">
      <c r="A24" t="s">
        <v>4113</v>
      </c>
      <c r="C24" s="3" t="str">
        <f>HYPERLINK("http://amigo.geneontology.org/amigo/term/GO:0006631","GO:0006631")</f>
        <v>GO:0006631</v>
      </c>
      <c r="D24" t="s">
        <v>335</v>
      </c>
      <c r="E24">
        <v>648</v>
      </c>
      <c r="F24">
        <v>48</v>
      </c>
      <c r="G24" s="4">
        <v>2.0368584367360501E-16</v>
      </c>
      <c r="H24" s="4">
        <v>7.0678987754741E-14</v>
      </c>
      <c r="I24" t="s">
        <v>4114</v>
      </c>
    </row>
    <row r="25" spans="1:9" x14ac:dyDescent="0.25">
      <c r="A25" t="s">
        <v>184</v>
      </c>
      <c r="C25" s="3" t="str">
        <f>HYPERLINK("http://amigo.geneontology.org/amigo/term/GO:0016830","GO:0016830")</f>
        <v>GO:0016830</v>
      </c>
      <c r="D25" t="s">
        <v>411</v>
      </c>
      <c r="E25">
        <v>321</v>
      </c>
      <c r="F25">
        <v>33</v>
      </c>
      <c r="G25" s="4">
        <v>9.9748927908186697E-16</v>
      </c>
      <c r="H25" s="4">
        <v>3.2119154786436098E-13</v>
      </c>
      <c r="I25" t="s">
        <v>4115</v>
      </c>
    </row>
    <row r="26" spans="1:9" x14ac:dyDescent="0.25">
      <c r="A26" t="s">
        <v>4116</v>
      </c>
      <c r="C26" s="3" t="str">
        <f>HYPERLINK("http://amigo.geneontology.org/amigo/term/GO:0046906","GO:0046906")</f>
        <v>GO:0046906</v>
      </c>
      <c r="D26" t="s">
        <v>1085</v>
      </c>
      <c r="E26">
        <v>2625</v>
      </c>
      <c r="F26">
        <v>107</v>
      </c>
      <c r="G26" s="4">
        <v>3.6692282784019802E-15</v>
      </c>
      <c r="H26" s="4">
        <v>1.1044377117989901E-12</v>
      </c>
      <c r="I26" t="s">
        <v>4117</v>
      </c>
    </row>
    <row r="27" spans="1:9" x14ac:dyDescent="0.25">
      <c r="A27" t="s">
        <v>4118</v>
      </c>
      <c r="C27" s="3" t="str">
        <f>HYPERLINK("http://amigo.geneontology.org/amigo/term/GO:0020037","GO:0020037")</f>
        <v>GO:0020037</v>
      </c>
      <c r="D27" t="s">
        <v>1181</v>
      </c>
      <c r="E27">
        <v>2527</v>
      </c>
      <c r="F27">
        <v>103</v>
      </c>
      <c r="G27" s="4">
        <v>1.2395463397327801E-14</v>
      </c>
      <c r="H27" s="4">
        <v>3.4955206780464501E-12</v>
      </c>
      <c r="I27" t="s">
        <v>4119</v>
      </c>
    </row>
    <row r="28" spans="1:9" x14ac:dyDescent="0.25">
      <c r="A28" t="s">
        <v>187</v>
      </c>
      <c r="C28" s="3" t="str">
        <f>HYPERLINK("http://amigo.geneontology.org/amigo/term/GO:0004497","GO:0004497")</f>
        <v>GO:0004497</v>
      </c>
      <c r="D28" t="s">
        <v>783</v>
      </c>
      <c r="E28">
        <v>891</v>
      </c>
      <c r="F28">
        <v>53</v>
      </c>
      <c r="G28" s="4">
        <v>4.6740160198716701E-14</v>
      </c>
      <c r="H28" s="4">
        <v>1.2386142452659899E-11</v>
      </c>
      <c r="I28" t="s">
        <v>4120</v>
      </c>
    </row>
    <row r="29" spans="1:9" x14ac:dyDescent="0.25">
      <c r="A29" t="s">
        <v>190</v>
      </c>
      <c r="C29" s="3" t="str">
        <f>HYPERLINK("http://amigo.geneontology.org/amigo/term/GO:0009853","GO:0009853")</f>
        <v>GO:0009853</v>
      </c>
      <c r="D29" t="s">
        <v>384</v>
      </c>
      <c r="E29">
        <v>138</v>
      </c>
      <c r="F29">
        <v>21</v>
      </c>
      <c r="G29" s="4">
        <v>7.3050139773443403E-14</v>
      </c>
      <c r="H29" s="4">
        <v>1.8262534943360801E-11</v>
      </c>
      <c r="I29" t="s">
        <v>4099</v>
      </c>
    </row>
    <row r="30" spans="1:9" x14ac:dyDescent="0.25">
      <c r="A30" t="s">
        <v>193</v>
      </c>
      <c r="C30" s="3" t="str">
        <f>HYPERLINK("http://amigo.geneontology.org/amigo/term/GO:0016705","GO:0016705")</f>
        <v>GO:0016705</v>
      </c>
      <c r="D30" t="s">
        <v>4121</v>
      </c>
      <c r="E30">
        <v>2131</v>
      </c>
      <c r="F30">
        <v>89</v>
      </c>
      <c r="G30" s="4">
        <v>2.2480780163035299E-13</v>
      </c>
      <c r="H30" s="4">
        <v>5.3279448986393798E-11</v>
      </c>
      <c r="I30" t="s">
        <v>4122</v>
      </c>
    </row>
    <row r="31" spans="1:9" x14ac:dyDescent="0.25">
      <c r="A31" t="s">
        <v>196</v>
      </c>
      <c r="C31" s="3" t="str">
        <f>HYPERLINK("http://amigo.geneontology.org/amigo/term/GO:0016787","GO:0016787")</f>
        <v>GO:0016787</v>
      </c>
      <c r="D31" t="s">
        <v>98</v>
      </c>
      <c r="E31">
        <v>9814</v>
      </c>
      <c r="F31">
        <v>269</v>
      </c>
      <c r="G31" s="4">
        <v>2.6415655077929399E-13</v>
      </c>
      <c r="H31" s="4">
        <v>5.9435223925341094E-11</v>
      </c>
      <c r="I31" t="s">
        <v>4123</v>
      </c>
    </row>
    <row r="32" spans="1:9" x14ac:dyDescent="0.25">
      <c r="A32" t="s">
        <v>199</v>
      </c>
      <c r="C32" s="3" t="str">
        <f>HYPERLINK("http://amigo.geneontology.org/amigo/term/GO:0072330","GO:0072330")</f>
        <v>GO:0072330</v>
      </c>
      <c r="D32" t="s">
        <v>302</v>
      </c>
      <c r="E32">
        <v>897</v>
      </c>
      <c r="F32">
        <v>49</v>
      </c>
      <c r="G32" s="4">
        <v>8.8995055479314896E-12</v>
      </c>
      <c r="H32" s="4">
        <v>1.91339369280527E-9</v>
      </c>
      <c r="I32" t="s">
        <v>4124</v>
      </c>
    </row>
    <row r="33" spans="1:9" x14ac:dyDescent="0.25">
      <c r="A33" t="s">
        <v>202</v>
      </c>
      <c r="C33" s="3" t="str">
        <f>HYPERLINK("http://amigo.geneontology.org/amigo/term/GO:0048037","GO:0048037")</f>
        <v>GO:0048037</v>
      </c>
      <c r="D33" t="s">
        <v>4125</v>
      </c>
      <c r="E33">
        <v>4750</v>
      </c>
      <c r="F33">
        <v>150</v>
      </c>
      <c r="G33" s="4">
        <v>9.3013918104419694E-12</v>
      </c>
      <c r="H33" s="4">
        <v>1.9067853211406002E-9</v>
      </c>
      <c r="I33" t="s">
        <v>4126</v>
      </c>
    </row>
    <row r="34" spans="1:9" x14ac:dyDescent="0.25">
      <c r="A34" t="s">
        <v>4127</v>
      </c>
      <c r="C34" s="3" t="str">
        <f>HYPERLINK("http://amigo.geneontology.org/amigo/term/GO:0016717","GO:0016717")</f>
        <v>GO:0016717</v>
      </c>
      <c r="D34" t="s">
        <v>475</v>
      </c>
      <c r="E34">
        <v>64</v>
      </c>
      <c r="F34">
        <v>13</v>
      </c>
      <c r="G34" s="4">
        <v>9.5664906634129502E-11</v>
      </c>
      <c r="H34" s="4">
        <v>1.8750321700289299E-8</v>
      </c>
      <c r="I34" t="s">
        <v>4128</v>
      </c>
    </row>
    <row r="35" spans="1:9" x14ac:dyDescent="0.25">
      <c r="A35" t="s">
        <v>205</v>
      </c>
      <c r="C35" s="3" t="str">
        <f>HYPERLINK("http://amigo.geneontology.org/amigo/term/GO:0016788","GO:0016788")</f>
        <v>GO:0016788</v>
      </c>
      <c r="D35" t="s">
        <v>115</v>
      </c>
      <c r="E35">
        <v>2434</v>
      </c>
      <c r="F35">
        <v>90</v>
      </c>
      <c r="G35" s="4">
        <v>1.03728510904345E-10</v>
      </c>
      <c r="H35" s="4">
        <v>1.95009600500168E-8</v>
      </c>
      <c r="I35" t="s">
        <v>4129</v>
      </c>
    </row>
    <row r="36" spans="1:9" x14ac:dyDescent="0.25">
      <c r="A36" t="s">
        <v>208</v>
      </c>
      <c r="C36" s="3" t="str">
        <f>HYPERLINK("http://amigo.geneontology.org/amigo/term/GO:0005506","GO:0005506")</f>
        <v>GO:0005506</v>
      </c>
      <c r="D36" t="s">
        <v>1214</v>
      </c>
      <c r="E36">
        <v>1961</v>
      </c>
      <c r="F36">
        <v>77</v>
      </c>
      <c r="G36" s="4">
        <v>1.68814554145446E-10</v>
      </c>
      <c r="H36" s="4">
        <v>3.0386619746180301E-8</v>
      </c>
      <c r="I36" t="s">
        <v>4130</v>
      </c>
    </row>
    <row r="37" spans="1:9" x14ac:dyDescent="0.25">
      <c r="A37" t="s">
        <v>4131</v>
      </c>
      <c r="C37" s="3" t="str">
        <f>HYPERLINK("http://amigo.geneontology.org/amigo/term/GO:0045300","GO:0045300")</f>
        <v>GO:0045300</v>
      </c>
      <c r="D37" t="s">
        <v>549</v>
      </c>
      <c r="E37">
        <v>33</v>
      </c>
      <c r="F37">
        <v>10</v>
      </c>
      <c r="G37" s="4">
        <v>1.9587205127815599E-10</v>
      </c>
      <c r="H37" s="4">
        <v>3.3885864871121002E-8</v>
      </c>
      <c r="I37" t="s">
        <v>4132</v>
      </c>
    </row>
    <row r="38" spans="1:9" x14ac:dyDescent="0.25">
      <c r="A38" t="s">
        <v>211</v>
      </c>
      <c r="C38" s="3" t="str">
        <f>HYPERLINK("http://amigo.geneontology.org/amigo/term/GO:0019685","GO:0019685")</f>
        <v>GO:0019685</v>
      </c>
      <c r="D38" t="s">
        <v>850</v>
      </c>
      <c r="E38">
        <v>17</v>
      </c>
      <c r="F38">
        <v>8</v>
      </c>
      <c r="G38" s="4">
        <v>2.0700611492368499E-10</v>
      </c>
      <c r="H38" s="4">
        <v>3.33279845027134E-8</v>
      </c>
      <c r="I38" t="s">
        <v>4133</v>
      </c>
    </row>
    <row r="39" spans="1:9" x14ac:dyDescent="0.25">
      <c r="A39" t="s">
        <v>214</v>
      </c>
      <c r="C39" s="3" t="str">
        <f>HYPERLINK("http://amigo.geneontology.org/amigo/term/GO:0019253","GO:0019253")</f>
        <v>GO:0019253</v>
      </c>
      <c r="D39" t="s">
        <v>853</v>
      </c>
      <c r="E39">
        <v>17</v>
      </c>
      <c r="F39">
        <v>8</v>
      </c>
      <c r="G39" s="4">
        <v>2.0700611492368499E-10</v>
      </c>
      <c r="H39" s="4">
        <v>3.4570021192255503E-8</v>
      </c>
      <c r="I39" t="s">
        <v>4133</v>
      </c>
    </row>
    <row r="40" spans="1:9" x14ac:dyDescent="0.25">
      <c r="A40" t="s">
        <v>4134</v>
      </c>
      <c r="C40" s="3" t="str">
        <f>HYPERLINK("http://amigo.geneontology.org/amigo/term/GO:0006813","GO:0006813")</f>
        <v>GO:0006813</v>
      </c>
      <c r="D40" t="s">
        <v>212</v>
      </c>
      <c r="E40">
        <v>188</v>
      </c>
      <c r="F40">
        <v>20</v>
      </c>
      <c r="G40" s="4">
        <v>2.28694926454033E-10</v>
      </c>
      <c r="H40" s="4">
        <v>3.5447713600375198E-8</v>
      </c>
      <c r="I40" t="s">
        <v>4135</v>
      </c>
    </row>
    <row r="41" spans="1:9" x14ac:dyDescent="0.25">
      <c r="A41" t="s">
        <v>4136</v>
      </c>
      <c r="C41" s="3" t="str">
        <f>HYPERLINK("http://amigo.geneontology.org/amigo/term/GO:0043094","GO:0043094")</f>
        <v>GO:0043094</v>
      </c>
      <c r="D41" t="s">
        <v>581</v>
      </c>
      <c r="E41">
        <v>212</v>
      </c>
      <c r="F41">
        <v>21</v>
      </c>
      <c r="G41" s="4">
        <v>3.09745776946433E-10</v>
      </c>
      <c r="H41" s="4">
        <v>4.6461866541964998E-8</v>
      </c>
      <c r="I41" t="s">
        <v>4099</v>
      </c>
    </row>
    <row r="42" spans="1:9" x14ac:dyDescent="0.25">
      <c r="A42" t="s">
        <v>217</v>
      </c>
      <c r="C42" s="3" t="str">
        <f>HYPERLINK("http://amigo.geneontology.org/amigo/term/GO:0016829","GO:0016829")</f>
        <v>GO:0016829</v>
      </c>
      <c r="D42" t="s">
        <v>523</v>
      </c>
      <c r="E42">
        <v>984</v>
      </c>
      <c r="F42">
        <v>48</v>
      </c>
      <c r="G42" s="4">
        <v>6.3764892450507595E-10</v>
      </c>
      <c r="H42" s="4">
        <v>9.2459094053236105E-8</v>
      </c>
      <c r="I42" t="s">
        <v>4137</v>
      </c>
    </row>
    <row r="43" spans="1:9" x14ac:dyDescent="0.25">
      <c r="A43" t="s">
        <v>220</v>
      </c>
      <c r="C43" s="3" t="str">
        <f>HYPERLINK("http://amigo.geneontology.org/amigo/term/GO:0022857","GO:0022857")</f>
        <v>GO:0022857</v>
      </c>
      <c r="D43" t="s">
        <v>261</v>
      </c>
      <c r="E43">
        <v>2485</v>
      </c>
      <c r="F43">
        <v>88</v>
      </c>
      <c r="G43" s="4">
        <v>1.3593713079244999E-9</v>
      </c>
      <c r="H43" s="4">
        <v>1.91671354417354E-7</v>
      </c>
      <c r="I43" t="s">
        <v>4138</v>
      </c>
    </row>
    <row r="44" spans="1:9" x14ac:dyDescent="0.25">
      <c r="A44" t="s">
        <v>4139</v>
      </c>
      <c r="C44" s="3" t="str">
        <f>HYPERLINK("http://amigo.geneontology.org/amigo/term/GO:0008184","GO:0008184")</f>
        <v>GO:0008184</v>
      </c>
      <c r="D44" t="s">
        <v>664</v>
      </c>
      <c r="E44">
        <v>9</v>
      </c>
      <c r="F44">
        <v>6</v>
      </c>
      <c r="G44" s="4">
        <v>2.51356671357167E-9</v>
      </c>
      <c r="H44" s="4">
        <v>3.4184507304574701E-7</v>
      </c>
      <c r="I44" t="s">
        <v>4140</v>
      </c>
    </row>
    <row r="45" spans="1:9" x14ac:dyDescent="0.25">
      <c r="A45" t="s">
        <v>223</v>
      </c>
      <c r="C45" s="3" t="str">
        <f>HYPERLINK("http://amigo.geneontology.org/amigo/term/GO:0008610","GO:0008610")</f>
        <v>GO:0008610</v>
      </c>
      <c r="D45" t="s">
        <v>564</v>
      </c>
      <c r="E45">
        <v>1402</v>
      </c>
      <c r="F45">
        <v>58</v>
      </c>
      <c r="G45" s="4">
        <v>5.0088611706546701E-9</v>
      </c>
      <c r="H45" s="4">
        <v>6.6116967452641702E-7</v>
      </c>
      <c r="I45" t="s">
        <v>4141</v>
      </c>
    </row>
    <row r="46" spans="1:9" x14ac:dyDescent="0.25">
      <c r="A46" t="s">
        <v>4142</v>
      </c>
      <c r="C46" s="3" t="str">
        <f>HYPERLINK("http://amigo.geneontology.org/amigo/term/GO:0031224","GO:0031224")</f>
        <v>GO:0031224</v>
      </c>
      <c r="D46" t="s">
        <v>191</v>
      </c>
      <c r="E46">
        <v>7435</v>
      </c>
      <c r="F46">
        <v>198</v>
      </c>
      <c r="G46" s="4">
        <v>7.0018586102926803E-9</v>
      </c>
      <c r="H46" s="4">
        <v>9.0323976072775505E-7</v>
      </c>
      <c r="I46" t="s">
        <v>4143</v>
      </c>
    </row>
    <row r="47" spans="1:9" x14ac:dyDescent="0.25">
      <c r="A47" t="s">
        <v>225</v>
      </c>
      <c r="C47" s="3" t="str">
        <f>HYPERLINK("http://amigo.geneontology.org/amigo/term/GO:0044255","GO:0044255")</f>
        <v>GO:0044255</v>
      </c>
      <c r="D47" t="s">
        <v>258</v>
      </c>
      <c r="E47">
        <v>1757</v>
      </c>
      <c r="F47">
        <v>67</v>
      </c>
      <c r="G47" s="4">
        <v>8.1827141825605804E-9</v>
      </c>
      <c r="H47" s="4">
        <v>1.0228392728200699E-6</v>
      </c>
      <c r="I47" t="s">
        <v>4144</v>
      </c>
    </row>
    <row r="48" spans="1:9" x14ac:dyDescent="0.25">
      <c r="A48" t="s">
        <v>227</v>
      </c>
      <c r="C48" s="3" t="str">
        <f>HYPERLINK("http://amigo.geneontology.org/amigo/term/GO:0030599","GO:0030599")</f>
        <v>GO:0030599</v>
      </c>
      <c r="D48" t="s">
        <v>185</v>
      </c>
      <c r="E48">
        <v>167</v>
      </c>
      <c r="F48">
        <v>17</v>
      </c>
      <c r="G48" s="4">
        <v>9.8170146956040405E-9</v>
      </c>
      <c r="H48" s="4">
        <v>1.1976757928636899E-6</v>
      </c>
      <c r="I48" t="s">
        <v>4145</v>
      </c>
    </row>
    <row r="49" spans="1:9" x14ac:dyDescent="0.25">
      <c r="A49" t="s">
        <v>4146</v>
      </c>
      <c r="C49" s="3" t="str">
        <f>HYPERLINK("http://amigo.geneontology.org/amigo/term/GO:0016021","GO:0016021")</f>
        <v>GO:0016021</v>
      </c>
      <c r="D49" t="s">
        <v>203</v>
      </c>
      <c r="E49">
        <v>7362</v>
      </c>
      <c r="F49">
        <v>194</v>
      </c>
      <c r="G49" s="4">
        <v>2.2266175962715501E-8</v>
      </c>
      <c r="H49" s="4">
        <v>2.6274087636004301E-6</v>
      </c>
      <c r="I49" t="s">
        <v>4147</v>
      </c>
    </row>
    <row r="50" spans="1:9" x14ac:dyDescent="0.25">
      <c r="A50" t="s">
        <v>230</v>
      </c>
      <c r="C50" s="3" t="str">
        <f>HYPERLINK("http://amigo.geneontology.org/amigo/term/GO:0015318","GO:0015318")</f>
        <v>GO:0015318</v>
      </c>
      <c r="D50" t="s">
        <v>231</v>
      </c>
      <c r="E50">
        <v>1323</v>
      </c>
      <c r="F50">
        <v>54</v>
      </c>
      <c r="G50" s="4">
        <v>2.6211254153709101E-8</v>
      </c>
      <c r="H50" s="4">
        <v>3.0142942276765502E-6</v>
      </c>
      <c r="I50" t="s">
        <v>4148</v>
      </c>
    </row>
    <row r="51" spans="1:9" x14ac:dyDescent="0.25">
      <c r="A51" t="s">
        <v>233</v>
      </c>
      <c r="C51" s="3" t="str">
        <f>HYPERLINK("http://amigo.geneontology.org/amigo/term/GO:0071554","GO:0071554")</f>
        <v>GO:0071554</v>
      </c>
      <c r="D51" t="s">
        <v>206</v>
      </c>
      <c r="E51">
        <v>1000</v>
      </c>
      <c r="F51">
        <v>44</v>
      </c>
      <c r="G51" s="4">
        <v>6.4226646407140504E-8</v>
      </c>
      <c r="H51" s="4">
        <v>7.1933843975997396E-6</v>
      </c>
      <c r="I51" t="s">
        <v>4149</v>
      </c>
    </row>
    <row r="52" spans="1:9" x14ac:dyDescent="0.25">
      <c r="A52" t="s">
        <v>236</v>
      </c>
      <c r="C52" s="3" t="str">
        <f>HYPERLINK("http://amigo.geneontology.org/amigo/term/GO:0015298","GO:0015298")</f>
        <v>GO:0015298</v>
      </c>
      <c r="D52" t="s">
        <v>221</v>
      </c>
      <c r="E52">
        <v>107</v>
      </c>
      <c r="F52">
        <v>13</v>
      </c>
      <c r="G52" s="4">
        <v>6.5158457978453203E-8</v>
      </c>
      <c r="H52" s="4">
        <v>6.9719550036944898E-6</v>
      </c>
      <c r="I52" t="s">
        <v>4150</v>
      </c>
    </row>
    <row r="53" spans="1:9" x14ac:dyDescent="0.25">
      <c r="A53" t="s">
        <v>239</v>
      </c>
      <c r="C53" s="3" t="str">
        <f>HYPERLINK("http://amigo.geneontology.org/amigo/term/GO:0015299","GO:0015299")</f>
        <v>GO:0015299</v>
      </c>
      <c r="D53" t="s">
        <v>224</v>
      </c>
      <c r="E53">
        <v>107</v>
      </c>
      <c r="F53">
        <v>13</v>
      </c>
      <c r="G53" s="4">
        <v>6.5158457978453203E-8</v>
      </c>
      <c r="H53" s="4">
        <v>7.16743037762985E-6</v>
      </c>
      <c r="I53" t="s">
        <v>4150</v>
      </c>
    </row>
    <row r="54" spans="1:9" x14ac:dyDescent="0.25">
      <c r="A54" t="s">
        <v>242</v>
      </c>
      <c r="C54" s="3" t="str">
        <f>HYPERLINK("http://amigo.geneontology.org/amigo/term/GO:0042545","GO:0042545")</f>
        <v>GO:0042545</v>
      </c>
      <c r="D54" t="s">
        <v>188</v>
      </c>
      <c r="E54">
        <v>168</v>
      </c>
      <c r="F54">
        <v>16</v>
      </c>
      <c r="G54" s="4">
        <v>6.7767417113189004E-8</v>
      </c>
      <c r="H54" s="4">
        <v>7.1155787968848401E-6</v>
      </c>
      <c r="I54" t="s">
        <v>4151</v>
      </c>
    </row>
    <row r="55" spans="1:9" x14ac:dyDescent="0.25">
      <c r="A55" t="s">
        <v>4152</v>
      </c>
      <c r="C55" s="3" t="str">
        <f>HYPERLINK("http://amigo.geneontology.org/amigo/term/GO:0004601","GO:0004601")</f>
        <v>GO:0004601</v>
      </c>
      <c r="D55" t="s">
        <v>640</v>
      </c>
      <c r="E55">
        <v>798</v>
      </c>
      <c r="F55">
        <v>38</v>
      </c>
      <c r="G55" s="4">
        <v>6.9811111955723005E-8</v>
      </c>
      <c r="H55" s="4">
        <v>7.1207334194837402E-6</v>
      </c>
      <c r="I55" t="s">
        <v>4153</v>
      </c>
    </row>
    <row r="56" spans="1:9" x14ac:dyDescent="0.25">
      <c r="A56" t="s">
        <v>245</v>
      </c>
      <c r="C56" s="3" t="str">
        <f>HYPERLINK("http://amigo.geneontology.org/amigo/term/GO:0016684","GO:0016684")</f>
        <v>GO:0016684</v>
      </c>
      <c r="D56" t="s">
        <v>643</v>
      </c>
      <c r="E56">
        <v>799</v>
      </c>
      <c r="F56">
        <v>38</v>
      </c>
      <c r="G56" s="4">
        <v>7.2065056249666199E-8</v>
      </c>
      <c r="H56" s="4">
        <v>7.20650562496662E-6</v>
      </c>
      <c r="I56" t="s">
        <v>4153</v>
      </c>
    </row>
    <row r="57" spans="1:9" x14ac:dyDescent="0.25">
      <c r="A57" t="s">
        <v>248</v>
      </c>
      <c r="C57" s="3" t="str">
        <f>HYPERLINK("http://amigo.geneontology.org/amigo/term/GO:0032787","GO:0032787")</f>
        <v>GO:0032787</v>
      </c>
      <c r="D57" t="s">
        <v>532</v>
      </c>
      <c r="E57">
        <v>1450</v>
      </c>
      <c r="F57">
        <v>56</v>
      </c>
      <c r="G57" s="4">
        <v>9.0702819399690899E-8</v>
      </c>
      <c r="H57" s="4">
        <v>8.8888763011697099E-6</v>
      </c>
      <c r="I57" t="s">
        <v>4154</v>
      </c>
    </row>
    <row r="58" spans="1:9" x14ac:dyDescent="0.25">
      <c r="A58" t="s">
        <v>251</v>
      </c>
      <c r="C58" s="3" t="str">
        <f>HYPERLINK("http://amigo.geneontology.org/amigo/term/GO:0015077","GO:0015077")</f>
        <v>GO:0015077</v>
      </c>
      <c r="D58" t="s">
        <v>249</v>
      </c>
      <c r="E58">
        <v>614</v>
      </c>
      <c r="F58">
        <v>32</v>
      </c>
      <c r="G58" s="4">
        <v>1.01119013131245E-7</v>
      </c>
      <c r="H58" s="4">
        <v>9.7074252605995995E-6</v>
      </c>
      <c r="I58" t="s">
        <v>4155</v>
      </c>
    </row>
    <row r="59" spans="1:9" x14ac:dyDescent="0.25">
      <c r="A59" t="s">
        <v>254</v>
      </c>
      <c r="C59" s="3" t="str">
        <f>HYPERLINK("http://amigo.geneontology.org/amigo/term/GO:0055085","GO:0055085")</f>
        <v>GO:0055085</v>
      </c>
      <c r="D59" t="s">
        <v>240</v>
      </c>
      <c r="E59">
        <v>2653</v>
      </c>
      <c r="F59">
        <v>85</v>
      </c>
      <c r="G59" s="4">
        <v>2.04130062434435E-7</v>
      </c>
      <c r="H59" s="4">
        <v>1.9188225868836899E-5</v>
      </c>
      <c r="I59" t="s">
        <v>4156</v>
      </c>
    </row>
    <row r="60" spans="1:9" x14ac:dyDescent="0.25">
      <c r="A60" t="s">
        <v>257</v>
      </c>
      <c r="C60" s="3" t="str">
        <f>HYPERLINK("http://amigo.geneontology.org/amigo/term/GO:0015075","GO:0015075")</f>
        <v>GO:0015075</v>
      </c>
      <c r="D60" t="s">
        <v>246</v>
      </c>
      <c r="E60">
        <v>1384</v>
      </c>
      <c r="F60">
        <v>53</v>
      </c>
      <c r="G60" s="4">
        <v>2.5840874554571802E-7</v>
      </c>
      <c r="H60" s="4">
        <v>2.37736045902061E-5</v>
      </c>
      <c r="I60" t="s">
        <v>4157</v>
      </c>
    </row>
    <row r="61" spans="1:9" x14ac:dyDescent="0.25">
      <c r="A61" t="s">
        <v>260</v>
      </c>
      <c r="C61" s="3" t="str">
        <f>HYPERLINK("http://amigo.geneontology.org/amigo/term/GO:0022890","GO:0022890")</f>
        <v>GO:0022890</v>
      </c>
      <c r="D61" t="s">
        <v>252</v>
      </c>
      <c r="E61">
        <v>884</v>
      </c>
      <c r="F61">
        <v>39</v>
      </c>
      <c r="G61" s="4">
        <v>3.3004989106783601E-7</v>
      </c>
      <c r="H61" s="4">
        <v>2.9704490196105301E-5</v>
      </c>
      <c r="I61" t="s">
        <v>4158</v>
      </c>
    </row>
    <row r="62" spans="1:9" x14ac:dyDescent="0.25">
      <c r="A62" t="s">
        <v>263</v>
      </c>
      <c r="C62" s="3" t="str">
        <f>HYPERLINK("http://amigo.geneontology.org/amigo/term/GO:0030312","GO:0030312")</f>
        <v>GO:0030312</v>
      </c>
      <c r="D62" t="s">
        <v>209</v>
      </c>
      <c r="E62">
        <v>450</v>
      </c>
      <c r="F62">
        <v>25</v>
      </c>
      <c r="G62" s="4">
        <v>7.7438341840398499E-7</v>
      </c>
      <c r="H62" s="4">
        <v>6.8145740819550702E-5</v>
      </c>
      <c r="I62" t="s">
        <v>4159</v>
      </c>
    </row>
    <row r="63" spans="1:9" x14ac:dyDescent="0.25">
      <c r="A63" t="s">
        <v>266</v>
      </c>
      <c r="C63" s="3" t="str">
        <f>HYPERLINK("http://amigo.geneontology.org/amigo/term/GO:0015079","GO:0015079")</f>
        <v>GO:0015079</v>
      </c>
      <c r="D63" t="s">
        <v>264</v>
      </c>
      <c r="E63">
        <v>160</v>
      </c>
      <c r="F63">
        <v>14</v>
      </c>
      <c r="G63" s="4">
        <v>1.23213440404669E-6</v>
      </c>
      <c r="H63" s="4">
        <v>1.0596355874801499E-4</v>
      </c>
      <c r="I63" t="s">
        <v>4160</v>
      </c>
    </row>
    <row r="64" spans="1:9" x14ac:dyDescent="0.25">
      <c r="A64" t="s">
        <v>269</v>
      </c>
      <c r="C64" s="3" t="str">
        <f>HYPERLINK("http://amigo.geneontology.org/amigo/term/GO:0004645","GO:0004645")</f>
        <v>GO:0004645</v>
      </c>
      <c r="D64" t="s">
        <v>975</v>
      </c>
      <c r="E64">
        <v>21</v>
      </c>
      <c r="F64">
        <v>6</v>
      </c>
      <c r="G64" s="4">
        <v>1.3521269385541201E-6</v>
      </c>
      <c r="H64" s="4">
        <v>1.149307897771E-4</v>
      </c>
      <c r="I64" t="s">
        <v>4140</v>
      </c>
    </row>
    <row r="65" spans="1:9" x14ac:dyDescent="0.25">
      <c r="A65" t="s">
        <v>4161</v>
      </c>
      <c r="C65" s="3" t="str">
        <f>HYPERLINK("http://amigo.geneontology.org/amigo/term/GO:0010410","GO:0010410")</f>
        <v>GO:0010410</v>
      </c>
      <c r="D65" t="s">
        <v>624</v>
      </c>
      <c r="E65">
        <v>267</v>
      </c>
      <c r="F65">
        <v>18</v>
      </c>
      <c r="G65" s="4">
        <v>1.8449530887786399E-6</v>
      </c>
      <c r="H65" s="4">
        <v>1.53131106368627E-4</v>
      </c>
      <c r="I65" t="s">
        <v>4162</v>
      </c>
    </row>
    <row r="66" spans="1:9" x14ac:dyDescent="0.25">
      <c r="A66" t="s">
        <v>4163</v>
      </c>
      <c r="C66" s="3" t="str">
        <f>HYPERLINK("http://amigo.geneontology.org/amigo/term/GO:0005618","GO:0005618")</f>
        <v>GO:0005618</v>
      </c>
      <c r="D66" t="s">
        <v>218</v>
      </c>
      <c r="E66">
        <v>446</v>
      </c>
      <c r="F66">
        <v>24</v>
      </c>
      <c r="G66" s="4">
        <v>2.2169333755257901E-6</v>
      </c>
      <c r="H66" s="4">
        <v>1.81788536793114E-4</v>
      </c>
      <c r="I66" t="s">
        <v>4164</v>
      </c>
    </row>
    <row r="67" spans="1:9" x14ac:dyDescent="0.25">
      <c r="A67" t="s">
        <v>4165</v>
      </c>
      <c r="C67" s="3" t="str">
        <f>HYPERLINK("http://amigo.geneontology.org/amigo/term/GO:0044425","GO:0044425")</f>
        <v>GO:0044425</v>
      </c>
      <c r="D67" t="s">
        <v>215</v>
      </c>
      <c r="E67">
        <v>8465</v>
      </c>
      <c r="F67">
        <v>206</v>
      </c>
      <c r="G67" s="4">
        <v>2.3168251530666002E-6</v>
      </c>
      <c r="H67" s="4">
        <v>1.8534601224532801E-4</v>
      </c>
      <c r="I67" t="s">
        <v>4166</v>
      </c>
    </row>
    <row r="68" spans="1:9" x14ac:dyDescent="0.25">
      <c r="A68" t="s">
        <v>4167</v>
      </c>
      <c r="C68" s="3" t="str">
        <f>HYPERLINK("http://amigo.geneontology.org/amigo/term/GO:0045229","GO:0045229")</f>
        <v>GO:0045229</v>
      </c>
      <c r="D68" t="s">
        <v>197</v>
      </c>
      <c r="E68">
        <v>609</v>
      </c>
      <c r="F68">
        <v>29</v>
      </c>
      <c r="G68" s="4">
        <v>2.3784391365321299E-6</v>
      </c>
      <c r="H68" s="4">
        <v>1.8789669178603799E-4</v>
      </c>
      <c r="I68" t="s">
        <v>4168</v>
      </c>
    </row>
    <row r="69" spans="1:9" x14ac:dyDescent="0.25">
      <c r="A69" t="s">
        <v>4169</v>
      </c>
      <c r="C69" s="3" t="str">
        <f>HYPERLINK("http://amigo.geneontology.org/amigo/term/GO:0010383","GO:0010383")</f>
        <v>GO:0010383</v>
      </c>
      <c r="D69" t="s">
        <v>638</v>
      </c>
      <c r="E69">
        <v>272</v>
      </c>
      <c r="F69">
        <v>18</v>
      </c>
      <c r="G69" s="4">
        <v>2.39776025230572E-6</v>
      </c>
      <c r="H69" s="4">
        <v>1.8462753942754E-4</v>
      </c>
      <c r="I69" t="s">
        <v>4162</v>
      </c>
    </row>
    <row r="70" spans="1:9" x14ac:dyDescent="0.25">
      <c r="A70" t="s">
        <v>272</v>
      </c>
      <c r="C70" s="3" t="str">
        <f>HYPERLINK("http://amigo.geneontology.org/amigo/term/GO:0008324","GO:0008324")</f>
        <v>GO:0008324</v>
      </c>
      <c r="D70" t="s">
        <v>276</v>
      </c>
      <c r="E70">
        <v>981</v>
      </c>
      <c r="F70">
        <v>39</v>
      </c>
      <c r="G70" s="4">
        <v>4.0325789479184498E-6</v>
      </c>
      <c r="H70" s="4">
        <v>3.0647600004180198E-4</v>
      </c>
      <c r="I70" t="s">
        <v>4158</v>
      </c>
    </row>
    <row r="71" spans="1:9" x14ac:dyDescent="0.25">
      <c r="A71" t="s">
        <v>4170</v>
      </c>
      <c r="C71" s="3" t="str">
        <f>HYPERLINK("http://amigo.geneontology.org/amigo/term/GO:0046394","GO:0046394")</f>
        <v>GO:0046394</v>
      </c>
      <c r="D71" t="s">
        <v>682</v>
      </c>
      <c r="E71">
        <v>1534</v>
      </c>
      <c r="F71">
        <v>53</v>
      </c>
      <c r="G71" s="4">
        <v>5.2132645354044298E-6</v>
      </c>
      <c r="H71" s="4">
        <v>3.90994840155332E-4</v>
      </c>
      <c r="I71" t="s">
        <v>4171</v>
      </c>
    </row>
    <row r="72" spans="1:9" x14ac:dyDescent="0.25">
      <c r="A72" t="s">
        <v>275</v>
      </c>
      <c r="C72" s="3" t="str">
        <f>HYPERLINK("http://amigo.geneontology.org/amigo/term/GO:0016053","GO:0016053")</f>
        <v>GO:0016053</v>
      </c>
      <c r="D72" t="s">
        <v>685</v>
      </c>
      <c r="E72">
        <v>1536</v>
      </c>
      <c r="F72">
        <v>53</v>
      </c>
      <c r="G72" s="4">
        <v>5.4058719060770399E-6</v>
      </c>
      <c r="H72" s="4">
        <v>4.0003452104970101E-4</v>
      </c>
      <c r="I72" t="s">
        <v>4171</v>
      </c>
    </row>
    <row r="73" spans="1:9" x14ac:dyDescent="0.25">
      <c r="A73" t="s">
        <v>4172</v>
      </c>
      <c r="C73" s="3" t="str">
        <f>HYPERLINK("http://amigo.geneontology.org/amigo/term/GO:0000234","GO:0000234")</f>
        <v>GO:0000234</v>
      </c>
      <c r="D73" t="s">
        <v>499</v>
      </c>
      <c r="E73">
        <v>8</v>
      </c>
      <c r="F73">
        <v>4</v>
      </c>
      <c r="G73" s="4">
        <v>6.5891940029814101E-6</v>
      </c>
      <c r="H73" s="4">
        <v>4.6783277421168001E-4</v>
      </c>
      <c r="I73" t="s">
        <v>4173</v>
      </c>
    </row>
    <row r="74" spans="1:9" x14ac:dyDescent="0.25">
      <c r="A74" t="s">
        <v>278</v>
      </c>
      <c r="C74" s="3" t="str">
        <f>HYPERLINK("http://amigo.geneontology.org/amigo/term/GO:0006656","GO:0006656")</f>
        <v>GO:0006656</v>
      </c>
      <c r="D74" t="s">
        <v>502</v>
      </c>
      <c r="E74">
        <v>8</v>
      </c>
      <c r="F74">
        <v>4</v>
      </c>
      <c r="G74" s="4">
        <v>6.5891940029814101E-6</v>
      </c>
      <c r="H74" s="4">
        <v>4.7442196821466203E-4</v>
      </c>
      <c r="I74" t="s">
        <v>4173</v>
      </c>
    </row>
    <row r="75" spans="1:9" x14ac:dyDescent="0.25">
      <c r="A75" t="s">
        <v>281</v>
      </c>
      <c r="C75" s="3" t="str">
        <f>HYPERLINK("http://amigo.geneontology.org/amigo/term/GO:0071555","GO:0071555")</f>
        <v>GO:0071555</v>
      </c>
      <c r="D75" t="s">
        <v>194</v>
      </c>
      <c r="E75">
        <v>577</v>
      </c>
      <c r="F75">
        <v>27</v>
      </c>
      <c r="G75" s="4">
        <v>7.1533563318512504E-6</v>
      </c>
      <c r="H75" s="4">
        <v>5.0073494322958804E-4</v>
      </c>
      <c r="I75" t="s">
        <v>4174</v>
      </c>
    </row>
    <row r="76" spans="1:9" x14ac:dyDescent="0.25">
      <c r="A76" t="s">
        <v>4175</v>
      </c>
      <c r="C76" s="3" t="str">
        <f>HYPERLINK("http://amigo.geneontology.org/amigo/term/GO:0005976","GO:0005976")</f>
        <v>GO:0005976</v>
      </c>
      <c r="D76" t="s">
        <v>312</v>
      </c>
      <c r="E76">
        <v>876</v>
      </c>
      <c r="F76">
        <v>35</v>
      </c>
      <c r="G76" s="4">
        <v>1.1097297483803899E-5</v>
      </c>
      <c r="H76" s="4">
        <v>7.6571352638246995E-4</v>
      </c>
      <c r="I76" t="s">
        <v>4176</v>
      </c>
    </row>
    <row r="77" spans="1:9" x14ac:dyDescent="0.25">
      <c r="A77" t="s">
        <v>4177</v>
      </c>
      <c r="C77" s="3" t="str">
        <f>HYPERLINK("http://amigo.geneontology.org/amigo/term/GO:0005216","GO:0005216")</f>
        <v>GO:0005216</v>
      </c>
      <c r="D77" t="s">
        <v>424</v>
      </c>
      <c r="E77">
        <v>276</v>
      </c>
      <c r="F77">
        <v>17</v>
      </c>
      <c r="G77" s="4">
        <v>1.1611663098108101E-5</v>
      </c>
      <c r="H77" s="4">
        <v>7.89593090671354E-4</v>
      </c>
      <c r="I77" t="s">
        <v>4178</v>
      </c>
    </row>
    <row r="78" spans="1:9" x14ac:dyDescent="0.25">
      <c r="A78" t="s">
        <v>283</v>
      </c>
      <c r="C78" s="3" t="str">
        <f>HYPERLINK("http://amigo.geneontology.org/amigo/term/GO:0042744","GO:0042744")</f>
        <v>GO:0042744</v>
      </c>
      <c r="D78" t="s">
        <v>1152</v>
      </c>
      <c r="E78">
        <v>227</v>
      </c>
      <c r="F78">
        <v>15</v>
      </c>
      <c r="G78" s="4">
        <v>1.6448141985397902E-5</v>
      </c>
      <c r="H78">
        <v>1.1020255130216601E-3</v>
      </c>
      <c r="I78" t="s">
        <v>4179</v>
      </c>
    </row>
    <row r="79" spans="1:9" x14ac:dyDescent="0.25">
      <c r="A79" t="s">
        <v>4180</v>
      </c>
      <c r="C79" s="3" t="str">
        <f>HYPERLINK("http://amigo.geneontology.org/amigo/term/GO:0022838","GO:0022838")</f>
        <v>GO:0022838</v>
      </c>
      <c r="D79" t="s">
        <v>398</v>
      </c>
      <c r="E79">
        <v>284</v>
      </c>
      <c r="F79">
        <v>17</v>
      </c>
      <c r="G79" s="4">
        <v>1.6780970604067999E-5</v>
      </c>
      <c r="H79">
        <v>1.10754405986849E-3</v>
      </c>
      <c r="I79" t="s">
        <v>4178</v>
      </c>
    </row>
    <row r="80" spans="1:9" x14ac:dyDescent="0.25">
      <c r="A80" t="s">
        <v>286</v>
      </c>
      <c r="C80" s="3" t="str">
        <f>HYPERLINK("http://amigo.geneontology.org/amigo/term/GO:0042737","GO:0042737")</f>
        <v>GO:0042737</v>
      </c>
      <c r="D80" t="s">
        <v>1072</v>
      </c>
      <c r="E80">
        <v>473</v>
      </c>
      <c r="F80">
        <v>23</v>
      </c>
      <c r="G80" s="4">
        <v>1.8219165454491399E-5</v>
      </c>
      <c r="H80">
        <v>1.18424575454194E-3</v>
      </c>
      <c r="I80" t="s">
        <v>4181</v>
      </c>
    </row>
    <row r="81" spans="1:9" x14ac:dyDescent="0.25">
      <c r="A81" t="s">
        <v>289</v>
      </c>
      <c r="C81" s="3" t="str">
        <f>HYPERLINK("http://amigo.geneontology.org/amigo/term/GO:0000272","GO:0000272")</f>
        <v>GO:0000272</v>
      </c>
      <c r="D81" t="s">
        <v>290</v>
      </c>
      <c r="E81">
        <v>127</v>
      </c>
      <c r="F81">
        <v>11</v>
      </c>
      <c r="G81" s="4">
        <v>1.84062277908732E-5</v>
      </c>
      <c r="H81">
        <v>1.17799857861588E-3</v>
      </c>
      <c r="I81" t="s">
        <v>4182</v>
      </c>
    </row>
    <row r="82" spans="1:9" x14ac:dyDescent="0.25">
      <c r="A82" t="s">
        <v>4183</v>
      </c>
      <c r="C82" s="3" t="str">
        <f>HYPERLINK("http://amigo.geneontology.org/amigo/term/GO:0071804","GO:0071804")</f>
        <v>GO:0071804</v>
      </c>
      <c r="D82" t="s">
        <v>305</v>
      </c>
      <c r="E82">
        <v>128</v>
      </c>
      <c r="F82">
        <v>11</v>
      </c>
      <c r="G82" s="4">
        <v>1.9815493682899701E-5</v>
      </c>
      <c r="H82">
        <v>1.2285606083397801E-3</v>
      </c>
      <c r="I82" t="s">
        <v>4184</v>
      </c>
    </row>
    <row r="83" spans="1:9" x14ac:dyDescent="0.25">
      <c r="A83" t="s">
        <v>292</v>
      </c>
      <c r="C83" s="3" t="str">
        <f>HYPERLINK("http://amigo.geneontology.org/amigo/term/GO:0071805","GO:0071805")</f>
        <v>GO:0071805</v>
      </c>
      <c r="D83" t="s">
        <v>308</v>
      </c>
      <c r="E83">
        <v>128</v>
      </c>
      <c r="F83">
        <v>11</v>
      </c>
      <c r="G83" s="4">
        <v>1.9815493682899701E-5</v>
      </c>
      <c r="H83">
        <v>1.2483761020226801E-3</v>
      </c>
      <c r="I83" t="s">
        <v>4184</v>
      </c>
    </row>
    <row r="84" spans="1:9" x14ac:dyDescent="0.25">
      <c r="A84" t="s">
        <v>4185</v>
      </c>
      <c r="C84" s="3" t="str">
        <f>HYPERLINK("http://amigo.geneontology.org/amigo/term/GO:0042743","GO:0042743")</f>
        <v>GO:0042743</v>
      </c>
      <c r="D84" t="s">
        <v>1237</v>
      </c>
      <c r="E84">
        <v>259</v>
      </c>
      <c r="F84">
        <v>16</v>
      </c>
      <c r="G84" s="4">
        <v>2.00368860261846E-5</v>
      </c>
      <c r="H84">
        <v>1.2222500475972599E-3</v>
      </c>
      <c r="I84" t="s">
        <v>4186</v>
      </c>
    </row>
    <row r="85" spans="1:9" x14ac:dyDescent="0.25">
      <c r="A85" t="s">
        <v>295</v>
      </c>
      <c r="C85" s="3" t="str">
        <f>HYPERLINK("http://amigo.geneontology.org/amigo/term/GO:0017001","GO:0017001")</f>
        <v>GO:0017001</v>
      </c>
      <c r="D85" t="s">
        <v>1226</v>
      </c>
      <c r="E85">
        <v>234</v>
      </c>
      <c r="F85">
        <v>15</v>
      </c>
      <c r="G85" s="4">
        <v>2.3465310576110998E-5</v>
      </c>
      <c r="H85">
        <v>1.4313839451427701E-3</v>
      </c>
      <c r="I85" t="s">
        <v>4179</v>
      </c>
    </row>
    <row r="86" spans="1:9" x14ac:dyDescent="0.25">
      <c r="A86" t="s">
        <v>298</v>
      </c>
      <c r="C86" s="3" t="str">
        <f>HYPERLINK("http://amigo.geneontology.org/amigo/term/GO:0006979","GO:0006979")</f>
        <v>GO:0006979</v>
      </c>
      <c r="D86" t="s">
        <v>985</v>
      </c>
      <c r="E86">
        <v>985</v>
      </c>
      <c r="F86">
        <v>37</v>
      </c>
      <c r="G86" s="4">
        <v>2.3899500407838101E-5</v>
      </c>
      <c r="H86">
        <v>1.4339700244702801E-3</v>
      </c>
      <c r="I86" t="s">
        <v>4187</v>
      </c>
    </row>
    <row r="87" spans="1:9" x14ac:dyDescent="0.25">
      <c r="A87" t="s">
        <v>301</v>
      </c>
      <c r="C87" s="3" t="str">
        <f>HYPERLINK("http://amigo.geneontology.org/amigo/term/GO:0044283","GO:0044283")</f>
        <v>GO:0044283</v>
      </c>
      <c r="D87" t="s">
        <v>888</v>
      </c>
      <c r="E87">
        <v>1875</v>
      </c>
      <c r="F87">
        <v>59</v>
      </c>
      <c r="G87" s="4">
        <v>2.4644570074127701E-5</v>
      </c>
      <c r="H87">
        <v>1.45402963437353E-3</v>
      </c>
      <c r="I87" t="s">
        <v>4188</v>
      </c>
    </row>
    <row r="88" spans="1:9" x14ac:dyDescent="0.25">
      <c r="A88" t="s">
        <v>304</v>
      </c>
      <c r="C88" s="3" t="str">
        <f>HYPERLINK("http://amigo.geneontology.org/amigo/term/GO:0022803","GO:0022803")</f>
        <v>GO:0022803</v>
      </c>
      <c r="D88" t="s">
        <v>390</v>
      </c>
      <c r="E88">
        <v>293</v>
      </c>
      <c r="F88">
        <v>17</v>
      </c>
      <c r="G88" s="4">
        <v>2.4966803165683999E-5</v>
      </c>
      <c r="H88">
        <v>1.4231077804439901E-3</v>
      </c>
      <c r="I88" t="s">
        <v>4178</v>
      </c>
    </row>
    <row r="89" spans="1:9" x14ac:dyDescent="0.25">
      <c r="A89" t="s">
        <v>4189</v>
      </c>
      <c r="C89" s="3" t="str">
        <f>HYPERLINK("http://amigo.geneontology.org/amigo/term/GO:0015267","GO:0015267")</f>
        <v>GO:0015267</v>
      </c>
      <c r="D89" t="s">
        <v>393</v>
      </c>
      <c r="E89">
        <v>293</v>
      </c>
      <c r="F89">
        <v>17</v>
      </c>
      <c r="G89" s="4">
        <v>2.4966803165683999E-5</v>
      </c>
      <c r="H89">
        <v>1.4480745836096701E-3</v>
      </c>
      <c r="I89" t="s">
        <v>4178</v>
      </c>
    </row>
    <row r="90" spans="1:9" x14ac:dyDescent="0.25">
      <c r="A90" t="s">
        <v>4190</v>
      </c>
      <c r="C90" s="3" t="str">
        <f>HYPERLINK("http://amigo.geneontology.org/amigo/term/GO:0044036","GO:0044036")</f>
        <v>GO:0044036</v>
      </c>
      <c r="D90" t="s">
        <v>828</v>
      </c>
      <c r="E90">
        <v>388</v>
      </c>
      <c r="F90">
        <v>20</v>
      </c>
      <c r="G90" s="4">
        <v>2.7730147110834701E-5</v>
      </c>
      <c r="H90">
        <v>1.5806183853175799E-3</v>
      </c>
      <c r="I90" t="s">
        <v>4191</v>
      </c>
    </row>
    <row r="91" spans="1:9" x14ac:dyDescent="0.25">
      <c r="A91" t="s">
        <v>307</v>
      </c>
      <c r="C91" s="3" t="str">
        <f>HYPERLINK("http://amigo.geneontology.org/amigo/term/GO:0052689","GO:0052689")</f>
        <v>GO:0052689</v>
      </c>
      <c r="D91" t="s">
        <v>267</v>
      </c>
      <c r="E91">
        <v>389</v>
      </c>
      <c r="F91">
        <v>20</v>
      </c>
      <c r="G91" s="4">
        <v>2.8752153440905501E-5</v>
      </c>
      <c r="H91">
        <v>1.6101205926907099E-3</v>
      </c>
      <c r="I91" t="s">
        <v>4192</v>
      </c>
    </row>
    <row r="92" spans="1:9" x14ac:dyDescent="0.25">
      <c r="A92" t="s">
        <v>309</v>
      </c>
      <c r="C92" s="3" t="str">
        <f>HYPERLINK("http://amigo.geneontology.org/amigo/term/GO:0044262","GO:0044262")</f>
        <v>GO:0044262</v>
      </c>
      <c r="D92" t="s">
        <v>237</v>
      </c>
      <c r="E92">
        <v>1040</v>
      </c>
      <c r="F92">
        <v>38</v>
      </c>
      <c r="G92" s="4">
        <v>3.3734335099806003E-5</v>
      </c>
      <c r="H92">
        <v>1.8553884304893301E-3</v>
      </c>
      <c r="I92" t="s">
        <v>4193</v>
      </c>
    </row>
    <row r="93" spans="1:9" x14ac:dyDescent="0.25">
      <c r="A93" t="s">
        <v>311</v>
      </c>
      <c r="C93" s="3" t="str">
        <f>HYPERLINK("http://amigo.geneontology.org/amigo/term/GO:0006811","GO:0006811")</f>
        <v>GO:0006811</v>
      </c>
      <c r="D93" t="s">
        <v>299</v>
      </c>
      <c r="E93">
        <v>1855</v>
      </c>
      <c r="F93">
        <v>58</v>
      </c>
      <c r="G93" s="4">
        <v>3.4295811605403797E-5</v>
      </c>
      <c r="H93">
        <v>1.8862696382972101E-3</v>
      </c>
      <c r="I93" t="s">
        <v>4194</v>
      </c>
    </row>
    <row r="94" spans="1:9" x14ac:dyDescent="0.25">
      <c r="A94" t="s">
        <v>314</v>
      </c>
      <c r="C94" s="3" t="str">
        <f>HYPERLINK("http://amigo.geneontology.org/amigo/term/GO:0098662","GO:0098662")</f>
        <v>GO:0098662</v>
      </c>
      <c r="D94" t="s">
        <v>381</v>
      </c>
      <c r="E94">
        <v>564</v>
      </c>
      <c r="F94">
        <v>25</v>
      </c>
      <c r="G94" s="4">
        <v>3.7311997511197201E-5</v>
      </c>
      <c r="H94">
        <v>2.0148478656046402E-3</v>
      </c>
      <c r="I94" t="s">
        <v>4195</v>
      </c>
    </row>
    <row r="95" spans="1:9" x14ac:dyDescent="0.25">
      <c r="A95" t="s">
        <v>4196</v>
      </c>
      <c r="C95" s="3" t="str">
        <f>HYPERLINK("http://amigo.geneontology.org/amigo/term/GO:0046470","GO:0046470")</f>
        <v>GO:0046470</v>
      </c>
      <c r="D95" t="s">
        <v>284</v>
      </c>
      <c r="E95">
        <v>53</v>
      </c>
      <c r="F95">
        <v>7</v>
      </c>
      <c r="G95" s="4">
        <v>4.1885474657420298E-5</v>
      </c>
      <c r="H95">
        <v>2.2199301568432699E-3</v>
      </c>
      <c r="I95" t="s">
        <v>4197</v>
      </c>
    </row>
    <row r="96" spans="1:9" x14ac:dyDescent="0.25">
      <c r="A96" t="s">
        <v>317</v>
      </c>
      <c r="C96" s="3" t="str">
        <f>HYPERLINK("http://amigo.geneontology.org/amigo/term/GO:0090701","GO:0090701")</f>
        <v>GO:0090701</v>
      </c>
      <c r="D96" t="s">
        <v>754</v>
      </c>
      <c r="E96">
        <v>12</v>
      </c>
      <c r="F96">
        <v>4</v>
      </c>
      <c r="G96" s="4">
        <v>4.4014531411690798E-5</v>
      </c>
      <c r="H96">
        <v>2.2887556334079198E-3</v>
      </c>
      <c r="I96" t="s">
        <v>755</v>
      </c>
    </row>
    <row r="97" spans="1:9" x14ac:dyDescent="0.25">
      <c r="A97" t="s">
        <v>320</v>
      </c>
      <c r="C97" s="3" t="str">
        <f>HYPERLINK("http://amigo.geneontology.org/amigo/term/GO:0010093","GO:0010093")</f>
        <v>GO:0010093</v>
      </c>
      <c r="D97" t="s">
        <v>757</v>
      </c>
      <c r="E97">
        <v>12</v>
      </c>
      <c r="F97">
        <v>4</v>
      </c>
      <c r="G97" s="4">
        <v>4.4014531411690798E-5</v>
      </c>
      <c r="H97">
        <v>2.3327701648196099E-3</v>
      </c>
      <c r="I97" t="s">
        <v>755</v>
      </c>
    </row>
    <row r="98" spans="1:9" x14ac:dyDescent="0.25">
      <c r="A98" t="s">
        <v>322</v>
      </c>
      <c r="C98" s="3" t="str">
        <f>HYPERLINK("http://amigo.geneontology.org/amigo/term/GO:0004650","GO:0004650")</f>
        <v>GO:0004650</v>
      </c>
      <c r="D98" t="s">
        <v>567</v>
      </c>
      <c r="E98">
        <v>140</v>
      </c>
      <c r="F98">
        <v>11</v>
      </c>
      <c r="G98" s="4">
        <v>4.5525815532449002E-5</v>
      </c>
      <c r="H98">
        <v>2.3218165921549002E-3</v>
      </c>
      <c r="I98" t="s">
        <v>4198</v>
      </c>
    </row>
    <row r="99" spans="1:9" x14ac:dyDescent="0.25">
      <c r="A99" t="s">
        <v>4199</v>
      </c>
      <c r="C99" s="3" t="str">
        <f>HYPERLINK("http://amigo.geneontology.org/amigo/term/GO:0015672","GO:0015672")</f>
        <v>GO:0015672</v>
      </c>
      <c r="D99" t="s">
        <v>427</v>
      </c>
      <c r="E99">
        <v>537</v>
      </c>
      <c r="F99">
        <v>24</v>
      </c>
      <c r="G99" s="4">
        <v>4.6500141736572503E-5</v>
      </c>
      <c r="H99">
        <v>2.3715072285651999E-3</v>
      </c>
      <c r="I99" t="s">
        <v>4200</v>
      </c>
    </row>
    <row r="100" spans="1:9" x14ac:dyDescent="0.25">
      <c r="A100" t="s">
        <v>4201</v>
      </c>
      <c r="C100" s="3" t="str">
        <f>HYPERLINK("http://amigo.geneontology.org/amigo/term/GO:0097164","GO:0097164")</f>
        <v>GO:0097164</v>
      </c>
      <c r="D100" t="s">
        <v>356</v>
      </c>
      <c r="E100">
        <v>117</v>
      </c>
      <c r="F100">
        <v>10</v>
      </c>
      <c r="G100" s="4">
        <v>4.9057983679222897E-5</v>
      </c>
      <c r="H100">
        <v>2.4528991839611399E-3</v>
      </c>
      <c r="I100" t="s">
        <v>4202</v>
      </c>
    </row>
    <row r="101" spans="1:9" x14ac:dyDescent="0.25">
      <c r="A101" t="s">
        <v>325</v>
      </c>
      <c r="C101" s="3" t="str">
        <f>HYPERLINK("http://amigo.geneontology.org/amigo/term/GO:0004097","GO:0004097")</f>
        <v>GO:0004097</v>
      </c>
      <c r="D101" t="s">
        <v>1507</v>
      </c>
      <c r="E101">
        <v>24</v>
      </c>
      <c r="F101">
        <v>5</v>
      </c>
      <c r="G101" s="4">
        <v>5.6691110090104299E-5</v>
      </c>
      <c r="H101">
        <v>2.8345555045052101E-3</v>
      </c>
      <c r="I101" t="s">
        <v>4203</v>
      </c>
    </row>
    <row r="102" spans="1:9" x14ac:dyDescent="0.25">
      <c r="A102" t="s">
        <v>328</v>
      </c>
      <c r="C102" s="3" t="str">
        <f>HYPERLINK("http://amigo.geneontology.org/amigo/term/GO:0046873","GO:0046873")</f>
        <v>GO:0046873</v>
      </c>
      <c r="D102" t="s">
        <v>273</v>
      </c>
      <c r="E102">
        <v>411</v>
      </c>
      <c r="F102">
        <v>20</v>
      </c>
      <c r="G102" s="4">
        <v>6.1638219069736101E-5</v>
      </c>
      <c r="H102">
        <v>3.0202727344170702E-3</v>
      </c>
      <c r="I102" t="s">
        <v>4204</v>
      </c>
    </row>
    <row r="103" spans="1:9" x14ac:dyDescent="0.25">
      <c r="A103" t="s">
        <v>331</v>
      </c>
      <c r="C103" s="3" t="str">
        <f>HYPERLINK("http://amigo.geneontology.org/amigo/term/GO:0080019","GO:0080019")</f>
        <v>GO:0080019</v>
      </c>
      <c r="D103" t="s">
        <v>138</v>
      </c>
      <c r="E103">
        <v>40</v>
      </c>
      <c r="F103">
        <v>6</v>
      </c>
      <c r="G103" s="4">
        <v>7.1682229472341E-5</v>
      </c>
      <c r="H103">
        <v>3.5124292441447102E-3</v>
      </c>
      <c r="I103" t="s">
        <v>4205</v>
      </c>
    </row>
    <row r="104" spans="1:9" x14ac:dyDescent="0.25">
      <c r="A104" t="s">
        <v>334</v>
      </c>
      <c r="C104" s="3" t="str">
        <f>HYPERLINK("http://amigo.geneontology.org/amigo/term/GO:0098655","GO:0098655")</f>
        <v>GO:0098655</v>
      </c>
      <c r="D104" t="s">
        <v>419</v>
      </c>
      <c r="E104">
        <v>590</v>
      </c>
      <c r="F104">
        <v>25</v>
      </c>
      <c r="G104" s="4">
        <v>7.6390119883204999E-5</v>
      </c>
      <c r="H104">
        <v>3.66672575439384E-3</v>
      </c>
      <c r="I104" t="s">
        <v>4195</v>
      </c>
    </row>
    <row r="105" spans="1:9" x14ac:dyDescent="0.25">
      <c r="A105" t="s">
        <v>4206</v>
      </c>
      <c r="C105" s="3" t="str">
        <f>HYPERLINK("http://amigo.geneontology.org/amigo/term/GO:0008643","GO:0008643")</f>
        <v>GO:0008643</v>
      </c>
      <c r="D105" t="s">
        <v>80</v>
      </c>
      <c r="E105">
        <v>124</v>
      </c>
      <c r="F105">
        <v>10</v>
      </c>
      <c r="G105" s="4">
        <v>8.0279377530155597E-5</v>
      </c>
      <c r="H105">
        <v>3.85341012144747E-3</v>
      </c>
      <c r="I105" t="s">
        <v>4207</v>
      </c>
    </row>
    <row r="106" spans="1:9" x14ac:dyDescent="0.25">
      <c r="A106" t="s">
        <v>337</v>
      </c>
      <c r="C106" s="3" t="str">
        <f>HYPERLINK("http://amigo.geneontology.org/amigo/term/GO:0016682","GO:0016682")</f>
        <v>GO:0016682</v>
      </c>
      <c r="D106" t="s">
        <v>864</v>
      </c>
      <c r="E106">
        <v>126</v>
      </c>
      <c r="F106">
        <v>10</v>
      </c>
      <c r="G106" s="4">
        <v>9.1813125150871298E-5</v>
      </c>
      <c r="H106">
        <v>4.31521688209095E-3</v>
      </c>
      <c r="I106" t="s">
        <v>4208</v>
      </c>
    </row>
    <row r="107" spans="1:9" x14ac:dyDescent="0.25">
      <c r="A107" t="s">
        <v>340</v>
      </c>
      <c r="C107" s="3" t="str">
        <f>HYPERLINK("http://amigo.geneontology.org/amigo/term/GO:0098660","GO:0098660")</f>
        <v>GO:0098660</v>
      </c>
      <c r="D107" t="s">
        <v>350</v>
      </c>
      <c r="E107">
        <v>600</v>
      </c>
      <c r="F107">
        <v>25</v>
      </c>
      <c r="G107" s="4">
        <v>9.9269735186592595E-5</v>
      </c>
      <c r="H107">
        <v>4.6656775537698503E-3</v>
      </c>
      <c r="I107" t="s">
        <v>4195</v>
      </c>
    </row>
    <row r="108" spans="1:9" x14ac:dyDescent="0.25">
      <c r="A108" t="s">
        <v>4209</v>
      </c>
      <c r="C108" s="3" t="str">
        <f>HYPERLINK("http://amigo.geneontology.org/amigo/term/GO:0045330","GO:0045330")</f>
        <v>GO:0045330</v>
      </c>
      <c r="D108" t="s">
        <v>243</v>
      </c>
      <c r="E108">
        <v>61</v>
      </c>
      <c r="F108">
        <v>7</v>
      </c>
      <c r="G108" s="4">
        <v>1.0480061854137501E-4</v>
      </c>
      <c r="H108">
        <v>4.8208284529032497E-3</v>
      </c>
      <c r="I108" t="s">
        <v>4210</v>
      </c>
    </row>
    <row r="109" spans="1:9" x14ac:dyDescent="0.25">
      <c r="A109" t="s">
        <v>343</v>
      </c>
      <c r="C109" s="3" t="str">
        <f>HYPERLINK("http://amigo.geneontology.org/amigo/term/GO:0005451","GO:0005451")</f>
        <v>GO:0005451</v>
      </c>
      <c r="D109" t="s">
        <v>609</v>
      </c>
      <c r="E109">
        <v>29</v>
      </c>
      <c r="F109">
        <v>5</v>
      </c>
      <c r="G109" s="4">
        <v>1.47136664916482E-4</v>
      </c>
      <c r="H109">
        <v>6.7682865861581898E-3</v>
      </c>
      <c r="I109" t="s">
        <v>4211</v>
      </c>
    </row>
    <row r="110" spans="1:9" x14ac:dyDescent="0.25">
      <c r="A110" t="s">
        <v>346</v>
      </c>
      <c r="C110" s="3" t="str">
        <f>HYPERLINK("http://amigo.geneontology.org/amigo/term/GO:0072593","GO:0072593")</f>
        <v>GO:0072593</v>
      </c>
      <c r="D110" t="s">
        <v>4212</v>
      </c>
      <c r="E110">
        <v>311</v>
      </c>
      <c r="F110">
        <v>16</v>
      </c>
      <c r="G110" s="4">
        <v>1.7285992051675099E-4</v>
      </c>
      <c r="H110">
        <v>7.7786964232538199E-3</v>
      </c>
      <c r="I110" t="s">
        <v>4186</v>
      </c>
    </row>
    <row r="111" spans="1:9" x14ac:dyDescent="0.25">
      <c r="A111" t="s">
        <v>4213</v>
      </c>
      <c r="C111" s="3" t="str">
        <f>HYPERLINK("http://amigo.geneontology.org/amigo/term/GO:0004252","GO:0004252")</f>
        <v>GO:0004252</v>
      </c>
      <c r="D111" t="s">
        <v>858</v>
      </c>
      <c r="E111">
        <v>446</v>
      </c>
      <c r="F111">
        <v>20</v>
      </c>
      <c r="G111" s="4">
        <v>1.8382385153287999E-4</v>
      </c>
      <c r="H111">
        <v>8.2720733189796097E-3</v>
      </c>
      <c r="I111" t="s">
        <v>4214</v>
      </c>
    </row>
    <row r="112" spans="1:9" x14ac:dyDescent="0.25">
      <c r="A112" t="s">
        <v>349</v>
      </c>
      <c r="C112" s="3" t="str">
        <f>HYPERLINK("http://amigo.geneontology.org/amigo/term/GO:0034220","GO:0034220")</f>
        <v>GO:0034220</v>
      </c>
      <c r="D112" t="s">
        <v>362</v>
      </c>
      <c r="E112">
        <v>853</v>
      </c>
      <c r="F112">
        <v>31</v>
      </c>
      <c r="G112" s="4">
        <v>1.8767291078476301E-4</v>
      </c>
      <c r="H112">
        <v>8.25760807452958E-3</v>
      </c>
      <c r="I112" t="s">
        <v>4215</v>
      </c>
    </row>
    <row r="113" spans="1:9" x14ac:dyDescent="0.25">
      <c r="A113" t="s">
        <v>352</v>
      </c>
      <c r="C113" s="3" t="str">
        <f>HYPERLINK("http://amigo.geneontology.org/amigo/term/GO:0030001","GO:0030001")</f>
        <v>GO:0030001</v>
      </c>
      <c r="D113" t="s">
        <v>326</v>
      </c>
      <c r="E113">
        <v>860</v>
      </c>
      <c r="F113">
        <v>31</v>
      </c>
      <c r="G113" s="4">
        <v>2.1598338213812599E-4</v>
      </c>
      <c r="H113">
        <v>9.5032688140775697E-3</v>
      </c>
      <c r="I113" t="s">
        <v>4216</v>
      </c>
    </row>
    <row r="114" spans="1:9" x14ac:dyDescent="0.25">
      <c r="A114" t="s">
        <v>355</v>
      </c>
      <c r="C114" s="3" t="str">
        <f>HYPERLINK("http://amigo.geneontology.org/amigo/term/GO:0045490","GO:0045490")</f>
        <v>GO:0045490</v>
      </c>
      <c r="D114" t="s">
        <v>544</v>
      </c>
      <c r="E114">
        <v>32</v>
      </c>
      <c r="F114">
        <v>5</v>
      </c>
      <c r="G114" s="4">
        <v>2.38727224015156E-4</v>
      </c>
      <c r="H114">
        <v>1.00265434086365E-2</v>
      </c>
      <c r="I114" t="s">
        <v>4217</v>
      </c>
    </row>
    <row r="115" spans="1:9" x14ac:dyDescent="0.25">
      <c r="A115" t="s">
        <v>4218</v>
      </c>
      <c r="C115" s="3" t="str">
        <f>HYPERLINK("http://amigo.geneontology.org/amigo/term/GO:0004564","GO:0004564")</f>
        <v>GO:0004564</v>
      </c>
      <c r="D115" t="s">
        <v>404</v>
      </c>
      <c r="E115">
        <v>32</v>
      </c>
      <c r="F115">
        <v>5</v>
      </c>
      <c r="G115" s="4">
        <v>2.38727224015156E-4</v>
      </c>
      <c r="H115">
        <v>1.02652706326517E-2</v>
      </c>
      <c r="I115" t="s">
        <v>4219</v>
      </c>
    </row>
    <row r="116" spans="1:9" x14ac:dyDescent="0.25">
      <c r="A116" t="s">
        <v>4220</v>
      </c>
      <c r="C116" s="3" t="str">
        <f>HYPERLINK("http://amigo.geneontology.org/amigo/term/GO:0090599","GO:0090599")</f>
        <v>GO:0090599</v>
      </c>
      <c r="D116" t="s">
        <v>407</v>
      </c>
      <c r="E116">
        <v>32</v>
      </c>
      <c r="F116">
        <v>5</v>
      </c>
      <c r="G116" s="4">
        <v>2.38727224015156E-4</v>
      </c>
      <c r="H116">
        <v>1.02652706326517E-2</v>
      </c>
      <c r="I116" t="s">
        <v>4219</v>
      </c>
    </row>
    <row r="117" spans="1:9" x14ac:dyDescent="0.25">
      <c r="A117" t="s">
        <v>358</v>
      </c>
      <c r="C117" s="3" t="str">
        <f>HYPERLINK("http://amigo.geneontology.org/amigo/term/GO:0004575","GO:0004575")</f>
        <v>GO:0004575</v>
      </c>
      <c r="D117" t="s">
        <v>409</v>
      </c>
      <c r="E117">
        <v>32</v>
      </c>
      <c r="F117">
        <v>5</v>
      </c>
      <c r="G117" s="4">
        <v>2.38727224015156E-4</v>
      </c>
      <c r="H117">
        <v>1.02652706326517E-2</v>
      </c>
      <c r="I117" t="s">
        <v>4219</v>
      </c>
    </row>
    <row r="118" spans="1:9" x14ac:dyDescent="0.25">
      <c r="A118" t="s">
        <v>361</v>
      </c>
      <c r="C118" s="3" t="str">
        <f>HYPERLINK("http://amigo.geneontology.org/amigo/term/GO:0006812","GO:0006812")</f>
        <v>GO:0006812</v>
      </c>
      <c r="D118" t="s">
        <v>341</v>
      </c>
      <c r="E118">
        <v>1323</v>
      </c>
      <c r="F118">
        <v>42</v>
      </c>
      <c r="G118" s="4">
        <v>2.8871074200549499E-4</v>
      </c>
      <c r="H118">
        <v>1.2125851164230801E-2</v>
      </c>
      <c r="I118" t="s">
        <v>4221</v>
      </c>
    </row>
    <row r="119" spans="1:9" x14ac:dyDescent="0.25">
      <c r="A119" t="s">
        <v>364</v>
      </c>
      <c r="C119" s="3" t="str">
        <f>HYPERLINK("http://amigo.geneontology.org/amigo/term/GO:0016999","GO:0016999")</f>
        <v>GO:0016999</v>
      </c>
      <c r="D119" t="s">
        <v>764</v>
      </c>
      <c r="E119">
        <v>427</v>
      </c>
      <c r="F119">
        <v>19</v>
      </c>
      <c r="G119" s="4">
        <v>2.8965413748837201E-4</v>
      </c>
      <c r="H119">
        <v>1.1875819637023201E-2</v>
      </c>
      <c r="I119" t="s">
        <v>4222</v>
      </c>
    </row>
    <row r="120" spans="1:9" x14ac:dyDescent="0.25">
      <c r="A120" t="s">
        <v>367</v>
      </c>
      <c r="C120" s="3" t="str">
        <f>HYPERLINK("http://amigo.geneontology.org/amigo/term/GO:0010411","GO:0010411")</f>
        <v>GO:0010411</v>
      </c>
      <c r="D120" t="s">
        <v>416</v>
      </c>
      <c r="E120">
        <v>147</v>
      </c>
      <c r="F120">
        <v>10</v>
      </c>
      <c r="G120" s="4">
        <v>3.2416080949688401E-4</v>
      </c>
      <c r="H120">
        <v>1.32905931893722E-2</v>
      </c>
      <c r="I120" t="s">
        <v>4223</v>
      </c>
    </row>
    <row r="121" spans="1:9" x14ac:dyDescent="0.25">
      <c r="A121" t="s">
        <v>369</v>
      </c>
      <c r="C121" s="3" t="str">
        <f>HYPERLINK("http://amigo.geneontology.org/amigo/term/GO:0016679","GO:0016679")</f>
        <v>GO:0016679</v>
      </c>
      <c r="D121" t="s">
        <v>1062</v>
      </c>
      <c r="E121">
        <v>147</v>
      </c>
      <c r="F121">
        <v>10</v>
      </c>
      <c r="G121" s="4">
        <v>3.2416080949688401E-4</v>
      </c>
      <c r="H121">
        <v>1.32905931893722E-2</v>
      </c>
      <c r="I121" t="s">
        <v>4208</v>
      </c>
    </row>
    <row r="122" spans="1:9" x14ac:dyDescent="0.25">
      <c r="A122" t="s">
        <v>4224</v>
      </c>
      <c r="C122" s="3" t="str">
        <f>HYPERLINK("http://amigo.geneontology.org/amigo/term/GO:0004148","GO:0004148")</f>
        <v>GO:0004148</v>
      </c>
      <c r="D122" t="s">
        <v>4225</v>
      </c>
      <c r="E122">
        <v>9</v>
      </c>
      <c r="F122">
        <v>3</v>
      </c>
      <c r="G122" s="4">
        <v>4.35319580386098E-4</v>
      </c>
      <c r="H122">
        <v>1.74127832154439E-2</v>
      </c>
      <c r="I122" t="s">
        <v>4226</v>
      </c>
    </row>
    <row r="123" spans="1:9" x14ac:dyDescent="0.25">
      <c r="A123" t="s">
        <v>372</v>
      </c>
      <c r="C123" s="3" t="str">
        <f>HYPERLINK("http://amigo.geneontology.org/amigo/term/GO:0016758","GO:0016758")</f>
        <v>GO:0016758</v>
      </c>
      <c r="D123" t="s">
        <v>721</v>
      </c>
      <c r="E123">
        <v>1783</v>
      </c>
      <c r="F123">
        <v>52</v>
      </c>
      <c r="G123" s="4">
        <v>4.4200870884995798E-4</v>
      </c>
      <c r="H123">
        <v>1.7680348353998301E-2</v>
      </c>
      <c r="I123" t="s">
        <v>4227</v>
      </c>
    </row>
    <row r="124" spans="1:9" x14ac:dyDescent="0.25">
      <c r="A124" t="s">
        <v>4228</v>
      </c>
      <c r="C124" s="3" t="str">
        <f>HYPERLINK("http://amigo.geneontology.org/amigo/term/GO:0051187","GO:0051187")</f>
        <v>GO:0051187</v>
      </c>
      <c r="D124" t="s">
        <v>4229</v>
      </c>
      <c r="E124">
        <v>340</v>
      </c>
      <c r="F124">
        <v>16</v>
      </c>
      <c r="G124" s="4">
        <v>4.6356776864612197E-4</v>
      </c>
      <c r="H124">
        <v>1.80791429771987E-2</v>
      </c>
      <c r="I124" t="s">
        <v>4230</v>
      </c>
    </row>
    <row r="125" spans="1:9" x14ac:dyDescent="0.25">
      <c r="A125" t="s">
        <v>375</v>
      </c>
      <c r="C125" s="3" t="str">
        <f>HYPERLINK("http://amigo.geneontology.org/amigo/term/GO:0044264","GO:0044264")</f>
        <v>GO:0044264</v>
      </c>
      <c r="D125" t="s">
        <v>469</v>
      </c>
      <c r="E125">
        <v>745</v>
      </c>
      <c r="F125">
        <v>27</v>
      </c>
      <c r="G125" s="4">
        <v>4.9133286090773999E-4</v>
      </c>
      <c r="H125">
        <v>1.9161981575401801E-2</v>
      </c>
      <c r="I125" t="s">
        <v>4231</v>
      </c>
    </row>
    <row r="126" spans="1:9" x14ac:dyDescent="0.25">
      <c r="A126" t="s">
        <v>377</v>
      </c>
      <c r="C126" s="3" t="str">
        <f>HYPERLINK("http://amigo.geneontology.org/amigo/term/GO:0005094","GO:0005094")</f>
        <v>GO:0005094</v>
      </c>
      <c r="D126" t="s">
        <v>943</v>
      </c>
      <c r="E126">
        <v>10</v>
      </c>
      <c r="F126">
        <v>3</v>
      </c>
      <c r="G126" s="4">
        <v>6.1365136631692601E-4</v>
      </c>
      <c r="H126">
        <v>2.39324032863601E-2</v>
      </c>
      <c r="I126" t="s">
        <v>944</v>
      </c>
    </row>
    <row r="127" spans="1:9" x14ac:dyDescent="0.25">
      <c r="A127" t="s">
        <v>380</v>
      </c>
      <c r="C127" s="3" t="str">
        <f>HYPERLINK("http://amigo.geneontology.org/amigo/term/GO:0015926","GO:0015926")</f>
        <v>GO:0015926</v>
      </c>
      <c r="D127" t="s">
        <v>401</v>
      </c>
      <c r="E127">
        <v>59</v>
      </c>
      <c r="F127">
        <v>6</v>
      </c>
      <c r="G127" s="4">
        <v>6.3185117504722802E-4</v>
      </c>
      <c r="H127">
        <v>2.40103446517946E-2</v>
      </c>
      <c r="I127" t="s">
        <v>4232</v>
      </c>
    </row>
    <row r="128" spans="1:9" x14ac:dyDescent="0.25">
      <c r="A128" t="s">
        <v>383</v>
      </c>
      <c r="C128" s="3" t="str">
        <f>HYPERLINK("http://amigo.geneontology.org/amigo/term/GO:0015297","GO:0015297")</f>
        <v>GO:0015297</v>
      </c>
      <c r="D128" t="s">
        <v>387</v>
      </c>
      <c r="E128">
        <v>362</v>
      </c>
      <c r="F128">
        <v>16</v>
      </c>
      <c r="G128" s="4">
        <v>9.0284939027892696E-4</v>
      </c>
      <c r="H128">
        <v>3.4308276830599199E-2</v>
      </c>
      <c r="I128" t="s">
        <v>4233</v>
      </c>
    </row>
    <row r="129" spans="1:9" x14ac:dyDescent="0.25">
      <c r="A129" t="s">
        <v>386</v>
      </c>
      <c r="C129" s="3" t="str">
        <f>HYPERLINK("http://amigo.geneontology.org/amigo/term/GO:0015245","GO:0015245")</f>
        <v>GO:0015245</v>
      </c>
      <c r="D129" t="s">
        <v>894</v>
      </c>
      <c r="E129">
        <v>3</v>
      </c>
      <c r="F129">
        <v>2</v>
      </c>
      <c r="G129" s="4">
        <v>9.3721581884588599E-4</v>
      </c>
      <c r="H129">
        <v>3.4676985297297798E-2</v>
      </c>
      <c r="I129" t="s">
        <v>895</v>
      </c>
    </row>
    <row r="130" spans="1:9" x14ac:dyDescent="0.25">
      <c r="A130" t="s">
        <v>389</v>
      </c>
      <c r="C130" s="3" t="str">
        <f>HYPERLINK("http://amigo.geneontology.org/amigo/term/GO:0080051","GO:0080051")</f>
        <v>GO:0080051</v>
      </c>
      <c r="D130" t="s">
        <v>897</v>
      </c>
      <c r="E130">
        <v>3</v>
      </c>
      <c r="F130">
        <v>2</v>
      </c>
      <c r="G130" s="4">
        <v>9.3721581884588599E-4</v>
      </c>
      <c r="H130">
        <v>3.4676985297297798E-2</v>
      </c>
      <c r="I130" t="s">
        <v>895</v>
      </c>
    </row>
    <row r="131" spans="1:9" x14ac:dyDescent="0.25">
      <c r="A131" t="s">
        <v>392</v>
      </c>
      <c r="C131" s="3" t="str">
        <f>HYPERLINK("http://amigo.geneontology.org/amigo/term/GO:0010599","GO:0010599")</f>
        <v>GO:0010599</v>
      </c>
      <c r="D131" t="s">
        <v>899</v>
      </c>
      <c r="E131">
        <v>3</v>
      </c>
      <c r="F131">
        <v>2</v>
      </c>
      <c r="G131" s="4">
        <v>9.3721581884588599E-4</v>
      </c>
      <c r="H131">
        <v>3.4676985297297798E-2</v>
      </c>
      <c r="I131" t="s">
        <v>900</v>
      </c>
    </row>
    <row r="132" spans="1:9" x14ac:dyDescent="0.25">
      <c r="A132" t="s">
        <v>394</v>
      </c>
      <c r="C132" s="3" t="str">
        <f>HYPERLINK("http://amigo.geneontology.org/amigo/term/GO:0004512","GO:0004512")</f>
        <v>GO:0004512</v>
      </c>
      <c r="D132" t="s">
        <v>4234</v>
      </c>
      <c r="E132">
        <v>3</v>
      </c>
      <c r="F132">
        <v>2</v>
      </c>
      <c r="G132" s="4">
        <v>9.3721581884588599E-4</v>
      </c>
      <c r="H132">
        <v>3.56142011161436E-2</v>
      </c>
      <c r="I132" t="s">
        <v>4235</v>
      </c>
    </row>
    <row r="133" spans="1:9" x14ac:dyDescent="0.25">
      <c r="A133" t="s">
        <v>4236</v>
      </c>
      <c r="C133" s="3" t="str">
        <f>HYPERLINK("http://amigo.geneontology.org/amigo/term/GO:0042546","GO:0042546")</f>
        <v>GO:0042546</v>
      </c>
      <c r="D133" t="s">
        <v>648</v>
      </c>
      <c r="E133">
        <v>399</v>
      </c>
      <c r="F133">
        <v>17</v>
      </c>
      <c r="G133" s="4">
        <v>9.4864383026135803E-4</v>
      </c>
      <c r="H133">
        <v>3.5099821719670202E-2</v>
      </c>
      <c r="I133" t="s">
        <v>4237</v>
      </c>
    </row>
    <row r="134" spans="1:9" x14ac:dyDescent="0.25">
      <c r="A134" t="s">
        <v>4238</v>
      </c>
      <c r="C134" s="3" t="str">
        <f>HYPERLINK("http://amigo.geneontology.org/amigo/term/GO:0004857","GO:0004857")</f>
        <v>GO:0004857</v>
      </c>
      <c r="D134" t="s">
        <v>347</v>
      </c>
      <c r="E134">
        <v>860</v>
      </c>
      <c r="F134">
        <v>29</v>
      </c>
      <c r="G134" s="4">
        <v>9.5969704108975998E-4</v>
      </c>
      <c r="H134">
        <v>3.4549093479231303E-2</v>
      </c>
      <c r="I134" t="s">
        <v>4239</v>
      </c>
    </row>
    <row r="135" spans="1:9" x14ac:dyDescent="0.25">
      <c r="A135" t="s">
        <v>4240</v>
      </c>
      <c r="C135" s="3" t="str">
        <f>HYPERLINK("http://amigo.geneontology.org/amigo/term/GO:0015491","GO:0015491")</f>
        <v>GO:0015491</v>
      </c>
      <c r="D135" t="s">
        <v>478</v>
      </c>
      <c r="E135">
        <v>43</v>
      </c>
      <c r="F135">
        <v>5</v>
      </c>
      <c r="G135" s="4">
        <v>9.71091661501838E-4</v>
      </c>
      <c r="H135">
        <v>3.4959299814066098E-2</v>
      </c>
      <c r="I135" t="s">
        <v>4211</v>
      </c>
    </row>
    <row r="136" spans="1:9" x14ac:dyDescent="0.25">
      <c r="A136" t="s">
        <v>397</v>
      </c>
      <c r="C136" s="3" t="str">
        <f>HYPERLINK("http://amigo.geneontology.org/amigo/term/GO:0016762","GO:0016762")</f>
        <v>GO:0016762</v>
      </c>
      <c r="D136" t="s">
        <v>332</v>
      </c>
      <c r="E136">
        <v>142</v>
      </c>
      <c r="F136">
        <v>9</v>
      </c>
      <c r="G136">
        <v>1.0533924740653E-3</v>
      </c>
      <c r="H136">
        <v>3.7922129066350903E-2</v>
      </c>
      <c r="I136" t="s">
        <v>4241</v>
      </c>
    </row>
    <row r="137" spans="1:9" x14ac:dyDescent="0.25">
      <c r="A137" t="s">
        <v>4242</v>
      </c>
      <c r="C137" s="3" t="str">
        <f>HYPERLINK("http://amigo.geneontology.org/amigo/term/GO:0005267","GO:0005267")</f>
        <v>GO:0005267</v>
      </c>
      <c r="D137" t="s">
        <v>310</v>
      </c>
      <c r="E137">
        <v>65</v>
      </c>
      <c r="F137">
        <v>6</v>
      </c>
      <c r="G137">
        <v>1.05855229386908E-3</v>
      </c>
      <c r="H137">
        <v>3.7049330285418E-2</v>
      </c>
      <c r="I137" t="s">
        <v>4243</v>
      </c>
    </row>
    <row r="138" spans="1:9" x14ac:dyDescent="0.25">
      <c r="A138" t="s">
        <v>400</v>
      </c>
      <c r="C138" s="3" t="str">
        <f>HYPERLINK("http://amigo.geneontology.org/amigo/term/GO:0004449","GO:0004449")</f>
        <v>GO:0004449</v>
      </c>
      <c r="D138" t="s">
        <v>1022</v>
      </c>
      <c r="E138">
        <v>12</v>
      </c>
      <c r="F138">
        <v>3</v>
      </c>
      <c r="G138">
        <v>1.0954742084039301E-3</v>
      </c>
      <c r="H138">
        <v>3.7246123085733898E-2</v>
      </c>
      <c r="I138" t="s">
        <v>1023</v>
      </c>
    </row>
    <row r="139" spans="1:9" x14ac:dyDescent="0.25">
      <c r="A139" t="s">
        <v>403</v>
      </c>
      <c r="C139" s="3" t="str">
        <f>HYPERLINK("http://amigo.geneontology.org/amigo/term/GO:0004014","GO:0004014")</f>
        <v>GO:0004014</v>
      </c>
      <c r="D139" t="s">
        <v>1031</v>
      </c>
      <c r="E139">
        <v>12</v>
      </c>
      <c r="F139">
        <v>3</v>
      </c>
      <c r="G139">
        <v>1.0954742084039301E-3</v>
      </c>
      <c r="H139">
        <v>3.7246123085733898E-2</v>
      </c>
      <c r="I139" t="s">
        <v>1032</v>
      </c>
    </row>
    <row r="140" spans="1:9" x14ac:dyDescent="0.25">
      <c r="A140" t="s">
        <v>406</v>
      </c>
      <c r="C140" s="3" t="str">
        <f>HYPERLINK("http://amigo.geneontology.org/amigo/term/GO:0008215","GO:0008215")</f>
        <v>GO:0008215</v>
      </c>
      <c r="D140" t="s">
        <v>1034</v>
      </c>
      <c r="E140">
        <v>12</v>
      </c>
      <c r="F140">
        <v>3</v>
      </c>
      <c r="G140">
        <v>1.0954742084039301E-3</v>
      </c>
      <c r="H140">
        <v>3.8341597294137802E-2</v>
      </c>
      <c r="I140" t="s">
        <v>1032</v>
      </c>
    </row>
    <row r="141" spans="1:9" x14ac:dyDescent="0.25">
      <c r="A141" t="s">
        <v>408</v>
      </c>
      <c r="C141" s="3" t="str">
        <f>HYPERLINK("http://amigo.geneontology.org/amigo/term/GO:0006597","GO:0006597")</f>
        <v>GO:0006597</v>
      </c>
      <c r="D141" t="s">
        <v>1036</v>
      </c>
      <c r="E141">
        <v>12</v>
      </c>
      <c r="F141">
        <v>3</v>
      </c>
      <c r="G141">
        <v>1.0954742084039301E-3</v>
      </c>
      <c r="H141">
        <v>3.8341597294137802E-2</v>
      </c>
      <c r="I141" t="s">
        <v>1032</v>
      </c>
    </row>
    <row r="142" spans="1:9" x14ac:dyDescent="0.25">
      <c r="A142" t="s">
        <v>410</v>
      </c>
      <c r="C142" s="3" t="str">
        <f>HYPERLINK("http://amigo.geneontology.org/amigo/term/GO:0047334","GO:0047334")</f>
        <v>GO:0047334</v>
      </c>
      <c r="D142" t="s">
        <v>1038</v>
      </c>
      <c r="E142">
        <v>12</v>
      </c>
      <c r="F142">
        <v>3</v>
      </c>
      <c r="G142">
        <v>1.0954742084039301E-3</v>
      </c>
      <c r="H142">
        <v>3.8341597294137802E-2</v>
      </c>
      <c r="I142" t="s">
        <v>1039</v>
      </c>
    </row>
    <row r="143" spans="1:9" x14ac:dyDescent="0.25">
      <c r="A143" t="s">
        <v>4244</v>
      </c>
      <c r="C143" s="3" t="str">
        <f>HYPERLINK("http://amigo.geneontology.org/amigo/term/GO:0015078","GO:0015078")</f>
        <v>GO:0015078</v>
      </c>
      <c r="D143" t="s">
        <v>615</v>
      </c>
      <c r="E143">
        <v>444</v>
      </c>
      <c r="F143">
        <v>18</v>
      </c>
      <c r="G143">
        <v>1.1957609612166301E-3</v>
      </c>
      <c r="H143">
        <v>4.0655872681365599E-2</v>
      </c>
      <c r="I143" t="s">
        <v>4245</v>
      </c>
    </row>
    <row r="144" spans="1:9" x14ac:dyDescent="0.25">
      <c r="A144" t="s">
        <v>4246</v>
      </c>
      <c r="C144" s="3" t="str">
        <f>HYPERLINK("http://amigo.geneontology.org/amigo/term/GO:0015979","GO:0015979")</f>
        <v>GO:0015979</v>
      </c>
      <c r="D144" t="s">
        <v>4247</v>
      </c>
      <c r="E144">
        <v>834</v>
      </c>
      <c r="F144">
        <v>28</v>
      </c>
      <c r="G144">
        <v>1.2390868915035499E-3</v>
      </c>
      <c r="H144">
        <v>4.0889867419617199E-2</v>
      </c>
      <c r="I144" t="s">
        <v>4248</v>
      </c>
    </row>
    <row r="145" spans="1:9" x14ac:dyDescent="0.25">
      <c r="A145" t="s">
        <v>412</v>
      </c>
      <c r="C145" s="3" t="str">
        <f>HYPERLINK("http://amigo.geneontology.org/amigo/term/GO:0004565","GO:0004565")</f>
        <v>GO:0004565</v>
      </c>
      <c r="D145" t="s">
        <v>839</v>
      </c>
      <c r="E145">
        <v>27</v>
      </c>
      <c r="F145">
        <v>4</v>
      </c>
      <c r="G145">
        <v>1.26189400964571E-3</v>
      </c>
      <c r="H145">
        <v>4.16425023183086E-2</v>
      </c>
      <c r="I145" t="s">
        <v>4249</v>
      </c>
    </row>
    <row r="146" spans="1:9" x14ac:dyDescent="0.25">
      <c r="A146" t="s">
        <v>4250</v>
      </c>
      <c r="C146" s="3" t="str">
        <f>HYPERLINK("http://amigo.geneontology.org/amigo/term/GO:0005261","GO:0005261")</f>
        <v>GO:0005261</v>
      </c>
      <c r="D146" t="s">
        <v>321</v>
      </c>
      <c r="E146">
        <v>68</v>
      </c>
      <c r="F146">
        <v>6</v>
      </c>
      <c r="G146">
        <v>1.3410515516348301E-3</v>
      </c>
      <c r="H146">
        <v>4.4254701203949601E-2</v>
      </c>
      <c r="I146" t="s">
        <v>4243</v>
      </c>
    </row>
    <row r="147" spans="1:9" x14ac:dyDescent="0.25">
      <c r="A147" t="s">
        <v>415</v>
      </c>
      <c r="C147" s="3" t="str">
        <f>HYPERLINK("http://amigo.geneontology.org/amigo/term/GO:0017171","GO:0017171")</f>
        <v>GO:0017171</v>
      </c>
      <c r="D147" t="s">
        <v>1186</v>
      </c>
      <c r="E147">
        <v>759</v>
      </c>
      <c r="F147">
        <v>26</v>
      </c>
      <c r="G147">
        <v>1.37436819823507E-3</v>
      </c>
      <c r="H147">
        <v>4.3979782343522497E-2</v>
      </c>
      <c r="I147" t="s">
        <v>4251</v>
      </c>
    </row>
    <row r="148" spans="1:9" x14ac:dyDescent="0.25">
      <c r="A148" t="s">
        <v>4252</v>
      </c>
      <c r="C148" s="3" t="str">
        <f>HYPERLINK("http://amigo.geneontology.org/amigo/term/GO:0008236","GO:0008236")</f>
        <v>GO:0008236</v>
      </c>
      <c r="D148" t="s">
        <v>1189</v>
      </c>
      <c r="E148">
        <v>759</v>
      </c>
      <c r="F148">
        <v>26</v>
      </c>
      <c r="G148">
        <v>1.37436819823507E-3</v>
      </c>
      <c r="H148">
        <v>4.53541505417576E-2</v>
      </c>
      <c r="I148" t="s">
        <v>4251</v>
      </c>
    </row>
    <row r="149" spans="1:9" x14ac:dyDescent="0.25">
      <c r="A149" t="s">
        <v>418</v>
      </c>
      <c r="C149" s="3" t="str">
        <f>HYPERLINK("http://amigo.geneontology.org/amigo/term/GO:0070279","GO:0070279")</f>
        <v>GO:0070279</v>
      </c>
      <c r="D149" t="s">
        <v>4253</v>
      </c>
      <c r="E149">
        <v>342</v>
      </c>
      <c r="F149">
        <v>15</v>
      </c>
      <c r="G149">
        <v>1.3869192183584901E-3</v>
      </c>
      <c r="H149">
        <v>4.4381414987471897E-2</v>
      </c>
      <c r="I149" t="s">
        <v>4254</v>
      </c>
    </row>
    <row r="150" spans="1:9" x14ac:dyDescent="0.25">
      <c r="A150" t="s">
        <v>420</v>
      </c>
      <c r="C150" s="3" t="str">
        <f>HYPERLINK("http://amigo.geneontology.org/amigo/term/GO:0030170","GO:0030170")</f>
        <v>GO:0030170</v>
      </c>
      <c r="D150" t="s">
        <v>4255</v>
      </c>
      <c r="E150">
        <v>342</v>
      </c>
      <c r="F150">
        <v>15</v>
      </c>
      <c r="G150">
        <v>1.3869192183584901E-3</v>
      </c>
      <c r="H150">
        <v>4.4381414987471897E-2</v>
      </c>
      <c r="I150" t="s">
        <v>4254</v>
      </c>
    </row>
    <row r="151" spans="1:9" x14ac:dyDescent="0.25">
      <c r="A151" t="s">
        <v>4256</v>
      </c>
      <c r="C151" s="3" t="str">
        <f>HYPERLINK("http://amigo.geneontology.org/amigo/term/GO:0016298","GO:0016298")</f>
        <v>GO:0016298</v>
      </c>
      <c r="D151" t="s">
        <v>457</v>
      </c>
      <c r="E151">
        <v>209</v>
      </c>
      <c r="F151">
        <v>11</v>
      </c>
      <c r="G151">
        <v>1.4215610017143099E-3</v>
      </c>
      <c r="H151">
        <v>4.5489952054858097E-2</v>
      </c>
      <c r="I151" t="s">
        <v>4257</v>
      </c>
    </row>
    <row r="152" spans="1:9" x14ac:dyDescent="0.25">
      <c r="A152" t="s">
        <v>4258</v>
      </c>
      <c r="C152" s="3" t="str">
        <f>HYPERLINK("http://amigo.geneontology.org/amigo/term/GO:0045491","GO:0045491")</f>
        <v>GO:0045491</v>
      </c>
      <c r="D152" t="s">
        <v>4259</v>
      </c>
      <c r="E152">
        <v>120</v>
      </c>
      <c r="F152">
        <v>8</v>
      </c>
      <c r="G152">
        <v>1.4281674934986E-3</v>
      </c>
      <c r="H152">
        <v>4.57013597919552E-2</v>
      </c>
      <c r="I152" t="s">
        <v>4260</v>
      </c>
    </row>
    <row r="153" spans="1:9" x14ac:dyDescent="0.25">
      <c r="A153" t="s">
        <v>4261</v>
      </c>
      <c r="C153" s="3" t="str">
        <f>HYPERLINK("http://amigo.geneontology.org/amigo/term/GO:0016052","GO:0016052")</f>
        <v>GO:0016052</v>
      </c>
      <c r="D153" t="s">
        <v>445</v>
      </c>
      <c r="E153">
        <v>452</v>
      </c>
      <c r="F153">
        <v>18</v>
      </c>
      <c r="G153">
        <v>1.4558650635855899E-3</v>
      </c>
      <c r="H153">
        <v>4.5131816971153503E-2</v>
      </c>
      <c r="I153" t="s">
        <v>4262</v>
      </c>
    </row>
    <row r="154" spans="1:9" x14ac:dyDescent="0.25">
      <c r="A154" t="s">
        <v>423</v>
      </c>
      <c r="C154" s="3" t="str">
        <f>HYPERLINK("http://amigo.geneontology.org/amigo/term/GO:0015291","GO:0015291")</f>
        <v>GO:0015291</v>
      </c>
      <c r="D154" t="s">
        <v>439</v>
      </c>
      <c r="E154">
        <v>527</v>
      </c>
      <c r="F154">
        <v>20</v>
      </c>
      <c r="G154">
        <v>1.45635462757216E-3</v>
      </c>
      <c r="H154">
        <v>4.5146993454737099E-2</v>
      </c>
      <c r="I154" t="s">
        <v>4263</v>
      </c>
    </row>
    <row r="155" spans="1:9" x14ac:dyDescent="0.25">
      <c r="A155" t="s">
        <v>4264</v>
      </c>
      <c r="C155" s="3" t="str">
        <f>HYPERLINK("http://amigo.geneontology.org/amigo/term/GO:0046527","GO:0046527")</f>
        <v>GO:0046527</v>
      </c>
      <c r="D155" t="s">
        <v>234</v>
      </c>
      <c r="E155">
        <v>380</v>
      </c>
      <c r="F155">
        <v>16</v>
      </c>
      <c r="G155">
        <v>1.4881319384661201E-3</v>
      </c>
      <c r="H155">
        <v>4.613209009245E-2</v>
      </c>
      <c r="I155" t="s">
        <v>4265</v>
      </c>
    </row>
    <row r="156" spans="1:9" x14ac:dyDescent="0.25">
      <c r="A156" t="s">
        <v>4266</v>
      </c>
      <c r="C156" s="3" t="str">
        <f>HYPERLINK("http://amigo.geneontology.org/amigo/term/GO:0043562","GO:0043562")</f>
        <v>GO:0043562</v>
      </c>
      <c r="D156" t="s">
        <v>635</v>
      </c>
      <c r="E156">
        <v>14</v>
      </c>
      <c r="F156">
        <v>3</v>
      </c>
      <c r="G156">
        <v>1.7649858260531E-3</v>
      </c>
      <c r="H156">
        <v>5.4714560607646297E-2</v>
      </c>
      <c r="I156" t="s">
        <v>4267</v>
      </c>
    </row>
    <row r="157" spans="1:9" x14ac:dyDescent="0.25">
      <c r="A157" t="s">
        <v>4268</v>
      </c>
      <c r="C157" s="3" t="str">
        <f>HYPERLINK("http://amigo.geneontology.org/amigo/term/GO:0060145","GO:0060145")</f>
        <v>GO:0060145</v>
      </c>
      <c r="D157" t="s">
        <v>1047</v>
      </c>
      <c r="E157">
        <v>4</v>
      </c>
      <c r="F157">
        <v>2</v>
      </c>
      <c r="G157">
        <v>1.85226957381123E-3</v>
      </c>
      <c r="H157">
        <v>5.5568087214337002E-2</v>
      </c>
      <c r="I157" t="s">
        <v>900</v>
      </c>
    </row>
    <row r="158" spans="1:9" x14ac:dyDescent="0.25">
      <c r="A158" t="s">
        <v>426</v>
      </c>
      <c r="C158" s="3" t="str">
        <f>HYPERLINK("http://amigo.geneontology.org/amigo/term/GO:0004047","GO:0004047")</f>
        <v>GO:0004047</v>
      </c>
      <c r="D158" t="s">
        <v>4269</v>
      </c>
      <c r="E158">
        <v>4</v>
      </c>
      <c r="F158">
        <v>2</v>
      </c>
      <c r="G158">
        <v>1.85226957381123E-3</v>
      </c>
      <c r="H158">
        <v>5.5568087214337002E-2</v>
      </c>
      <c r="I158" t="s">
        <v>4270</v>
      </c>
    </row>
    <row r="159" spans="1:9" x14ac:dyDescent="0.25">
      <c r="A159" t="s">
        <v>429</v>
      </c>
      <c r="C159" s="3" t="str">
        <f>HYPERLINK("http://amigo.geneontology.org/amigo/term/GO:0048046","GO:0048046")</f>
        <v>GO:0048046</v>
      </c>
      <c r="D159" t="s">
        <v>413</v>
      </c>
      <c r="E159">
        <v>357</v>
      </c>
      <c r="F159">
        <v>15</v>
      </c>
      <c r="G159">
        <v>2.0989048815417302E-3</v>
      </c>
      <c r="H159">
        <v>6.2967146446251898E-2</v>
      </c>
      <c r="I159" t="s">
        <v>4271</v>
      </c>
    </row>
    <row r="160" spans="1:9" x14ac:dyDescent="0.25">
      <c r="A160" t="s">
        <v>4272</v>
      </c>
      <c r="C160" s="3" t="str">
        <f>HYPERLINK("http://amigo.geneontology.org/amigo/term/GO:0016757","GO:0016757")</f>
        <v>GO:0016757</v>
      </c>
      <c r="D160" t="s">
        <v>977</v>
      </c>
      <c r="E160">
        <v>2155</v>
      </c>
      <c r="F160">
        <v>57</v>
      </c>
      <c r="G160">
        <v>2.2808457696365599E-3</v>
      </c>
      <c r="H160">
        <v>6.8425373089097005E-2</v>
      </c>
      <c r="I160" t="s">
        <v>4273</v>
      </c>
    </row>
    <row r="161" spans="1:9" x14ac:dyDescent="0.25">
      <c r="A161" t="s">
        <v>432</v>
      </c>
      <c r="C161" s="3" t="str">
        <f>HYPERLINK("http://amigo.geneontology.org/amigo/term/GO:0022804","GO:0022804")</f>
        <v>GO:0022804</v>
      </c>
      <c r="D161" t="s">
        <v>676</v>
      </c>
      <c r="E161">
        <v>1000</v>
      </c>
      <c r="F161">
        <v>31</v>
      </c>
      <c r="G161">
        <v>2.40797405206468E-3</v>
      </c>
      <c r="H161">
        <v>7.22392215619405E-2</v>
      </c>
      <c r="I161" t="s">
        <v>4274</v>
      </c>
    </row>
    <row r="162" spans="1:9" x14ac:dyDescent="0.25">
      <c r="A162" t="s">
        <v>435</v>
      </c>
      <c r="C162" s="3" t="str">
        <f>HYPERLINK("http://amigo.geneontology.org/amigo/term/GO:0019752","GO:0019752")</f>
        <v>GO:0019752</v>
      </c>
      <c r="D162" t="s">
        <v>4275</v>
      </c>
      <c r="E162">
        <v>2833</v>
      </c>
      <c r="F162">
        <v>71</v>
      </c>
      <c r="G162">
        <v>2.7593034852860699E-3</v>
      </c>
      <c r="H162">
        <v>8.0019801073296107E-2</v>
      </c>
      <c r="I162" t="s">
        <v>4276</v>
      </c>
    </row>
    <row r="163" spans="1:9" x14ac:dyDescent="0.25">
      <c r="A163" t="s">
        <v>4277</v>
      </c>
      <c r="C163" s="3" t="str">
        <f>HYPERLINK("http://amigo.geneontology.org/amigo/term/GO:0009897","GO:0009897")</f>
        <v>GO:0009897</v>
      </c>
      <c r="D163" t="s">
        <v>1115</v>
      </c>
      <c r="E163">
        <v>5</v>
      </c>
      <c r="F163">
        <v>2</v>
      </c>
      <c r="G163">
        <v>3.0506704317494102E-3</v>
      </c>
      <c r="H163">
        <v>8.8469442520733105E-2</v>
      </c>
      <c r="I163" t="s">
        <v>895</v>
      </c>
    </row>
    <row r="164" spans="1:9" x14ac:dyDescent="0.25">
      <c r="A164" t="s">
        <v>438</v>
      </c>
      <c r="C164" s="3" t="str">
        <f>HYPERLINK("http://amigo.geneontology.org/amigo/term/GO:0045492","GO:0045492")</f>
        <v>GO:0045492</v>
      </c>
      <c r="D164" t="s">
        <v>4278</v>
      </c>
      <c r="E164">
        <v>107</v>
      </c>
      <c r="F164">
        <v>7</v>
      </c>
      <c r="G164">
        <v>3.1008580482467501E-3</v>
      </c>
      <c r="H164">
        <v>8.9924883399155706E-2</v>
      </c>
      <c r="I164" t="s">
        <v>4279</v>
      </c>
    </row>
    <row r="165" spans="1:9" x14ac:dyDescent="0.25">
      <c r="A165" t="s">
        <v>441</v>
      </c>
      <c r="C165" s="3" t="str">
        <f>HYPERLINK("http://amigo.geneontology.org/amigo/term/GO:0006810","GO:0006810")</f>
        <v>GO:0006810</v>
      </c>
      <c r="D165" t="s">
        <v>318</v>
      </c>
      <c r="E165">
        <v>6357</v>
      </c>
      <c r="F165">
        <v>142</v>
      </c>
      <c r="G165">
        <v>3.1336688907770902E-3</v>
      </c>
      <c r="H165">
        <v>9.0876397832535594E-2</v>
      </c>
      <c r="I165" t="s">
        <v>4280</v>
      </c>
    </row>
    <row r="166" spans="1:9" x14ac:dyDescent="0.25">
      <c r="A166" t="s">
        <v>444</v>
      </c>
      <c r="C166" s="3" t="str">
        <f>HYPERLINK("http://amigo.geneontology.org/amigo/term/GO:0004550","GO:0004550")</f>
        <v>GO:0004550</v>
      </c>
      <c r="D166" t="s">
        <v>1217</v>
      </c>
      <c r="E166">
        <v>17</v>
      </c>
      <c r="F166">
        <v>3</v>
      </c>
      <c r="G166">
        <v>3.1686888467925001E-3</v>
      </c>
      <c r="H166">
        <v>8.8723287710190002E-2</v>
      </c>
      <c r="I166" t="s">
        <v>1218</v>
      </c>
    </row>
    <row r="167" spans="1:9" x14ac:dyDescent="0.25">
      <c r="A167" t="s">
        <v>4281</v>
      </c>
      <c r="C167" s="3" t="str">
        <f>HYPERLINK("http://amigo.geneontology.org/amigo/term/GO:0006183","GO:0006183")</f>
        <v>GO:0006183</v>
      </c>
      <c r="D167" t="s">
        <v>1220</v>
      </c>
      <c r="E167">
        <v>17</v>
      </c>
      <c r="F167">
        <v>3</v>
      </c>
      <c r="G167">
        <v>3.1686888467925001E-3</v>
      </c>
      <c r="H167">
        <v>8.8723287710190002E-2</v>
      </c>
      <c r="I167" t="s">
        <v>1218</v>
      </c>
    </row>
    <row r="168" spans="1:9" x14ac:dyDescent="0.25">
      <c r="A168" t="s">
        <v>4282</v>
      </c>
      <c r="C168" s="3" t="str">
        <f>HYPERLINK("http://amigo.geneontology.org/amigo/term/GO:0046051","GO:0046051")</f>
        <v>GO:0046051</v>
      </c>
      <c r="D168" t="s">
        <v>1222</v>
      </c>
      <c r="E168">
        <v>17</v>
      </c>
      <c r="F168">
        <v>3</v>
      </c>
      <c r="G168">
        <v>3.1686888467925001E-3</v>
      </c>
      <c r="H168">
        <v>8.8723287710190002E-2</v>
      </c>
      <c r="I168" t="s">
        <v>1218</v>
      </c>
    </row>
    <row r="169" spans="1:9" x14ac:dyDescent="0.25">
      <c r="A169" t="s">
        <v>4283</v>
      </c>
      <c r="C169" s="3" t="str">
        <f>HYPERLINK("http://amigo.geneontology.org/amigo/term/GO:0006228","GO:0006228")</f>
        <v>GO:0006228</v>
      </c>
      <c r="D169" t="s">
        <v>1224</v>
      </c>
      <c r="E169">
        <v>17</v>
      </c>
      <c r="F169">
        <v>3</v>
      </c>
      <c r="G169">
        <v>3.1686888467925001E-3</v>
      </c>
      <c r="H169">
        <v>9.1891976556982502E-2</v>
      </c>
      <c r="I169" t="s">
        <v>1218</v>
      </c>
    </row>
    <row r="170" spans="1:9" x14ac:dyDescent="0.25">
      <c r="A170" t="s">
        <v>4284</v>
      </c>
      <c r="C170" s="3" t="str">
        <f>HYPERLINK("http://amigo.geneontology.org/amigo/term/GO:0019953","GO:0019953")</f>
        <v>GO:0019953</v>
      </c>
      <c r="D170" t="s">
        <v>831</v>
      </c>
      <c r="E170">
        <v>301</v>
      </c>
      <c r="F170">
        <v>13</v>
      </c>
      <c r="G170">
        <v>3.1921067912559398E-3</v>
      </c>
      <c r="H170">
        <v>8.9378990155166302E-2</v>
      </c>
      <c r="I170" t="s">
        <v>4285</v>
      </c>
    </row>
    <row r="171" spans="1:9" x14ac:dyDescent="0.25">
      <c r="A171" t="s">
        <v>447</v>
      </c>
      <c r="C171" s="3" t="str">
        <f>HYPERLINK("http://amigo.geneontology.org/amigo/term/GO:0044703","GO:0044703")</f>
        <v>GO:0044703</v>
      </c>
      <c r="D171" t="s">
        <v>834</v>
      </c>
      <c r="E171">
        <v>302</v>
      </c>
      <c r="F171">
        <v>13</v>
      </c>
      <c r="G171">
        <v>3.2827576276825E-3</v>
      </c>
      <c r="H171">
        <v>9.1917213575109999E-2</v>
      </c>
      <c r="I171" t="s">
        <v>4285</v>
      </c>
    </row>
    <row r="172" spans="1:9" x14ac:dyDescent="0.25">
      <c r="A172" t="s">
        <v>450</v>
      </c>
      <c r="C172" s="3" t="str">
        <f>HYPERLINK("http://amigo.geneontology.org/amigo/term/GO:0003993","GO:0003993")</f>
        <v>GO:0003993</v>
      </c>
      <c r="D172" t="s">
        <v>1377</v>
      </c>
      <c r="E172">
        <v>139</v>
      </c>
      <c r="F172">
        <v>8</v>
      </c>
      <c r="G172">
        <v>3.5700218899289999E-3</v>
      </c>
      <c r="H172">
        <v>9.9960612918012198E-2</v>
      </c>
      <c r="I172" t="s">
        <v>4286</v>
      </c>
    </row>
    <row r="173" spans="1:9" x14ac:dyDescent="0.25">
      <c r="A173" t="s">
        <v>4287</v>
      </c>
      <c r="C173" s="3" t="str">
        <f>HYPERLINK("http://amigo.geneontology.org/amigo/term/GO:0099516","GO:0099516")</f>
        <v>GO:0099516</v>
      </c>
      <c r="D173" t="s">
        <v>579</v>
      </c>
      <c r="E173">
        <v>58</v>
      </c>
      <c r="F173">
        <v>5</v>
      </c>
      <c r="G173">
        <v>3.7146262014989499E-3</v>
      </c>
      <c r="H173">
        <v>0.100294907440471</v>
      </c>
      <c r="I173" t="s">
        <v>4211</v>
      </c>
    </row>
    <row r="174" spans="1:9" x14ac:dyDescent="0.25">
      <c r="A174" t="s">
        <v>452</v>
      </c>
      <c r="C174" s="3" t="str">
        <f>HYPERLINK("http://amigo.geneontology.org/amigo/term/GO:0070592","GO:0070592")</f>
        <v>GO:0070592</v>
      </c>
      <c r="D174" t="s">
        <v>4288</v>
      </c>
      <c r="E174">
        <v>112</v>
      </c>
      <c r="F174">
        <v>7</v>
      </c>
      <c r="G174">
        <v>3.9935342362762303E-3</v>
      </c>
      <c r="H174">
        <v>0.107825424379458</v>
      </c>
      <c r="I174" t="s">
        <v>4279</v>
      </c>
    </row>
    <row r="175" spans="1:9" x14ac:dyDescent="0.25">
      <c r="A175" t="s">
        <v>453</v>
      </c>
      <c r="C175" s="3" t="str">
        <f>HYPERLINK("http://amigo.geneontology.org/amigo/term/GO:0008081","GO:0008081")</f>
        <v>GO:0008081</v>
      </c>
      <c r="D175" t="s">
        <v>338</v>
      </c>
      <c r="E175">
        <v>143</v>
      </c>
      <c r="F175">
        <v>8</v>
      </c>
      <c r="G175">
        <v>4.23726819265886E-3</v>
      </c>
      <c r="H175">
        <v>0.11440624120178899</v>
      </c>
      <c r="I175" t="s">
        <v>4289</v>
      </c>
    </row>
    <row r="176" spans="1:9" x14ac:dyDescent="0.25">
      <c r="A176" t="s">
        <v>456</v>
      </c>
      <c r="C176" s="3" t="str">
        <f>HYPERLINK("http://amigo.geneontology.org/amigo/term/GO:0004351","GO:0004351")</f>
        <v>GO:0004351</v>
      </c>
      <c r="D176" t="s">
        <v>4290</v>
      </c>
      <c r="E176">
        <v>19</v>
      </c>
      <c r="F176">
        <v>3</v>
      </c>
      <c r="G176">
        <v>4.3975292997175701E-3</v>
      </c>
      <c r="H176">
        <v>0.114335761792656</v>
      </c>
      <c r="I176" t="s">
        <v>4291</v>
      </c>
    </row>
    <row r="177" spans="1:9" x14ac:dyDescent="0.25">
      <c r="A177" t="s">
        <v>459</v>
      </c>
      <c r="C177" s="3" t="str">
        <f>HYPERLINK("http://amigo.geneontology.org/amigo/term/GO:0043733","GO:0043733")</f>
        <v>GO:0043733</v>
      </c>
      <c r="D177" t="s">
        <v>4292</v>
      </c>
      <c r="E177">
        <v>19</v>
      </c>
      <c r="F177">
        <v>3</v>
      </c>
      <c r="G177">
        <v>4.3975292997175701E-3</v>
      </c>
      <c r="H177">
        <v>0.118733291092374</v>
      </c>
      <c r="I177" t="s">
        <v>4293</v>
      </c>
    </row>
    <row r="178" spans="1:9" x14ac:dyDescent="0.25">
      <c r="A178" t="s">
        <v>462</v>
      </c>
      <c r="C178" s="3" t="str">
        <f>HYPERLINK("http://amigo.geneontology.org/amigo/term/GO:0008725","GO:0008725")</f>
        <v>GO:0008725</v>
      </c>
      <c r="D178" t="s">
        <v>4294</v>
      </c>
      <c r="E178">
        <v>19</v>
      </c>
      <c r="F178">
        <v>3</v>
      </c>
      <c r="G178">
        <v>4.3975292997175701E-3</v>
      </c>
      <c r="H178">
        <v>0.118733291092374</v>
      </c>
      <c r="I178" t="s">
        <v>4293</v>
      </c>
    </row>
    <row r="179" spans="1:9" x14ac:dyDescent="0.25">
      <c r="A179" t="s">
        <v>4295</v>
      </c>
      <c r="C179" s="3" t="str">
        <f>HYPERLINK("http://amigo.geneontology.org/amigo/term/GO:0008810","GO:0008810")</f>
        <v>GO:0008810</v>
      </c>
      <c r="D179" t="s">
        <v>4296</v>
      </c>
      <c r="E179">
        <v>19</v>
      </c>
      <c r="F179">
        <v>3</v>
      </c>
      <c r="G179">
        <v>4.3975292997175701E-3</v>
      </c>
      <c r="H179">
        <v>0.118733291092374</v>
      </c>
      <c r="I179" t="s">
        <v>4297</v>
      </c>
    </row>
    <row r="180" spans="1:9" x14ac:dyDescent="0.25">
      <c r="A180" t="s">
        <v>465</v>
      </c>
      <c r="C180" s="3" t="str">
        <f>HYPERLINK("http://amigo.geneontology.org/amigo/term/GO:0008889","GO:0008889")</f>
        <v>GO:0008889</v>
      </c>
      <c r="D180" t="s">
        <v>822</v>
      </c>
      <c r="E180">
        <v>38</v>
      </c>
      <c r="F180">
        <v>4</v>
      </c>
      <c r="G180">
        <v>4.5478437959598304E-3</v>
      </c>
      <c r="H180">
        <v>0.118243938694955</v>
      </c>
      <c r="I180" t="s">
        <v>4298</v>
      </c>
    </row>
    <row r="181" spans="1:9" x14ac:dyDescent="0.25">
      <c r="A181" t="s">
        <v>4299</v>
      </c>
      <c r="C181" s="3" t="str">
        <f>HYPERLINK("http://amigo.geneontology.org/amigo/term/GO:0043436","GO:0043436")</f>
        <v>GO:0043436</v>
      </c>
      <c r="D181" t="s">
        <v>4300</v>
      </c>
      <c r="E181">
        <v>2895</v>
      </c>
      <c r="F181">
        <v>71</v>
      </c>
      <c r="G181">
        <v>4.5707102036139698E-3</v>
      </c>
      <c r="H181">
        <v>0.118838465293963</v>
      </c>
      <c r="I181" t="s">
        <v>4276</v>
      </c>
    </row>
    <row r="182" spans="1:9" x14ac:dyDescent="0.25">
      <c r="A182" t="s">
        <v>468</v>
      </c>
      <c r="C182" s="3" t="str">
        <f>HYPERLINK("http://amigo.geneontology.org/amigo/term/GO:0006082","GO:0006082")</f>
        <v>GO:0006082</v>
      </c>
      <c r="D182" t="s">
        <v>4301</v>
      </c>
      <c r="E182">
        <v>2904</v>
      </c>
      <c r="F182">
        <v>71</v>
      </c>
      <c r="G182">
        <v>4.9046620723638698E-3</v>
      </c>
      <c r="H182">
        <v>0.12752121388146001</v>
      </c>
      <c r="I182" t="s">
        <v>4276</v>
      </c>
    </row>
    <row r="183" spans="1:9" x14ac:dyDescent="0.25">
      <c r="A183" t="s">
        <v>471</v>
      </c>
      <c r="C183" s="3" t="str">
        <f>HYPERLINK("http://amigo.geneontology.org/amigo/term/GO:0070589","GO:0070589")</f>
        <v>GO:0070589</v>
      </c>
      <c r="D183" t="s">
        <v>4302</v>
      </c>
      <c r="E183">
        <v>117</v>
      </c>
      <c r="F183">
        <v>7</v>
      </c>
      <c r="G183">
        <v>5.0684779701139198E-3</v>
      </c>
      <c r="H183">
        <v>0.13178042722296199</v>
      </c>
      <c r="I183" t="s">
        <v>4279</v>
      </c>
    </row>
    <row r="184" spans="1:9" x14ac:dyDescent="0.25">
      <c r="A184" t="s">
        <v>4303</v>
      </c>
      <c r="C184" s="3" t="str">
        <f>HYPERLINK("http://amigo.geneontology.org/amigo/term/GO:0044038","GO:0044038")</f>
        <v>GO:0044038</v>
      </c>
      <c r="D184" t="s">
        <v>4304</v>
      </c>
      <c r="E184">
        <v>117</v>
      </c>
      <c r="F184">
        <v>7</v>
      </c>
      <c r="G184">
        <v>5.0684779701139198E-3</v>
      </c>
      <c r="H184">
        <v>0.13178042722296199</v>
      </c>
      <c r="I184" t="s">
        <v>4279</v>
      </c>
    </row>
    <row r="185" spans="1:9" x14ac:dyDescent="0.25">
      <c r="A185" t="s">
        <v>4305</v>
      </c>
      <c r="C185" s="3" t="str">
        <f>HYPERLINK("http://amigo.geneontology.org/amigo/term/GO:0003905","GO:0003905")</f>
        <v>GO:0003905</v>
      </c>
      <c r="D185" t="s">
        <v>4306</v>
      </c>
      <c r="E185">
        <v>20</v>
      </c>
      <c r="F185">
        <v>3</v>
      </c>
      <c r="G185">
        <v>5.10569797390784E-3</v>
      </c>
      <c r="H185">
        <v>0.127642449347696</v>
      </c>
      <c r="I185" t="s">
        <v>4293</v>
      </c>
    </row>
    <row r="186" spans="1:9" x14ac:dyDescent="0.25">
      <c r="A186" t="s">
        <v>4307</v>
      </c>
      <c r="C186" s="3" t="str">
        <f>HYPERLINK("http://amigo.geneontology.org/amigo/term/GO:0046039","GO:0046039")</f>
        <v>GO:0046039</v>
      </c>
      <c r="D186" t="s">
        <v>1320</v>
      </c>
      <c r="E186">
        <v>20</v>
      </c>
      <c r="F186">
        <v>3</v>
      </c>
      <c r="G186">
        <v>5.10569797390784E-3</v>
      </c>
      <c r="H186">
        <v>0.127642449347696</v>
      </c>
      <c r="I186" t="s">
        <v>1218</v>
      </c>
    </row>
    <row r="187" spans="1:9" x14ac:dyDescent="0.25">
      <c r="A187" t="s">
        <v>474</v>
      </c>
      <c r="C187" s="3" t="str">
        <f>HYPERLINK("http://amigo.geneontology.org/amigo/term/GO:0016740","GO:0016740")</f>
        <v>GO:0016740</v>
      </c>
      <c r="D187" t="s">
        <v>855</v>
      </c>
      <c r="E187">
        <v>12925</v>
      </c>
      <c r="F187">
        <v>266</v>
      </c>
      <c r="G187">
        <v>5.3024125994640897E-3</v>
      </c>
      <c r="H187">
        <v>0.13256031498660201</v>
      </c>
      <c r="I187" t="s">
        <v>4308</v>
      </c>
    </row>
    <row r="188" spans="1:9" x14ac:dyDescent="0.25">
      <c r="A188" t="s">
        <v>4309</v>
      </c>
      <c r="C188" s="3" t="str">
        <f>HYPERLINK("http://amigo.geneontology.org/amigo/term/GO:0017144","GO:0017144")</f>
        <v>GO:0017144</v>
      </c>
      <c r="D188" t="s">
        <v>4310</v>
      </c>
      <c r="E188">
        <v>1595</v>
      </c>
      <c r="F188">
        <v>43</v>
      </c>
      <c r="G188">
        <v>5.35402197853997E-3</v>
      </c>
      <c r="H188">
        <v>0.133850549463499</v>
      </c>
      <c r="I188" t="s">
        <v>4311</v>
      </c>
    </row>
    <row r="189" spans="1:9" x14ac:dyDescent="0.25">
      <c r="A189" t="s">
        <v>4312</v>
      </c>
      <c r="C189" s="3" t="str">
        <f>HYPERLINK("http://amigo.geneontology.org/amigo/term/GO:0015925","GO:0015925")</f>
        <v>GO:0015925</v>
      </c>
      <c r="D189" t="s">
        <v>847</v>
      </c>
      <c r="E189">
        <v>40</v>
      </c>
      <c r="F189">
        <v>4</v>
      </c>
      <c r="G189">
        <v>5.4753877059203499E-3</v>
      </c>
      <c r="H189">
        <v>0.13688469264800801</v>
      </c>
      <c r="I189" t="s">
        <v>4249</v>
      </c>
    </row>
    <row r="190" spans="1:9" x14ac:dyDescent="0.25">
      <c r="A190" t="s">
        <v>477</v>
      </c>
      <c r="C190" s="3" t="str">
        <f>HYPERLINK("http://amigo.geneontology.org/amigo/term/GO:0030234","GO:0030234")</f>
        <v>GO:0030234</v>
      </c>
      <c r="D190" t="s">
        <v>353</v>
      </c>
      <c r="E190">
        <v>1103</v>
      </c>
      <c r="F190">
        <v>32</v>
      </c>
      <c r="G190">
        <v>5.4815974905775304E-3</v>
      </c>
      <c r="H190">
        <v>0.137039937264438</v>
      </c>
      <c r="I190" t="s">
        <v>4313</v>
      </c>
    </row>
    <row r="191" spans="1:9" x14ac:dyDescent="0.25">
      <c r="A191" t="s">
        <v>480</v>
      </c>
      <c r="C191" s="3" t="str">
        <f>HYPERLINK("http://amigo.geneontology.org/amigo/term/GO:0004175","GO:0004175")</f>
        <v>GO:0004175</v>
      </c>
      <c r="D191" t="s">
        <v>4314</v>
      </c>
      <c r="E191">
        <v>1198</v>
      </c>
      <c r="F191">
        <v>34</v>
      </c>
      <c r="G191">
        <v>5.9449831331665898E-3</v>
      </c>
      <c r="H191">
        <v>0.14862457832916401</v>
      </c>
      <c r="I191" t="s">
        <v>4315</v>
      </c>
    </row>
    <row r="192" spans="1:9" x14ac:dyDescent="0.25">
      <c r="A192" t="s">
        <v>482</v>
      </c>
      <c r="C192" s="3" t="str">
        <f>HYPERLINK("http://amigo.geneontology.org/amigo/term/GO:0016620","GO:0016620")</f>
        <v>GO:0016620</v>
      </c>
      <c r="D192" t="s">
        <v>803</v>
      </c>
      <c r="E192">
        <v>152</v>
      </c>
      <c r="F192">
        <v>8</v>
      </c>
      <c r="G192">
        <v>6.0871238548348703E-3</v>
      </c>
      <c r="H192">
        <v>0.14609097251603601</v>
      </c>
      <c r="I192" t="s">
        <v>4316</v>
      </c>
    </row>
    <row r="193" spans="1:9" x14ac:dyDescent="0.25">
      <c r="A193" t="s">
        <v>485</v>
      </c>
      <c r="C193" s="3" t="str">
        <f>HYPERLINK("http://amigo.geneontology.org/amigo/term/GO:0009145","GO:0009145")</f>
        <v>GO:0009145</v>
      </c>
      <c r="D193" t="s">
        <v>1359</v>
      </c>
      <c r="E193">
        <v>479</v>
      </c>
      <c r="F193">
        <v>17</v>
      </c>
      <c r="G193">
        <v>6.1154209000334296E-3</v>
      </c>
      <c r="H193">
        <v>0.14677010160080201</v>
      </c>
      <c r="I193" t="s">
        <v>4317</v>
      </c>
    </row>
    <row r="194" spans="1:9" x14ac:dyDescent="0.25">
      <c r="A194" t="s">
        <v>4318</v>
      </c>
      <c r="C194" s="3" t="str">
        <f>HYPERLINK("http://amigo.geneontology.org/amigo/term/GO:0009206","GO:0009206")</f>
        <v>GO:0009206</v>
      </c>
      <c r="D194" t="s">
        <v>1362</v>
      </c>
      <c r="E194">
        <v>479</v>
      </c>
      <c r="F194">
        <v>17</v>
      </c>
      <c r="G194">
        <v>6.1154209000334296E-3</v>
      </c>
      <c r="H194">
        <v>0.14677010160080201</v>
      </c>
      <c r="I194" t="s">
        <v>4317</v>
      </c>
    </row>
    <row r="195" spans="1:9" x14ac:dyDescent="0.25">
      <c r="A195" t="s">
        <v>4319</v>
      </c>
      <c r="C195" s="3" t="str">
        <f>HYPERLINK("http://amigo.geneontology.org/amigo/term/GO:0051234","GO:0051234")</f>
        <v>GO:0051234</v>
      </c>
      <c r="D195" t="s">
        <v>344</v>
      </c>
      <c r="E195">
        <v>6485</v>
      </c>
      <c r="F195">
        <v>142</v>
      </c>
      <c r="G195">
        <v>6.1943974123305602E-3</v>
      </c>
      <c r="H195">
        <v>0.14866553789593301</v>
      </c>
      <c r="I195" t="s">
        <v>4280</v>
      </c>
    </row>
    <row r="196" spans="1:9" x14ac:dyDescent="0.25">
      <c r="A196" t="s">
        <v>488</v>
      </c>
      <c r="C196" s="3" t="str">
        <f>HYPERLINK("http://amigo.geneontology.org/amigo/term/GO:0006814","GO:0006814")</f>
        <v>GO:0006814</v>
      </c>
      <c r="D196" t="s">
        <v>811</v>
      </c>
      <c r="E196">
        <v>66</v>
      </c>
      <c r="F196">
        <v>5</v>
      </c>
      <c r="G196">
        <v>6.4517806476659398E-3</v>
      </c>
      <c r="H196">
        <v>0.15484273554398201</v>
      </c>
      <c r="I196" t="s">
        <v>4211</v>
      </c>
    </row>
    <row r="197" spans="1:9" x14ac:dyDescent="0.25">
      <c r="A197" t="s">
        <v>490</v>
      </c>
      <c r="C197" s="3" t="str">
        <f>HYPERLINK("http://amigo.geneontology.org/amigo/term/GO:0050664","GO:0050664")</f>
        <v>GO:0050664</v>
      </c>
      <c r="D197" t="s">
        <v>4320</v>
      </c>
      <c r="E197">
        <v>42</v>
      </c>
      <c r="F197">
        <v>4</v>
      </c>
      <c r="G197">
        <v>6.5213032278511702E-3</v>
      </c>
      <c r="H197">
        <v>0.156511277468428</v>
      </c>
      <c r="I197" t="s">
        <v>4321</v>
      </c>
    </row>
    <row r="198" spans="1:9" x14ac:dyDescent="0.25">
      <c r="A198" t="s">
        <v>493</v>
      </c>
      <c r="C198" s="3" t="str">
        <f>HYPERLINK("http://amigo.geneontology.org/amigo/term/GO:0015108","GO:0015108")</f>
        <v>GO:0015108</v>
      </c>
      <c r="D198" t="s">
        <v>1520</v>
      </c>
      <c r="E198">
        <v>42</v>
      </c>
      <c r="F198">
        <v>4</v>
      </c>
      <c r="G198">
        <v>6.5213032278511702E-3</v>
      </c>
      <c r="H198">
        <v>0.156511277468428</v>
      </c>
      <c r="I198" t="s">
        <v>4322</v>
      </c>
    </row>
    <row r="199" spans="1:9" x14ac:dyDescent="0.25">
      <c r="A199" t="s">
        <v>3</v>
      </c>
      <c r="C199" s="3" t="str">
        <f>HYPERLINK("http://amigo.geneontology.org/amigo/term/GO:0004448","GO:0004448")</f>
        <v>GO:0004448</v>
      </c>
      <c r="D199" t="s">
        <v>1385</v>
      </c>
      <c r="E199">
        <v>22</v>
      </c>
      <c r="F199">
        <v>3</v>
      </c>
      <c r="G199">
        <v>6.71765979635353E-3</v>
      </c>
      <c r="H199">
        <v>0.15450617531613101</v>
      </c>
      <c r="I199" t="s">
        <v>1023</v>
      </c>
    </row>
    <row r="200" spans="1:9" x14ac:dyDescent="0.25">
      <c r="A200" t="s">
        <v>496</v>
      </c>
      <c r="C200" s="3" t="str">
        <f>HYPERLINK("http://amigo.geneontology.org/amigo/term/GO:0051275","GO:0051275")</f>
        <v>GO:0051275</v>
      </c>
      <c r="D200" t="s">
        <v>4323</v>
      </c>
      <c r="E200">
        <v>22</v>
      </c>
      <c r="F200">
        <v>3</v>
      </c>
      <c r="G200">
        <v>6.71765979635353E-3</v>
      </c>
      <c r="H200">
        <v>0.15450617531613101</v>
      </c>
      <c r="I200" t="s">
        <v>4297</v>
      </c>
    </row>
    <row r="201" spans="1:9" x14ac:dyDescent="0.25">
      <c r="A201" t="s">
        <v>4324</v>
      </c>
      <c r="C201" s="3" t="str">
        <f>HYPERLINK("http://amigo.geneontology.org/amigo/term/GO:0030245","GO:0030245")</f>
        <v>GO:0030245</v>
      </c>
      <c r="D201" t="s">
        <v>4325</v>
      </c>
      <c r="E201">
        <v>22</v>
      </c>
      <c r="F201">
        <v>3</v>
      </c>
      <c r="G201">
        <v>6.71765979635353E-3</v>
      </c>
      <c r="H201">
        <v>0.161223835112484</v>
      </c>
      <c r="I201" t="s">
        <v>4297</v>
      </c>
    </row>
    <row r="202" spans="1:9" x14ac:dyDescent="0.25">
      <c r="A202" t="s">
        <v>498</v>
      </c>
      <c r="C202" s="3" t="str">
        <f>HYPERLINK("http://amigo.geneontology.org/amigo/term/GO:0022832","GO:0022832")</f>
        <v>GO:0022832</v>
      </c>
      <c r="D202" t="s">
        <v>373</v>
      </c>
      <c r="E202">
        <v>124</v>
      </c>
      <c r="F202">
        <v>7</v>
      </c>
      <c r="G202">
        <v>6.92095611018545E-3</v>
      </c>
      <c r="H202">
        <v>0.15918199053426499</v>
      </c>
      <c r="I202" t="s">
        <v>4326</v>
      </c>
    </row>
    <row r="203" spans="1:9" x14ac:dyDescent="0.25">
      <c r="A203" t="s">
        <v>501</v>
      </c>
      <c r="C203" s="3" t="str">
        <f>HYPERLINK("http://amigo.geneontology.org/amigo/term/GO:0005244","GO:0005244")</f>
        <v>GO:0005244</v>
      </c>
      <c r="D203" t="s">
        <v>376</v>
      </c>
      <c r="E203">
        <v>124</v>
      </c>
      <c r="F203">
        <v>7</v>
      </c>
      <c r="G203">
        <v>6.92095611018545E-3</v>
      </c>
      <c r="H203">
        <v>0.15918199053426499</v>
      </c>
      <c r="I203" t="s">
        <v>4326</v>
      </c>
    </row>
    <row r="204" spans="1:9" x14ac:dyDescent="0.25">
      <c r="A204" t="s">
        <v>503</v>
      </c>
      <c r="C204" s="3" t="str">
        <f>HYPERLINK("http://amigo.geneontology.org/amigo/term/GO:0071704","GO:0071704")</f>
        <v>GO:0071704</v>
      </c>
      <c r="D204" t="s">
        <v>472</v>
      </c>
      <c r="E204">
        <v>24369</v>
      </c>
      <c r="F204">
        <v>476</v>
      </c>
      <c r="G204">
        <v>7.1834929849176402E-3</v>
      </c>
      <c r="H204">
        <v>0.16522033865310501</v>
      </c>
      <c r="I204" t="s">
        <v>4327</v>
      </c>
    </row>
    <row r="205" spans="1:9" x14ac:dyDescent="0.25">
      <c r="A205" t="s">
        <v>4328</v>
      </c>
      <c r="C205" s="3" t="str">
        <f>HYPERLINK("http://amigo.geneontology.org/amigo/term/GO:0019842","GO:0019842")</f>
        <v>GO:0019842</v>
      </c>
      <c r="D205" t="s">
        <v>4329</v>
      </c>
      <c r="E205">
        <v>448</v>
      </c>
      <c r="F205">
        <v>16</v>
      </c>
      <c r="G205">
        <v>7.2393624438488501E-3</v>
      </c>
      <c r="H205">
        <v>0.16650533620852301</v>
      </c>
      <c r="I205" t="s">
        <v>4330</v>
      </c>
    </row>
    <row r="206" spans="1:9" x14ac:dyDescent="0.25">
      <c r="A206" t="s">
        <v>506</v>
      </c>
      <c r="C206" s="3" t="str">
        <f>HYPERLINK("http://amigo.geneontology.org/amigo/term/GO:0005086","GO:0005086")</f>
        <v>GO:0005086</v>
      </c>
      <c r="D206" t="s">
        <v>1496</v>
      </c>
      <c r="E206">
        <v>24</v>
      </c>
      <c r="F206">
        <v>3</v>
      </c>
      <c r="G206">
        <v>8.5995710808746302E-3</v>
      </c>
      <c r="H206">
        <v>0.18919056377924201</v>
      </c>
      <c r="I206" t="s">
        <v>1497</v>
      </c>
    </row>
    <row r="207" spans="1:9" x14ac:dyDescent="0.25">
      <c r="A207" t="s">
        <v>4331</v>
      </c>
      <c r="C207" s="3" t="str">
        <f>HYPERLINK("http://amigo.geneontology.org/amigo/term/GO:0051056","GO:0051056")</f>
        <v>GO:0051056</v>
      </c>
      <c r="D207" t="s">
        <v>1499</v>
      </c>
      <c r="E207">
        <v>24</v>
      </c>
      <c r="F207">
        <v>3</v>
      </c>
      <c r="G207">
        <v>8.5995710808746302E-3</v>
      </c>
      <c r="H207">
        <v>0.18919056377924201</v>
      </c>
      <c r="I207" t="s">
        <v>1497</v>
      </c>
    </row>
    <row r="208" spans="1:9" x14ac:dyDescent="0.25">
      <c r="A208" t="s">
        <v>509</v>
      </c>
      <c r="C208" s="3" t="str">
        <f>HYPERLINK("http://amigo.geneontology.org/amigo/term/GO:0046578","GO:0046578")</f>
        <v>GO:0046578</v>
      </c>
      <c r="D208" t="s">
        <v>1501</v>
      </c>
      <c r="E208">
        <v>24</v>
      </c>
      <c r="F208">
        <v>3</v>
      </c>
      <c r="G208">
        <v>8.5995710808746302E-3</v>
      </c>
      <c r="H208">
        <v>0.19779013486011601</v>
      </c>
      <c r="I208" t="s">
        <v>1497</v>
      </c>
    </row>
    <row r="209" spans="1:9" x14ac:dyDescent="0.25">
      <c r="A209" t="s">
        <v>512</v>
      </c>
      <c r="C209" s="3" t="str">
        <f>HYPERLINK("http://amigo.geneontology.org/amigo/term/GO:0032012","GO:0032012")</f>
        <v>GO:0032012</v>
      </c>
      <c r="D209" t="s">
        <v>1503</v>
      </c>
      <c r="E209">
        <v>24</v>
      </c>
      <c r="F209">
        <v>3</v>
      </c>
      <c r="G209">
        <v>8.5995710808746302E-3</v>
      </c>
      <c r="H209">
        <v>0.19779013486011601</v>
      </c>
      <c r="I209" t="s">
        <v>1497</v>
      </c>
    </row>
    <row r="210" spans="1:9" x14ac:dyDescent="0.25">
      <c r="A210" t="s">
        <v>515</v>
      </c>
      <c r="C210" s="3" t="str">
        <f>HYPERLINK("http://amigo.geneontology.org/amigo/term/GO:0044042","GO:0044042")</f>
        <v>GO:0044042</v>
      </c>
      <c r="D210" t="s">
        <v>365</v>
      </c>
      <c r="E210">
        <v>620</v>
      </c>
      <c r="F210">
        <v>20</v>
      </c>
      <c r="G210">
        <v>8.6646401010419104E-3</v>
      </c>
      <c r="H210">
        <v>0.19062208222292201</v>
      </c>
      <c r="I210" t="s">
        <v>4332</v>
      </c>
    </row>
    <row r="211" spans="1:9" x14ac:dyDescent="0.25">
      <c r="A211" t="s">
        <v>518</v>
      </c>
      <c r="C211" s="3" t="str">
        <f>HYPERLINK("http://amigo.geneontology.org/amigo/term/GO:0006073","GO:0006073")</f>
        <v>GO:0006073</v>
      </c>
      <c r="D211" t="s">
        <v>368</v>
      </c>
      <c r="E211">
        <v>620</v>
      </c>
      <c r="F211">
        <v>20</v>
      </c>
      <c r="G211">
        <v>8.6646401010419104E-3</v>
      </c>
      <c r="H211">
        <v>0.19062208222292201</v>
      </c>
      <c r="I211" t="s">
        <v>4332</v>
      </c>
    </row>
    <row r="212" spans="1:9" x14ac:dyDescent="0.25">
      <c r="A212" t="s">
        <v>520</v>
      </c>
      <c r="C212" s="3" t="str">
        <f>HYPERLINK("http://amigo.geneontology.org/amigo/term/GO:0009142","GO:0009142")</f>
        <v>GO:0009142</v>
      </c>
      <c r="D212" t="s">
        <v>1513</v>
      </c>
      <c r="E212">
        <v>500</v>
      </c>
      <c r="F212">
        <v>17</v>
      </c>
      <c r="G212">
        <v>9.1402480888288298E-3</v>
      </c>
      <c r="H212">
        <v>0.20108545795423399</v>
      </c>
      <c r="I212" t="s">
        <v>4317</v>
      </c>
    </row>
    <row r="213" spans="1:9" x14ac:dyDescent="0.25">
      <c r="A213" t="s">
        <v>4333</v>
      </c>
      <c r="C213" s="3" t="str">
        <f>HYPERLINK("http://amigo.geneontology.org/amigo/term/GO:0009201","GO:0009201")</f>
        <v>GO:0009201</v>
      </c>
      <c r="D213" t="s">
        <v>1515</v>
      </c>
      <c r="E213">
        <v>500</v>
      </c>
      <c r="F213">
        <v>17</v>
      </c>
      <c r="G213">
        <v>9.1402480888288298E-3</v>
      </c>
      <c r="H213">
        <v>0.20108545795423399</v>
      </c>
      <c r="I213" t="s">
        <v>4317</v>
      </c>
    </row>
    <row r="214" spans="1:9" x14ac:dyDescent="0.25">
      <c r="A214" t="s">
        <v>522</v>
      </c>
      <c r="C214" s="3" t="str">
        <f>HYPERLINK("http://amigo.geneontology.org/amigo/term/GO:0005092","GO:0005092")</f>
        <v>GO:0005092</v>
      </c>
      <c r="D214" t="s">
        <v>658</v>
      </c>
      <c r="E214">
        <v>25</v>
      </c>
      <c r="F214">
        <v>3</v>
      </c>
      <c r="G214">
        <v>9.6446595018459293E-3</v>
      </c>
      <c r="H214">
        <v>0.21218250904061001</v>
      </c>
      <c r="I214" t="s">
        <v>944</v>
      </c>
    </row>
    <row r="215" spans="1:9" x14ac:dyDescent="0.25">
      <c r="A215" t="s">
        <v>525</v>
      </c>
      <c r="C215" s="3" t="str">
        <f>HYPERLINK("http://amigo.geneontology.org/amigo/term/GO:1901070","GO:1901070")</f>
        <v>GO:1901070</v>
      </c>
      <c r="D215" t="s">
        <v>1526</v>
      </c>
      <c r="E215">
        <v>25</v>
      </c>
      <c r="F215">
        <v>3</v>
      </c>
      <c r="G215">
        <v>9.6446595018459293E-3</v>
      </c>
      <c r="H215">
        <v>0.21218250904061001</v>
      </c>
      <c r="I215" t="s">
        <v>1218</v>
      </c>
    </row>
    <row r="216" spans="1:9" x14ac:dyDescent="0.25">
      <c r="A216" t="s">
        <v>528</v>
      </c>
      <c r="C216" s="3" t="str">
        <f>HYPERLINK("http://amigo.geneontology.org/amigo/term/GO:0019400","GO:0019400")</f>
        <v>GO:0019400</v>
      </c>
      <c r="D216" t="s">
        <v>958</v>
      </c>
      <c r="E216">
        <v>47</v>
      </c>
      <c r="F216">
        <v>4</v>
      </c>
      <c r="G216">
        <v>9.6927986663402493E-3</v>
      </c>
      <c r="H216">
        <v>0.203548771993145</v>
      </c>
      <c r="I216" t="s">
        <v>4298</v>
      </c>
    </row>
    <row r="217" spans="1:9" x14ac:dyDescent="0.25">
      <c r="A217" t="s">
        <v>531</v>
      </c>
      <c r="C217" s="3" t="str">
        <f>HYPERLINK("http://amigo.geneontology.org/amigo/term/GO:0006071","GO:0006071")</f>
        <v>GO:0006071</v>
      </c>
      <c r="D217" t="s">
        <v>960</v>
      </c>
      <c r="E217">
        <v>47</v>
      </c>
      <c r="F217">
        <v>4</v>
      </c>
      <c r="G217">
        <v>9.6927986663402493E-3</v>
      </c>
      <c r="H217">
        <v>0.21324157065948501</v>
      </c>
      <c r="I217" t="s">
        <v>4298</v>
      </c>
    </row>
    <row r="218" spans="1:9" x14ac:dyDescent="0.25">
      <c r="A218" t="s">
        <v>534</v>
      </c>
      <c r="C218" s="3" t="str">
        <f>HYPERLINK("http://amigo.geneontology.org/amigo/term/GO:0016051","GO:0016051")</f>
        <v>GO:0016051</v>
      </c>
      <c r="D218" t="s">
        <v>4334</v>
      </c>
      <c r="E218">
        <v>798</v>
      </c>
      <c r="F218">
        <v>24</v>
      </c>
      <c r="G218">
        <v>9.8428433353998507E-3</v>
      </c>
      <c r="H218">
        <v>0.20669971004339599</v>
      </c>
      <c r="I218" t="s">
        <v>4335</v>
      </c>
    </row>
    <row r="219" spans="1:9" x14ac:dyDescent="0.25">
      <c r="A219" t="s">
        <v>537</v>
      </c>
      <c r="C219" s="3" t="str">
        <f>HYPERLINK("http://amigo.geneontology.org/amigo/term/GO:0006021","GO:0006021")</f>
        <v>GO:0006021</v>
      </c>
      <c r="D219" t="s">
        <v>4336</v>
      </c>
      <c r="E219">
        <v>9</v>
      </c>
      <c r="F219">
        <v>2</v>
      </c>
      <c r="G219">
        <v>1.04747868858157E-2</v>
      </c>
      <c r="H219">
        <v>0.21997052460213001</v>
      </c>
      <c r="I219" t="s">
        <v>4235</v>
      </c>
    </row>
    <row r="220" spans="1:9" x14ac:dyDescent="0.25">
      <c r="A220" t="s">
        <v>540</v>
      </c>
      <c r="C220" s="3" t="str">
        <f>HYPERLINK("http://amigo.geneontology.org/amigo/term/GO:0004420","GO:0004420")</f>
        <v>GO:0004420</v>
      </c>
      <c r="D220" t="s">
        <v>882</v>
      </c>
      <c r="E220">
        <v>9</v>
      </c>
      <c r="F220">
        <v>2</v>
      </c>
      <c r="G220">
        <v>1.04747868858157E-2</v>
      </c>
      <c r="H220">
        <v>0.21997052460213001</v>
      </c>
      <c r="I220" t="s">
        <v>4337</v>
      </c>
    </row>
    <row r="221" spans="1:9" x14ac:dyDescent="0.25">
      <c r="A221" t="s">
        <v>543</v>
      </c>
      <c r="C221" s="3" t="str">
        <f>HYPERLINK("http://amigo.geneontology.org/amigo/term/GO:0009846","GO:0009846")</f>
        <v>GO:0009846</v>
      </c>
      <c r="D221" t="s">
        <v>836</v>
      </c>
      <c r="E221">
        <v>27</v>
      </c>
      <c r="F221">
        <v>3</v>
      </c>
      <c r="G221">
        <v>1.19477779216196E-2</v>
      </c>
      <c r="H221">
        <v>0.25090333635401202</v>
      </c>
      <c r="I221" t="s">
        <v>4338</v>
      </c>
    </row>
    <row r="222" spans="1:9" x14ac:dyDescent="0.25">
      <c r="A222" t="s">
        <v>4339</v>
      </c>
      <c r="C222" s="3" t="str">
        <f>HYPERLINK("http://amigo.geneontology.org/amigo/term/GO:0010393","GO:0010393")</f>
        <v>GO:0010393</v>
      </c>
      <c r="D222" t="s">
        <v>786</v>
      </c>
      <c r="E222">
        <v>77</v>
      </c>
      <c r="F222">
        <v>5</v>
      </c>
      <c r="G222">
        <v>1.2171111283768099E-2</v>
      </c>
      <c r="H222">
        <v>0.255593336959132</v>
      </c>
      <c r="I222" t="s">
        <v>4217</v>
      </c>
    </row>
    <row r="223" spans="1:9" x14ac:dyDescent="0.25">
      <c r="A223" t="s">
        <v>546</v>
      </c>
      <c r="C223" s="3" t="str">
        <f>HYPERLINK("http://amigo.geneontology.org/amigo/term/GO:0045488","GO:0045488")</f>
        <v>GO:0045488</v>
      </c>
      <c r="D223" t="s">
        <v>789</v>
      </c>
      <c r="E223">
        <v>77</v>
      </c>
      <c r="F223">
        <v>5</v>
      </c>
      <c r="G223">
        <v>1.2171111283768099E-2</v>
      </c>
      <c r="H223">
        <v>0.255593336959132</v>
      </c>
      <c r="I223" t="s">
        <v>4217</v>
      </c>
    </row>
    <row r="224" spans="1:9" x14ac:dyDescent="0.25">
      <c r="A224" t="s">
        <v>4340</v>
      </c>
      <c r="C224" s="3" t="str">
        <f>HYPERLINK("http://amigo.geneontology.org/amigo/term/GO:0030243","GO:0030243")</f>
        <v>GO:0030243</v>
      </c>
      <c r="D224" t="s">
        <v>1041</v>
      </c>
      <c r="E224">
        <v>207</v>
      </c>
      <c r="F224">
        <v>9</v>
      </c>
      <c r="G224">
        <v>1.2395295605671E-2</v>
      </c>
      <c r="H224">
        <v>0.26030120771909199</v>
      </c>
      <c r="I224" t="s">
        <v>4341</v>
      </c>
    </row>
    <row r="225" spans="1:9" x14ac:dyDescent="0.25">
      <c r="A225" t="s">
        <v>548</v>
      </c>
      <c r="C225" s="3" t="str">
        <f>HYPERLINK("http://amigo.geneontology.org/amigo/term/GO:0005249","GO:0005249")</f>
        <v>GO:0005249</v>
      </c>
      <c r="D225" t="s">
        <v>279</v>
      </c>
      <c r="E225">
        <v>51</v>
      </c>
      <c r="F225">
        <v>4</v>
      </c>
      <c r="G225">
        <v>1.2846430236521199E-2</v>
      </c>
      <c r="H225">
        <v>0.26977503496694499</v>
      </c>
      <c r="I225" t="s">
        <v>4342</v>
      </c>
    </row>
    <row r="226" spans="1:9" x14ac:dyDescent="0.25">
      <c r="A226" t="s">
        <v>551</v>
      </c>
      <c r="C226" s="3" t="str">
        <f>HYPERLINK("http://amigo.geneontology.org/amigo/term/GO:0071944","GO:0071944")</f>
        <v>GO:0071944</v>
      </c>
      <c r="D226" t="s">
        <v>255</v>
      </c>
      <c r="E226">
        <v>1732</v>
      </c>
      <c r="F226">
        <v>44</v>
      </c>
      <c r="G226">
        <v>1.29267960728786E-2</v>
      </c>
      <c r="H226">
        <v>0.27146271753044998</v>
      </c>
      <c r="I226" t="s">
        <v>4343</v>
      </c>
    </row>
    <row r="227" spans="1:9" x14ac:dyDescent="0.25">
      <c r="A227" t="s">
        <v>553</v>
      </c>
      <c r="C227" s="3" t="str">
        <f>HYPERLINK("http://amigo.geneontology.org/amigo/term/GO:0016837","GO:0016837")</f>
        <v>GO:0016837</v>
      </c>
      <c r="D227" t="s">
        <v>554</v>
      </c>
      <c r="E227">
        <v>10</v>
      </c>
      <c r="F227">
        <v>2</v>
      </c>
      <c r="G227">
        <v>1.29400707659922E-2</v>
      </c>
      <c r="H227">
        <v>0.25880141531984402</v>
      </c>
      <c r="I227" t="s">
        <v>4344</v>
      </c>
    </row>
    <row r="228" spans="1:9" x14ac:dyDescent="0.25">
      <c r="A228" t="s">
        <v>556</v>
      </c>
      <c r="C228" s="3" t="str">
        <f>HYPERLINK("http://amigo.geneontology.org/amigo/term/GO:0030570","GO:0030570")</f>
        <v>GO:0030570</v>
      </c>
      <c r="D228" t="s">
        <v>557</v>
      </c>
      <c r="E228">
        <v>10</v>
      </c>
      <c r="F228">
        <v>2</v>
      </c>
      <c r="G228">
        <v>1.29400707659922E-2</v>
      </c>
      <c r="H228">
        <v>0.25880141531984402</v>
      </c>
      <c r="I228" t="s">
        <v>4344</v>
      </c>
    </row>
    <row r="229" spans="1:9" x14ac:dyDescent="0.25">
      <c r="A229" t="s">
        <v>558</v>
      </c>
      <c r="C229" s="3" t="str">
        <f>HYPERLINK("http://amigo.geneontology.org/amigo/term/GO:0008378","GO:0008378")</f>
        <v>GO:0008378</v>
      </c>
      <c r="D229" t="s">
        <v>4345</v>
      </c>
      <c r="E229">
        <v>109</v>
      </c>
      <c r="F229">
        <v>6</v>
      </c>
      <c r="G229">
        <v>1.3495161497520201E-2</v>
      </c>
      <c r="H229">
        <v>0.269903229950404</v>
      </c>
      <c r="I229" t="s">
        <v>4346</v>
      </c>
    </row>
    <row r="230" spans="1:9" x14ac:dyDescent="0.25">
      <c r="A230" t="s">
        <v>561</v>
      </c>
      <c r="C230" s="3" t="str">
        <f>HYPERLINK("http://amigo.geneontology.org/amigo/term/GO:0022843","GO:0022843")</f>
        <v>GO:0022843</v>
      </c>
      <c r="D230" t="s">
        <v>282</v>
      </c>
      <c r="E230">
        <v>52</v>
      </c>
      <c r="F230">
        <v>4</v>
      </c>
      <c r="G230">
        <v>1.3725377480065399E-2</v>
      </c>
      <c r="H230">
        <v>0.27450754960130902</v>
      </c>
      <c r="I230" t="s">
        <v>4342</v>
      </c>
    </row>
    <row r="231" spans="1:9" x14ac:dyDescent="0.25">
      <c r="A231" t="s">
        <v>4347</v>
      </c>
      <c r="C231" s="3" t="str">
        <f>HYPERLINK("http://amigo.geneontology.org/amigo/term/GO:0006596","GO:0006596")</f>
        <v>GO:0006596</v>
      </c>
      <c r="D231" t="s">
        <v>1309</v>
      </c>
      <c r="E231">
        <v>52</v>
      </c>
      <c r="F231">
        <v>4</v>
      </c>
      <c r="G231">
        <v>1.3725377480065399E-2</v>
      </c>
      <c r="H231">
        <v>0.27450754960130902</v>
      </c>
      <c r="I231" t="s">
        <v>4348</v>
      </c>
    </row>
    <row r="232" spans="1:9" x14ac:dyDescent="0.25">
      <c r="A232" t="s">
        <v>4349</v>
      </c>
      <c r="C232" s="3" t="str">
        <f>HYPERLINK("http://amigo.geneontology.org/amigo/term/GO:0016866","GO:0016866")</f>
        <v>GO:0016866</v>
      </c>
      <c r="D232" t="s">
        <v>4350</v>
      </c>
      <c r="E232">
        <v>176</v>
      </c>
      <c r="F232">
        <v>8</v>
      </c>
      <c r="G232">
        <v>1.3993872678363301E-2</v>
      </c>
      <c r="H232">
        <v>0.27987745356726601</v>
      </c>
      <c r="I232" t="s">
        <v>4351</v>
      </c>
    </row>
    <row r="233" spans="1:9" x14ac:dyDescent="0.25">
      <c r="A233" t="s">
        <v>4352</v>
      </c>
      <c r="C233" s="3" t="str">
        <f>HYPERLINK("http://amigo.geneontology.org/amigo/term/GO:0009986","GO:0009986")</f>
        <v>GO:0009986</v>
      </c>
      <c r="D233" t="s">
        <v>1538</v>
      </c>
      <c r="E233">
        <v>11</v>
      </c>
      <c r="F233">
        <v>2</v>
      </c>
      <c r="G233">
        <v>1.5630617760588099E-2</v>
      </c>
      <c r="H233">
        <v>0.31261235521176201</v>
      </c>
      <c r="I233" t="s">
        <v>895</v>
      </c>
    </row>
    <row r="234" spans="1:9" x14ac:dyDescent="0.25">
      <c r="A234" t="s">
        <v>4353</v>
      </c>
      <c r="C234" s="3" t="str">
        <f>HYPERLINK("http://amigo.geneontology.org/amigo/term/GO:0008171","GO:0008171")</f>
        <v>GO:0008171</v>
      </c>
      <c r="D234" t="s">
        <v>95</v>
      </c>
      <c r="E234">
        <v>216</v>
      </c>
      <c r="F234">
        <v>9</v>
      </c>
      <c r="G234">
        <v>1.5948844421826501E-2</v>
      </c>
      <c r="H234">
        <v>0.31897688843652999</v>
      </c>
      <c r="I234" t="s">
        <v>4354</v>
      </c>
    </row>
    <row r="235" spans="1:9" x14ac:dyDescent="0.25">
      <c r="A235" t="s">
        <v>4355</v>
      </c>
      <c r="C235" s="3" t="str">
        <f>HYPERLINK("http://amigo.geneontology.org/amigo/term/GO:0016903","GO:0016903")</f>
        <v>GO:0016903</v>
      </c>
      <c r="D235" t="s">
        <v>992</v>
      </c>
      <c r="E235">
        <v>182</v>
      </c>
      <c r="F235">
        <v>8</v>
      </c>
      <c r="G235">
        <v>1.67943491461892E-2</v>
      </c>
      <c r="H235">
        <v>0.33588698292378499</v>
      </c>
      <c r="I235" t="s">
        <v>4316</v>
      </c>
    </row>
    <row r="236" spans="1:9" x14ac:dyDescent="0.25">
      <c r="A236" t="s">
        <v>563</v>
      </c>
      <c r="C236" s="3" t="str">
        <f>HYPERLINK("http://amigo.geneontology.org/amigo/term/GO:0009827","GO:0009827")</f>
        <v>GO:0009827</v>
      </c>
      <c r="D236" t="s">
        <v>466</v>
      </c>
      <c r="E236">
        <v>31</v>
      </c>
      <c r="F236">
        <v>3</v>
      </c>
      <c r="G236">
        <v>1.7424583470264699E-2</v>
      </c>
      <c r="H236">
        <v>0.33106708593503098</v>
      </c>
      <c r="I236" t="s">
        <v>4356</v>
      </c>
    </row>
    <row r="237" spans="1:9" x14ac:dyDescent="0.25">
      <c r="A237" t="s">
        <v>4357</v>
      </c>
      <c r="C237" s="3" t="str">
        <f>HYPERLINK("http://amigo.geneontology.org/amigo/term/GO:0008216","GO:0008216")</f>
        <v>GO:0008216</v>
      </c>
      <c r="D237" t="s">
        <v>4358</v>
      </c>
      <c r="E237">
        <v>31</v>
      </c>
      <c r="F237">
        <v>3</v>
      </c>
      <c r="G237">
        <v>1.7424583470264699E-2</v>
      </c>
      <c r="H237">
        <v>0.33106708593503098</v>
      </c>
      <c r="I237" t="s">
        <v>1032</v>
      </c>
    </row>
    <row r="238" spans="1:9" x14ac:dyDescent="0.25">
      <c r="A238" t="s">
        <v>4359</v>
      </c>
      <c r="C238" s="3" t="str">
        <f>HYPERLINK("http://amigo.geneontology.org/amigo/term/GO:0008295","GO:0008295")</f>
        <v>GO:0008295</v>
      </c>
      <c r="D238" t="s">
        <v>4360</v>
      </c>
      <c r="E238">
        <v>31</v>
      </c>
      <c r="F238">
        <v>3</v>
      </c>
      <c r="G238">
        <v>1.7424583470264699E-2</v>
      </c>
      <c r="H238">
        <v>0.34849166940529502</v>
      </c>
      <c r="I238" t="s">
        <v>1032</v>
      </c>
    </row>
    <row r="239" spans="1:9" x14ac:dyDescent="0.25">
      <c r="A239" t="s">
        <v>566</v>
      </c>
      <c r="C239" s="3" t="str">
        <f>HYPERLINK("http://amigo.geneontology.org/amigo/term/GO:0008146","GO:0008146")</f>
        <v>GO:0008146</v>
      </c>
      <c r="D239" t="s">
        <v>4361</v>
      </c>
      <c r="E239">
        <v>149</v>
      </c>
      <c r="F239">
        <v>7</v>
      </c>
      <c r="G239">
        <v>1.7707719895998002E-2</v>
      </c>
      <c r="H239">
        <v>0.336446678023963</v>
      </c>
      <c r="I239" t="s">
        <v>4362</v>
      </c>
    </row>
    <row r="240" spans="1:9" x14ac:dyDescent="0.25">
      <c r="A240" t="s">
        <v>569</v>
      </c>
      <c r="C240" s="3" t="str">
        <f>HYPERLINK("http://amigo.geneontology.org/amigo/term/GO:0009593","GO:0009593")</f>
        <v>GO:0009593</v>
      </c>
      <c r="D240" t="s">
        <v>4363</v>
      </c>
      <c r="E240">
        <v>1</v>
      </c>
      <c r="F240">
        <v>1</v>
      </c>
      <c r="G240">
        <v>1.7786945860691201E-2</v>
      </c>
      <c r="H240">
        <v>0.33795197135313298</v>
      </c>
      <c r="I240" t="s">
        <v>4364</v>
      </c>
    </row>
    <row r="241" spans="1:9" x14ac:dyDescent="0.25">
      <c r="A241" t="s">
        <v>572</v>
      </c>
      <c r="C241" s="3" t="str">
        <f>HYPERLINK("http://amigo.geneontology.org/amigo/term/GO:0009726","GO:0009726")</f>
        <v>GO:0009726</v>
      </c>
      <c r="D241" t="s">
        <v>4365</v>
      </c>
      <c r="E241">
        <v>1</v>
      </c>
      <c r="F241">
        <v>1</v>
      </c>
      <c r="G241">
        <v>1.7786945860691201E-2</v>
      </c>
      <c r="H241">
        <v>0.33795197135313298</v>
      </c>
      <c r="I241" t="s">
        <v>4364</v>
      </c>
    </row>
    <row r="242" spans="1:9" x14ac:dyDescent="0.25">
      <c r="A242" t="s">
        <v>575</v>
      </c>
      <c r="C242" s="3" t="str">
        <f>HYPERLINK("http://amigo.geneontology.org/amigo/term/GO:0009720","GO:0009720")</f>
        <v>GO:0009720</v>
      </c>
      <c r="D242" t="s">
        <v>4366</v>
      </c>
      <c r="E242">
        <v>1</v>
      </c>
      <c r="F242">
        <v>1</v>
      </c>
      <c r="G242">
        <v>1.7786945860691201E-2</v>
      </c>
      <c r="H242">
        <v>0.33795197135313298</v>
      </c>
      <c r="I242" t="s">
        <v>4364</v>
      </c>
    </row>
    <row r="243" spans="1:9" x14ac:dyDescent="0.25">
      <c r="A243" t="s">
        <v>578</v>
      </c>
      <c r="C243" s="3" t="str">
        <f>HYPERLINK("http://amigo.geneontology.org/amigo/term/GO:0009729","GO:0009729")</f>
        <v>GO:0009729</v>
      </c>
      <c r="D243" t="s">
        <v>4367</v>
      </c>
      <c r="E243">
        <v>1</v>
      </c>
      <c r="F243">
        <v>1</v>
      </c>
      <c r="G243">
        <v>1.7786945860691201E-2</v>
      </c>
      <c r="H243">
        <v>0.33795197135313298</v>
      </c>
      <c r="I243" t="s">
        <v>4364</v>
      </c>
    </row>
    <row r="244" spans="1:9" x14ac:dyDescent="0.25">
      <c r="A244" t="s">
        <v>580</v>
      </c>
      <c r="C244" s="3" t="str">
        <f>HYPERLINK("http://amigo.geneontology.org/amigo/term/GO:0001673","GO:0001673")</f>
        <v>GO:0001673</v>
      </c>
      <c r="D244" t="s">
        <v>4368</v>
      </c>
      <c r="E244">
        <v>1</v>
      </c>
      <c r="F244">
        <v>1</v>
      </c>
      <c r="G244">
        <v>1.7786945860691201E-2</v>
      </c>
      <c r="H244">
        <v>0.33795197135313298</v>
      </c>
      <c r="I244" t="s">
        <v>4369</v>
      </c>
    </row>
    <row r="245" spans="1:9" x14ac:dyDescent="0.25">
      <c r="A245" t="s">
        <v>582</v>
      </c>
      <c r="C245" s="3" t="str">
        <f>HYPERLINK("http://amigo.geneontology.org/amigo/term/GO:0042351","GO:0042351")</f>
        <v>GO:0042351</v>
      </c>
      <c r="D245" t="s">
        <v>1443</v>
      </c>
      <c r="E245">
        <v>1</v>
      </c>
      <c r="F245">
        <v>1</v>
      </c>
      <c r="G245">
        <v>1.7786945860691201E-2</v>
      </c>
      <c r="H245">
        <v>0.33795197135313298</v>
      </c>
      <c r="I245" t="s">
        <v>1444</v>
      </c>
    </row>
    <row r="246" spans="1:9" x14ac:dyDescent="0.25">
      <c r="A246" t="s">
        <v>585</v>
      </c>
      <c r="C246" s="3" t="str">
        <f>HYPERLINK("http://amigo.geneontology.org/amigo/term/GO:0050577","GO:0050577")</f>
        <v>GO:0050577</v>
      </c>
      <c r="D246" t="s">
        <v>1446</v>
      </c>
      <c r="E246">
        <v>1</v>
      </c>
      <c r="F246">
        <v>1</v>
      </c>
      <c r="G246">
        <v>1.7786945860691201E-2</v>
      </c>
      <c r="H246">
        <v>0.33795197135313298</v>
      </c>
      <c r="I246" t="s">
        <v>1444</v>
      </c>
    </row>
    <row r="247" spans="1:9" x14ac:dyDescent="0.25">
      <c r="A247" t="s">
        <v>587</v>
      </c>
      <c r="C247" s="3" t="str">
        <f>HYPERLINK("http://amigo.geneontology.org/amigo/term/GO:0043667","GO:0043667")</f>
        <v>GO:0043667</v>
      </c>
      <c r="D247" t="s">
        <v>1448</v>
      </c>
      <c r="E247">
        <v>1</v>
      </c>
      <c r="F247">
        <v>1</v>
      </c>
      <c r="G247">
        <v>1.7786945860691201E-2</v>
      </c>
      <c r="H247">
        <v>0.33795197135313298</v>
      </c>
      <c r="I247" t="s">
        <v>1449</v>
      </c>
    </row>
    <row r="248" spans="1:9" x14ac:dyDescent="0.25">
      <c r="A248" t="s">
        <v>4370</v>
      </c>
      <c r="C248" s="3" t="str">
        <f>HYPERLINK("http://amigo.geneontology.org/amigo/term/GO:0043668","GO:0043668")</f>
        <v>GO:0043668</v>
      </c>
      <c r="D248" t="s">
        <v>1451</v>
      </c>
      <c r="E248">
        <v>1</v>
      </c>
      <c r="F248">
        <v>1</v>
      </c>
      <c r="G248">
        <v>1.7786945860691201E-2</v>
      </c>
      <c r="H248">
        <v>0.33795197135313298</v>
      </c>
      <c r="I248" t="s">
        <v>1449</v>
      </c>
    </row>
    <row r="249" spans="1:9" x14ac:dyDescent="0.25">
      <c r="A249" t="s">
        <v>590</v>
      </c>
      <c r="C249" s="3" t="str">
        <f>HYPERLINK("http://amigo.geneontology.org/amigo/term/GO:0046271","GO:0046271")</f>
        <v>GO:0046271</v>
      </c>
      <c r="D249" t="s">
        <v>1009</v>
      </c>
      <c r="E249">
        <v>85</v>
      </c>
      <c r="F249">
        <v>5</v>
      </c>
      <c r="G249">
        <v>1.8014882149408901E-2</v>
      </c>
      <c r="H249">
        <v>0.32426787868936102</v>
      </c>
      <c r="I249" t="s">
        <v>4371</v>
      </c>
    </row>
    <row r="250" spans="1:9" x14ac:dyDescent="0.25">
      <c r="A250" t="s">
        <v>4372</v>
      </c>
      <c r="C250" s="3" t="str">
        <f>HYPERLINK("http://amigo.geneontology.org/amigo/term/GO:0046274","GO:0046274")</f>
        <v>GO:0046274</v>
      </c>
      <c r="D250" t="s">
        <v>1012</v>
      </c>
      <c r="E250">
        <v>85</v>
      </c>
      <c r="F250">
        <v>5</v>
      </c>
      <c r="G250">
        <v>1.8014882149408901E-2</v>
      </c>
      <c r="H250">
        <v>0.32426787868936102</v>
      </c>
      <c r="I250" t="s">
        <v>4371</v>
      </c>
    </row>
    <row r="251" spans="1:9" x14ac:dyDescent="0.25">
      <c r="A251" t="s">
        <v>592</v>
      </c>
      <c r="C251" s="3" t="str">
        <f>HYPERLINK("http://amigo.geneontology.org/amigo/term/GO:0052716","GO:0052716")</f>
        <v>GO:0052716</v>
      </c>
      <c r="D251" t="s">
        <v>1014</v>
      </c>
      <c r="E251">
        <v>85</v>
      </c>
      <c r="F251">
        <v>5</v>
      </c>
      <c r="G251">
        <v>1.8014882149408901E-2</v>
      </c>
      <c r="H251">
        <v>0.32426787868936102</v>
      </c>
      <c r="I251" t="s">
        <v>4371</v>
      </c>
    </row>
    <row r="252" spans="1:9" x14ac:dyDescent="0.25">
      <c r="A252" t="s">
        <v>595</v>
      </c>
      <c r="C252" s="3" t="str">
        <f>HYPERLINK("http://amigo.geneontology.org/amigo/term/GO:0040034","GO:0040034")</f>
        <v>GO:0040034</v>
      </c>
      <c r="D252" t="s">
        <v>4373</v>
      </c>
      <c r="E252">
        <v>12</v>
      </c>
      <c r="F252">
        <v>2</v>
      </c>
      <c r="G252">
        <v>1.85376464699883E-2</v>
      </c>
      <c r="H252">
        <v>0.33367763645978998</v>
      </c>
      <c r="I252" t="s">
        <v>900</v>
      </c>
    </row>
    <row r="253" spans="1:9" x14ac:dyDescent="0.25">
      <c r="A253" t="s">
        <v>598</v>
      </c>
      <c r="C253" s="3" t="str">
        <f>HYPERLINK("http://amigo.geneontology.org/amigo/term/GO:0008083","GO:0008083")</f>
        <v>GO:0008083</v>
      </c>
      <c r="D253" t="s">
        <v>32</v>
      </c>
      <c r="E253">
        <v>12</v>
      </c>
      <c r="F253">
        <v>2</v>
      </c>
      <c r="G253">
        <v>1.85376464699883E-2</v>
      </c>
      <c r="H253">
        <v>0.33367763645978998</v>
      </c>
      <c r="I253" t="s">
        <v>4374</v>
      </c>
    </row>
    <row r="254" spans="1:9" x14ac:dyDescent="0.25">
      <c r="A254" t="s">
        <v>601</v>
      </c>
      <c r="C254" s="3" t="str">
        <f>HYPERLINK("http://amigo.geneontology.org/amigo/term/GO:0004144","GO:0004144")</f>
        <v>GO:0004144</v>
      </c>
      <c r="D254" t="s">
        <v>748</v>
      </c>
      <c r="E254">
        <v>57</v>
      </c>
      <c r="F254">
        <v>4</v>
      </c>
      <c r="G254">
        <v>1.8688166002187201E-2</v>
      </c>
      <c r="H254">
        <v>0.336386988039371</v>
      </c>
      <c r="I254" t="s">
        <v>4375</v>
      </c>
    </row>
    <row r="255" spans="1:9" x14ac:dyDescent="0.25">
      <c r="A255" t="s">
        <v>603</v>
      </c>
      <c r="C255" s="3" t="str">
        <f>HYPERLINK("http://amigo.geneontology.org/amigo/term/GO:0016668","GO:0016668")</f>
        <v>GO:0016668</v>
      </c>
      <c r="D255" t="s">
        <v>4376</v>
      </c>
      <c r="E255">
        <v>32</v>
      </c>
      <c r="F255">
        <v>3</v>
      </c>
      <c r="G255">
        <v>1.8977819016947301E-2</v>
      </c>
      <c r="H255">
        <v>0.341600742305051</v>
      </c>
      <c r="I255" t="s">
        <v>4226</v>
      </c>
    </row>
    <row r="256" spans="1:9" x14ac:dyDescent="0.25">
      <c r="A256" t="s">
        <v>605</v>
      </c>
      <c r="C256" s="3" t="str">
        <f>HYPERLINK("http://amigo.geneontology.org/amigo/term/GO:0003002","GO:0003002")</f>
        <v>GO:0003002</v>
      </c>
      <c r="D256" t="s">
        <v>1146</v>
      </c>
      <c r="E256">
        <v>118</v>
      </c>
      <c r="F256">
        <v>6</v>
      </c>
      <c r="G256">
        <v>1.9238882821135901E-2</v>
      </c>
      <c r="H256">
        <v>0.34629989078044698</v>
      </c>
      <c r="I256" t="s">
        <v>4377</v>
      </c>
    </row>
    <row r="257" spans="1:9" x14ac:dyDescent="0.25">
      <c r="A257" t="s">
        <v>4378</v>
      </c>
      <c r="C257" s="3" t="str">
        <f>HYPERLINK("http://amigo.geneontology.org/amigo/term/GO:0071365","GO:0071365")</f>
        <v>GO:0071365</v>
      </c>
      <c r="D257" t="s">
        <v>4379</v>
      </c>
      <c r="E257">
        <v>152</v>
      </c>
      <c r="F257">
        <v>7</v>
      </c>
      <c r="G257">
        <v>1.9522487054893501E-2</v>
      </c>
      <c r="H257">
        <v>0.35140476698808298</v>
      </c>
      <c r="I257" t="s">
        <v>4380</v>
      </c>
    </row>
    <row r="258" spans="1:9" x14ac:dyDescent="0.25">
      <c r="A258" t="s">
        <v>608</v>
      </c>
      <c r="C258" s="3" t="str">
        <f>HYPERLINK("http://amigo.geneontology.org/amigo/term/GO:0009734","GO:0009734")</f>
        <v>GO:0009734</v>
      </c>
      <c r="D258" t="s">
        <v>4381</v>
      </c>
      <c r="E258">
        <v>152</v>
      </c>
      <c r="F258">
        <v>7</v>
      </c>
      <c r="G258">
        <v>1.9522487054893501E-2</v>
      </c>
      <c r="H258">
        <v>0.35140476698808298</v>
      </c>
      <c r="I258" t="s">
        <v>4380</v>
      </c>
    </row>
    <row r="259" spans="1:9" x14ac:dyDescent="0.25">
      <c r="A259" t="s">
        <v>611</v>
      </c>
      <c r="C259" s="3" t="str">
        <f>HYPERLINK("http://amigo.geneontology.org/amigo/term/GO:0030145","GO:0030145")</f>
        <v>GO:0030145</v>
      </c>
      <c r="D259" t="s">
        <v>4382</v>
      </c>
      <c r="E259">
        <v>300</v>
      </c>
      <c r="F259">
        <v>11</v>
      </c>
      <c r="G259">
        <v>1.96361018092772E-2</v>
      </c>
      <c r="H259">
        <v>0.35344983256698898</v>
      </c>
      <c r="I259" t="s">
        <v>4383</v>
      </c>
    </row>
    <row r="260" spans="1:9" x14ac:dyDescent="0.25">
      <c r="A260" t="s">
        <v>4384</v>
      </c>
      <c r="C260" s="3" t="str">
        <f>HYPERLINK("http://amigo.geneontology.org/amigo/term/GO:0022839","GO:0022839")</f>
        <v>GO:0022839</v>
      </c>
      <c r="D260" t="s">
        <v>507</v>
      </c>
      <c r="E260">
        <v>224</v>
      </c>
      <c r="F260">
        <v>9</v>
      </c>
      <c r="G260">
        <v>1.9688962634536299E-2</v>
      </c>
      <c r="H260">
        <v>0.35440132742165298</v>
      </c>
      <c r="I260" t="s">
        <v>4385</v>
      </c>
    </row>
    <row r="261" spans="1:9" x14ac:dyDescent="0.25">
      <c r="A261" t="s">
        <v>4386</v>
      </c>
      <c r="C261" s="3" t="str">
        <f>HYPERLINK("http://amigo.geneontology.org/amigo/term/GO:0010584","GO:0010584")</f>
        <v>GO:0010584</v>
      </c>
      <c r="D261" t="s">
        <v>4387</v>
      </c>
      <c r="E261">
        <v>33</v>
      </c>
      <c r="F261">
        <v>3</v>
      </c>
      <c r="G261">
        <v>2.0605186734306301E-2</v>
      </c>
      <c r="H261">
        <v>0.37089336121751298</v>
      </c>
      <c r="I261" t="s">
        <v>4388</v>
      </c>
    </row>
    <row r="262" spans="1:9" x14ac:dyDescent="0.25">
      <c r="A262" t="s">
        <v>614</v>
      </c>
      <c r="C262" s="3" t="str">
        <f>HYPERLINK("http://amigo.geneontology.org/amigo/term/GO:0022836","GO:0022836")</f>
        <v>GO:0022836</v>
      </c>
      <c r="D262" t="s">
        <v>519</v>
      </c>
      <c r="E262">
        <v>227</v>
      </c>
      <c r="F262">
        <v>9</v>
      </c>
      <c r="G262">
        <v>2.12427036922773E-2</v>
      </c>
      <c r="H262">
        <v>0.361125962768715</v>
      </c>
      <c r="I262" t="s">
        <v>4385</v>
      </c>
    </row>
    <row r="263" spans="1:9" x14ac:dyDescent="0.25">
      <c r="A263" t="s">
        <v>617</v>
      </c>
      <c r="C263" s="3" t="str">
        <f>HYPERLINK("http://amigo.geneontology.org/amigo/term/GO:0000275","GO:0000275")</f>
        <v>GO:0000275</v>
      </c>
      <c r="D263" t="s">
        <v>4389</v>
      </c>
      <c r="E263">
        <v>13</v>
      </c>
      <c r="F263">
        <v>2</v>
      </c>
      <c r="G263">
        <v>2.1652616221476802E-2</v>
      </c>
      <c r="H263">
        <v>0.36809447576510701</v>
      </c>
      <c r="I263" t="s">
        <v>4390</v>
      </c>
    </row>
    <row r="264" spans="1:9" x14ac:dyDescent="0.25">
      <c r="A264" t="s">
        <v>620</v>
      </c>
      <c r="C264" s="3" t="str">
        <f>HYPERLINK("http://amigo.geneontology.org/amigo/term/GO:0005254","GO:0005254")</f>
        <v>GO:0005254</v>
      </c>
      <c r="D264" t="s">
        <v>4391</v>
      </c>
      <c r="E264">
        <v>34</v>
      </c>
      <c r="F264">
        <v>3</v>
      </c>
      <c r="G264">
        <v>2.2306786793280999E-2</v>
      </c>
      <c r="H264">
        <v>0.379215375485777</v>
      </c>
      <c r="I264" t="s">
        <v>4392</v>
      </c>
    </row>
    <row r="265" spans="1:9" x14ac:dyDescent="0.25">
      <c r="A265" t="s">
        <v>623</v>
      </c>
      <c r="C265" s="3" t="str">
        <f>HYPERLINK("http://amigo.geneontology.org/amigo/term/GO:0005247","GO:0005247")</f>
        <v>GO:0005247</v>
      </c>
      <c r="D265" t="s">
        <v>4393</v>
      </c>
      <c r="E265">
        <v>34</v>
      </c>
      <c r="F265">
        <v>3</v>
      </c>
      <c r="G265">
        <v>2.2306786793280999E-2</v>
      </c>
      <c r="H265">
        <v>0.379215375485777</v>
      </c>
      <c r="I265" t="s">
        <v>4392</v>
      </c>
    </row>
    <row r="266" spans="1:9" x14ac:dyDescent="0.25">
      <c r="A266" t="s">
        <v>626</v>
      </c>
      <c r="C266" s="3" t="str">
        <f>HYPERLINK("http://amigo.geneontology.org/amigo/term/GO:0016459","GO:0016459")</f>
        <v>GO:0016459</v>
      </c>
      <c r="D266" t="s">
        <v>576</v>
      </c>
      <c r="E266">
        <v>35</v>
      </c>
      <c r="F266">
        <v>3</v>
      </c>
      <c r="G266">
        <v>2.4082635154176101E-2</v>
      </c>
      <c r="H266">
        <v>0.40940479762099302</v>
      </c>
      <c r="I266" t="s">
        <v>4394</v>
      </c>
    </row>
    <row r="267" spans="1:9" x14ac:dyDescent="0.25">
      <c r="A267" t="s">
        <v>629</v>
      </c>
      <c r="C267" s="3" t="str">
        <f>HYPERLINK("http://amigo.geneontology.org/amigo/term/GO:0007389","GO:0007389")</f>
        <v>GO:0007389</v>
      </c>
      <c r="D267" t="s">
        <v>4395</v>
      </c>
      <c r="E267">
        <v>159</v>
      </c>
      <c r="F267">
        <v>7</v>
      </c>
      <c r="G267">
        <v>2.4253646988434699E-2</v>
      </c>
      <c r="H267">
        <v>0.41231199880338998</v>
      </c>
      <c r="I267" t="s">
        <v>4396</v>
      </c>
    </row>
    <row r="268" spans="1:9" x14ac:dyDescent="0.25">
      <c r="A268" t="s">
        <v>4397</v>
      </c>
      <c r="C268" s="3" t="str">
        <f>HYPERLINK("http://amigo.geneontology.org/amigo/term/GO:0008168","GO:0008168")</f>
        <v>GO:0008168</v>
      </c>
      <c r="D268" t="s">
        <v>4398</v>
      </c>
      <c r="E268">
        <v>1051</v>
      </c>
      <c r="F268">
        <v>28</v>
      </c>
      <c r="G268">
        <v>2.43608347164775E-2</v>
      </c>
      <c r="H268">
        <v>0.41413419018011799</v>
      </c>
      <c r="I268" t="s">
        <v>4399</v>
      </c>
    </row>
    <row r="269" spans="1:9" x14ac:dyDescent="0.25">
      <c r="A269" t="s">
        <v>632</v>
      </c>
      <c r="C269" s="3" t="str">
        <f>HYPERLINK("http://amigo.geneontology.org/amigo/term/GO:0006020","GO:0006020")</f>
        <v>GO:0006020</v>
      </c>
      <c r="D269" t="s">
        <v>4400</v>
      </c>
      <c r="E269">
        <v>14</v>
      </c>
      <c r="F269">
        <v>2</v>
      </c>
      <c r="G269">
        <v>2.4967221287739101E-2</v>
      </c>
      <c r="H269">
        <v>0.42444276189156499</v>
      </c>
      <c r="I269" t="s">
        <v>4235</v>
      </c>
    </row>
    <row r="270" spans="1:9" x14ac:dyDescent="0.25">
      <c r="A270" t="s">
        <v>4401</v>
      </c>
      <c r="C270" s="3" t="str">
        <f>HYPERLINK("http://amigo.geneontology.org/amigo/term/GO:0008198","GO:0008198")</f>
        <v>GO:0008198</v>
      </c>
      <c r="D270" t="s">
        <v>4402</v>
      </c>
      <c r="E270">
        <v>14</v>
      </c>
      <c r="F270">
        <v>2</v>
      </c>
      <c r="G270">
        <v>2.4967221287739101E-2</v>
      </c>
      <c r="H270">
        <v>0.42444276189156499</v>
      </c>
      <c r="I270" t="s">
        <v>4403</v>
      </c>
    </row>
    <row r="271" spans="1:9" x14ac:dyDescent="0.25">
      <c r="A271" t="s">
        <v>4404</v>
      </c>
      <c r="C271" s="3" t="str">
        <f>HYPERLINK("http://amigo.geneontology.org/amigo/term/GO:0009808","GO:0009808")</f>
        <v>GO:0009808</v>
      </c>
      <c r="D271" t="s">
        <v>1093</v>
      </c>
      <c r="E271">
        <v>93</v>
      </c>
      <c r="F271">
        <v>5</v>
      </c>
      <c r="G271">
        <v>2.5460550595628399E-2</v>
      </c>
      <c r="H271">
        <v>0.43282936012568302</v>
      </c>
      <c r="I271" t="s">
        <v>4371</v>
      </c>
    </row>
    <row r="272" spans="1:9" x14ac:dyDescent="0.25">
      <c r="A272" t="s">
        <v>634</v>
      </c>
      <c r="C272" s="3" t="str">
        <f>HYPERLINK("http://amigo.geneontology.org/amigo/term/GO:0004089","GO:0004089")</f>
        <v>GO:0004089</v>
      </c>
      <c r="D272" t="s">
        <v>661</v>
      </c>
      <c r="E272">
        <v>36</v>
      </c>
      <c r="F272">
        <v>3</v>
      </c>
      <c r="G272">
        <v>2.5932667530857701E-2</v>
      </c>
      <c r="H272">
        <v>0.44085534802458198</v>
      </c>
      <c r="I272" t="s">
        <v>4405</v>
      </c>
    </row>
    <row r="273" spans="1:9" x14ac:dyDescent="0.25">
      <c r="A273" t="s">
        <v>637</v>
      </c>
      <c r="C273" s="3" t="str">
        <f>HYPERLINK("http://amigo.geneontology.org/amigo/term/GO:0006002","GO:0006002")</f>
        <v>GO:0006002</v>
      </c>
      <c r="D273" t="s">
        <v>4406</v>
      </c>
      <c r="E273">
        <v>36</v>
      </c>
      <c r="F273">
        <v>3</v>
      </c>
      <c r="G273">
        <v>2.5932667530857701E-2</v>
      </c>
      <c r="H273">
        <v>0.44085534802458198</v>
      </c>
      <c r="I273" t="s">
        <v>1039</v>
      </c>
    </row>
    <row r="274" spans="1:9" x14ac:dyDescent="0.25">
      <c r="A274" t="s">
        <v>4407</v>
      </c>
      <c r="C274" s="3" t="str">
        <f>HYPERLINK("http://amigo.geneontology.org/amigo/term/GO:0016411","GO:0016411")</f>
        <v>GO:0016411</v>
      </c>
      <c r="D274" t="s">
        <v>794</v>
      </c>
      <c r="E274">
        <v>63</v>
      </c>
      <c r="F274">
        <v>4</v>
      </c>
      <c r="G274">
        <v>2.5945279591564101E-2</v>
      </c>
      <c r="H274">
        <v>0.44106975305659102</v>
      </c>
      <c r="I274" t="s">
        <v>4375</v>
      </c>
    </row>
    <row r="275" spans="1:9" x14ac:dyDescent="0.25">
      <c r="A275" t="s">
        <v>4408</v>
      </c>
      <c r="C275" s="3" t="str">
        <f>HYPERLINK("http://amigo.geneontology.org/amigo/term/GO:0006165","GO:0006165")</f>
        <v>GO:0006165</v>
      </c>
      <c r="D275" t="s">
        <v>1178</v>
      </c>
      <c r="E275">
        <v>276</v>
      </c>
      <c r="F275">
        <v>10</v>
      </c>
      <c r="G275">
        <v>2.7187020503493298E-2</v>
      </c>
      <c r="H275">
        <v>0.46217934855938703</v>
      </c>
      <c r="I275" t="s">
        <v>4409</v>
      </c>
    </row>
    <row r="276" spans="1:9" x14ac:dyDescent="0.25">
      <c r="A276" t="s">
        <v>639</v>
      </c>
      <c r="C276" s="3" t="str">
        <f>HYPERLINK("http://amigo.geneontology.org/amigo/term/GO:0044281","GO:0044281")</f>
        <v>GO:0044281</v>
      </c>
      <c r="D276" t="s">
        <v>4410</v>
      </c>
      <c r="E276">
        <v>4478</v>
      </c>
      <c r="F276">
        <v>97</v>
      </c>
      <c r="G276">
        <v>2.74137313005293E-2</v>
      </c>
      <c r="H276">
        <v>0.466033432108998</v>
      </c>
      <c r="I276" t="s">
        <v>4411</v>
      </c>
    </row>
    <row r="277" spans="1:9" x14ac:dyDescent="0.25">
      <c r="A277" t="s">
        <v>4412</v>
      </c>
      <c r="C277" s="3" t="str">
        <f>HYPERLINK("http://amigo.geneontology.org/amigo/term/GO:0016157","GO:0016157")</f>
        <v>GO:0016157</v>
      </c>
      <c r="D277" t="s">
        <v>378</v>
      </c>
      <c r="E277">
        <v>37</v>
      </c>
      <c r="F277">
        <v>3</v>
      </c>
      <c r="G277">
        <v>2.78567432375952E-2</v>
      </c>
      <c r="H277">
        <v>0.44570789180152398</v>
      </c>
      <c r="I277" t="s">
        <v>4413</v>
      </c>
    </row>
    <row r="278" spans="1:9" x14ac:dyDescent="0.25">
      <c r="A278" t="s">
        <v>642</v>
      </c>
      <c r="C278" s="3" t="str">
        <f>HYPERLINK("http://amigo.geneontology.org/amigo/term/GO:0140029","GO:0140029")</f>
        <v>GO:0140029</v>
      </c>
      <c r="D278" t="s">
        <v>798</v>
      </c>
      <c r="E278">
        <v>37</v>
      </c>
      <c r="F278">
        <v>3</v>
      </c>
      <c r="G278">
        <v>2.78567432375952E-2</v>
      </c>
      <c r="H278">
        <v>0.44570789180152398</v>
      </c>
      <c r="I278" t="s">
        <v>4414</v>
      </c>
    </row>
    <row r="279" spans="1:9" x14ac:dyDescent="0.25">
      <c r="A279" t="s">
        <v>644</v>
      </c>
      <c r="C279" s="3" t="str">
        <f>HYPERLINK("http://amigo.geneontology.org/amigo/term/GO:0006904","GO:0006904")</f>
        <v>GO:0006904</v>
      </c>
      <c r="D279" t="s">
        <v>801</v>
      </c>
      <c r="E279">
        <v>37</v>
      </c>
      <c r="F279">
        <v>3</v>
      </c>
      <c r="G279">
        <v>2.78567432375952E-2</v>
      </c>
      <c r="H279">
        <v>0.44570789180152398</v>
      </c>
      <c r="I279" t="s">
        <v>4414</v>
      </c>
    </row>
    <row r="280" spans="1:9" x14ac:dyDescent="0.25">
      <c r="A280" t="s">
        <v>4415</v>
      </c>
      <c r="C280" s="3" t="str">
        <f>HYPERLINK("http://amigo.geneontology.org/amigo/term/GO:0003872","GO:0003872")</f>
        <v>GO:0003872</v>
      </c>
      <c r="D280" t="s">
        <v>4416</v>
      </c>
      <c r="E280">
        <v>37</v>
      </c>
      <c r="F280">
        <v>3</v>
      </c>
      <c r="G280">
        <v>2.78567432375952E-2</v>
      </c>
      <c r="H280">
        <v>0.44570789180152398</v>
      </c>
      <c r="I280" t="s">
        <v>1039</v>
      </c>
    </row>
    <row r="281" spans="1:9" x14ac:dyDescent="0.25">
      <c r="A281" t="s">
        <v>647</v>
      </c>
      <c r="C281" s="3" t="str">
        <f>HYPERLINK("http://amigo.geneontology.org/amigo/term/GO:0052866","GO:0052866")</f>
        <v>GO:0052866</v>
      </c>
      <c r="D281" t="s">
        <v>101</v>
      </c>
      <c r="E281">
        <v>15</v>
      </c>
      <c r="F281">
        <v>2</v>
      </c>
      <c r="G281">
        <v>2.8473385245842201E-2</v>
      </c>
      <c r="H281">
        <v>0.455574163933475</v>
      </c>
      <c r="I281" t="s">
        <v>4417</v>
      </c>
    </row>
    <row r="282" spans="1:9" x14ac:dyDescent="0.25">
      <c r="A282" t="s">
        <v>650</v>
      </c>
      <c r="C282" s="3" t="str">
        <f>HYPERLINK("http://amigo.geneontology.org/amigo/term/GO:0009144","GO:0009144")</f>
        <v>GO:0009144</v>
      </c>
      <c r="D282" t="s">
        <v>4418</v>
      </c>
      <c r="E282">
        <v>573</v>
      </c>
      <c r="F282">
        <v>17</v>
      </c>
      <c r="G282">
        <v>2.9684709334705399E-2</v>
      </c>
      <c r="H282">
        <v>0.47495534935528699</v>
      </c>
      <c r="I282" t="s">
        <v>4317</v>
      </c>
    </row>
    <row r="283" spans="1:9" x14ac:dyDescent="0.25">
      <c r="A283" t="s">
        <v>653</v>
      </c>
      <c r="C283" s="3" t="str">
        <f>HYPERLINK("http://amigo.geneontology.org/amigo/term/GO:0009205","GO:0009205")</f>
        <v>GO:0009205</v>
      </c>
      <c r="D283" t="s">
        <v>4419</v>
      </c>
      <c r="E283">
        <v>573</v>
      </c>
      <c r="F283">
        <v>17</v>
      </c>
      <c r="G283">
        <v>2.9684709334705399E-2</v>
      </c>
      <c r="H283">
        <v>0.47495534935528699</v>
      </c>
      <c r="I283" t="s">
        <v>4317</v>
      </c>
    </row>
    <row r="284" spans="1:9" x14ac:dyDescent="0.25">
      <c r="A284" t="s">
        <v>655</v>
      </c>
      <c r="C284" s="3" t="str">
        <f>HYPERLINK("http://amigo.geneontology.org/amigo/term/GO:0071577","GO:0071577")</f>
        <v>GO:0071577</v>
      </c>
      <c r="D284" t="s">
        <v>4420</v>
      </c>
      <c r="E284">
        <v>38</v>
      </c>
      <c r="F284">
        <v>3</v>
      </c>
      <c r="G284">
        <v>2.9854648903149601E-2</v>
      </c>
      <c r="H284">
        <v>0.47767438245039301</v>
      </c>
      <c r="I284" t="s">
        <v>4421</v>
      </c>
    </row>
    <row r="285" spans="1:9" x14ac:dyDescent="0.25">
      <c r="A285" t="s">
        <v>657</v>
      </c>
      <c r="C285" s="3" t="str">
        <f>HYPERLINK("http://amigo.geneontology.org/amigo/term/GO:0009148","GO:0009148")</f>
        <v>GO:0009148</v>
      </c>
      <c r="D285" t="s">
        <v>4422</v>
      </c>
      <c r="E285">
        <v>38</v>
      </c>
      <c r="F285">
        <v>3</v>
      </c>
      <c r="G285">
        <v>2.9854648903149601E-2</v>
      </c>
      <c r="H285">
        <v>0.47767438245039301</v>
      </c>
      <c r="I285" t="s">
        <v>1218</v>
      </c>
    </row>
    <row r="286" spans="1:9" x14ac:dyDescent="0.25">
      <c r="A286" t="s">
        <v>660</v>
      </c>
      <c r="C286" s="3" t="str">
        <f>HYPERLINK("http://amigo.geneontology.org/amigo/term/GO:0009208","GO:0009208")</f>
        <v>GO:0009208</v>
      </c>
      <c r="D286" t="s">
        <v>4423</v>
      </c>
      <c r="E286">
        <v>38</v>
      </c>
      <c r="F286">
        <v>3</v>
      </c>
      <c r="G286">
        <v>2.9854648903149601E-2</v>
      </c>
      <c r="H286">
        <v>0.47767438245039301</v>
      </c>
      <c r="I286" t="s">
        <v>1218</v>
      </c>
    </row>
    <row r="287" spans="1:9" x14ac:dyDescent="0.25">
      <c r="A287" t="s">
        <v>663</v>
      </c>
      <c r="C287" s="3" t="str">
        <f>HYPERLINK("http://amigo.geneontology.org/amigo/term/GO:0009209","GO:0009209")</f>
        <v>GO:0009209</v>
      </c>
      <c r="D287" t="s">
        <v>4424</v>
      </c>
      <c r="E287">
        <v>38</v>
      </c>
      <c r="F287">
        <v>3</v>
      </c>
      <c r="G287">
        <v>2.9854648903149601E-2</v>
      </c>
      <c r="H287">
        <v>0.47767438245039301</v>
      </c>
      <c r="I287" t="s">
        <v>1218</v>
      </c>
    </row>
    <row r="288" spans="1:9" x14ac:dyDescent="0.25">
      <c r="A288" t="s">
        <v>666</v>
      </c>
      <c r="C288" s="3" t="str">
        <f>HYPERLINK("http://amigo.geneontology.org/amigo/term/GO:0046036","GO:0046036")</f>
        <v>GO:0046036</v>
      </c>
      <c r="D288" t="s">
        <v>4425</v>
      </c>
      <c r="E288">
        <v>38</v>
      </c>
      <c r="F288">
        <v>3</v>
      </c>
      <c r="G288">
        <v>2.9854648903149601E-2</v>
      </c>
      <c r="H288">
        <v>0.47767438245039301</v>
      </c>
      <c r="I288" t="s">
        <v>1218</v>
      </c>
    </row>
    <row r="289" spans="1:9" x14ac:dyDescent="0.25">
      <c r="A289" t="s">
        <v>669</v>
      </c>
      <c r="C289" s="3" t="str">
        <f>HYPERLINK("http://amigo.geneontology.org/amigo/term/GO:0006241","GO:0006241")</f>
        <v>GO:0006241</v>
      </c>
      <c r="D289" t="s">
        <v>4426</v>
      </c>
      <c r="E289">
        <v>38</v>
      </c>
      <c r="F289">
        <v>3</v>
      </c>
      <c r="G289">
        <v>2.9854648903149601E-2</v>
      </c>
      <c r="H289">
        <v>0.47767438245039301</v>
      </c>
      <c r="I289" t="s">
        <v>1218</v>
      </c>
    </row>
    <row r="290" spans="1:9" x14ac:dyDescent="0.25">
      <c r="A290" t="s">
        <v>672</v>
      </c>
      <c r="C290" s="3" t="str">
        <f>HYPERLINK("http://amigo.geneontology.org/amigo/term/GO:0009152","GO:0009152")</f>
        <v>GO:0009152</v>
      </c>
      <c r="D290" t="s">
        <v>4427</v>
      </c>
      <c r="E290">
        <v>574</v>
      </c>
      <c r="F290">
        <v>17</v>
      </c>
      <c r="G290">
        <v>3.0105007002764202E-2</v>
      </c>
      <c r="H290">
        <v>0.481680112044228</v>
      </c>
      <c r="I290" t="s">
        <v>4317</v>
      </c>
    </row>
    <row r="291" spans="1:9" x14ac:dyDescent="0.25">
      <c r="A291" t="s">
        <v>4428</v>
      </c>
      <c r="C291" s="3" t="str">
        <f>HYPERLINK("http://amigo.geneontology.org/amigo/term/GO:0009132","GO:0009132")</f>
        <v>GO:0009132</v>
      </c>
      <c r="D291" t="s">
        <v>1228</v>
      </c>
      <c r="E291">
        <v>281</v>
      </c>
      <c r="F291">
        <v>10</v>
      </c>
      <c r="G291">
        <v>3.021145667129E-2</v>
      </c>
      <c r="H291">
        <v>0.48338330674064101</v>
      </c>
      <c r="I291" t="s">
        <v>4409</v>
      </c>
    </row>
    <row r="292" spans="1:9" x14ac:dyDescent="0.25">
      <c r="A292" t="s">
        <v>675</v>
      </c>
      <c r="C292" s="3" t="str">
        <f>HYPERLINK("http://amigo.geneontology.org/amigo/term/GO:0005385","GO:0005385")</f>
        <v>GO:0005385</v>
      </c>
      <c r="D292" t="s">
        <v>4429</v>
      </c>
      <c r="E292">
        <v>39</v>
      </c>
      <c r="F292">
        <v>3</v>
      </c>
      <c r="G292">
        <v>3.1926102051854401E-2</v>
      </c>
      <c r="H292">
        <v>0.47889153077781599</v>
      </c>
      <c r="I292" t="s">
        <v>4421</v>
      </c>
    </row>
    <row r="293" spans="1:9" x14ac:dyDescent="0.25">
      <c r="A293" t="s">
        <v>4430</v>
      </c>
      <c r="C293" s="3" t="str">
        <f>HYPERLINK("http://amigo.geneontology.org/amigo/term/GO:0019104","GO:0019104")</f>
        <v>GO:0019104</v>
      </c>
      <c r="D293" t="s">
        <v>4431</v>
      </c>
      <c r="E293">
        <v>39</v>
      </c>
      <c r="F293">
        <v>3</v>
      </c>
      <c r="G293">
        <v>3.1926102051854401E-2</v>
      </c>
      <c r="H293">
        <v>0.47889153077781599</v>
      </c>
      <c r="I293" t="s">
        <v>4293</v>
      </c>
    </row>
    <row r="294" spans="1:9" x14ac:dyDescent="0.25">
      <c r="A294" t="s">
        <v>678</v>
      </c>
      <c r="C294" s="3" t="str">
        <f>HYPERLINK("http://amigo.geneontology.org/amigo/term/GO:0010927","GO:0010927")</f>
        <v>GO:0010927</v>
      </c>
      <c r="D294" t="s">
        <v>1465</v>
      </c>
      <c r="E294">
        <v>39</v>
      </c>
      <c r="F294">
        <v>3</v>
      </c>
      <c r="G294">
        <v>3.1926102051854401E-2</v>
      </c>
      <c r="H294">
        <v>0.51081763282966997</v>
      </c>
      <c r="I294" t="s">
        <v>4388</v>
      </c>
    </row>
    <row r="295" spans="1:9" x14ac:dyDescent="0.25">
      <c r="A295" t="s">
        <v>681</v>
      </c>
      <c r="C295" s="3" t="str">
        <f>HYPERLINK("http://amigo.geneontology.org/amigo/term/GO:0010208","GO:0010208")</f>
        <v>GO:0010208</v>
      </c>
      <c r="D295" t="s">
        <v>1468</v>
      </c>
      <c r="E295">
        <v>39</v>
      </c>
      <c r="F295">
        <v>3</v>
      </c>
      <c r="G295">
        <v>3.1926102051854401E-2</v>
      </c>
      <c r="H295">
        <v>0.51081763282966997</v>
      </c>
      <c r="I295" t="s">
        <v>4388</v>
      </c>
    </row>
    <row r="296" spans="1:9" x14ac:dyDescent="0.25">
      <c r="A296" t="s">
        <v>684</v>
      </c>
      <c r="C296" s="3" t="str">
        <f>HYPERLINK("http://amigo.geneontology.org/amigo/term/GO:0030545","GO:0030545")</f>
        <v>GO:0030545</v>
      </c>
      <c r="D296" t="s">
        <v>35</v>
      </c>
      <c r="E296">
        <v>16</v>
      </c>
      <c r="F296">
        <v>2</v>
      </c>
      <c r="G296">
        <v>3.2163255461086698E-2</v>
      </c>
      <c r="H296">
        <v>0.482448831916301</v>
      </c>
      <c r="I296" t="s">
        <v>4374</v>
      </c>
    </row>
    <row r="297" spans="1:9" x14ac:dyDescent="0.25">
      <c r="A297" t="s">
        <v>686</v>
      </c>
      <c r="C297" s="3" t="str">
        <f>HYPERLINK("http://amigo.geneontology.org/amigo/term/GO:0048018","GO:0048018")</f>
        <v>GO:0048018</v>
      </c>
      <c r="D297" t="s">
        <v>37</v>
      </c>
      <c r="E297">
        <v>16</v>
      </c>
      <c r="F297">
        <v>2</v>
      </c>
      <c r="G297">
        <v>3.2163255461086698E-2</v>
      </c>
      <c r="H297">
        <v>0.482448831916301</v>
      </c>
      <c r="I297" t="s">
        <v>4374</v>
      </c>
    </row>
    <row r="298" spans="1:9" x14ac:dyDescent="0.25">
      <c r="A298" t="s">
        <v>688</v>
      </c>
      <c r="C298" s="3" t="str">
        <f>HYPERLINK("http://amigo.geneontology.org/amigo/term/GO:0004030","GO:0004030")</f>
        <v>GO:0004030</v>
      </c>
      <c r="D298" t="s">
        <v>4432</v>
      </c>
      <c r="E298">
        <v>16</v>
      </c>
      <c r="F298">
        <v>2</v>
      </c>
      <c r="G298">
        <v>3.2163255461086698E-2</v>
      </c>
      <c r="H298">
        <v>0.482448831916301</v>
      </c>
      <c r="I298" t="s">
        <v>4433</v>
      </c>
    </row>
    <row r="299" spans="1:9" x14ac:dyDescent="0.25">
      <c r="A299" t="s">
        <v>691</v>
      </c>
      <c r="C299" s="3" t="str">
        <f>HYPERLINK("http://amigo.geneontology.org/amigo/term/GO:0050662","GO:0050662")</f>
        <v>GO:0050662</v>
      </c>
      <c r="D299" t="s">
        <v>4434</v>
      </c>
      <c r="E299">
        <v>1801</v>
      </c>
      <c r="F299">
        <v>43</v>
      </c>
      <c r="G299">
        <v>3.3833858249898902E-2</v>
      </c>
      <c r="H299">
        <v>0.50750787374848405</v>
      </c>
      <c r="I299" t="s">
        <v>4435</v>
      </c>
    </row>
    <row r="300" spans="1:9" x14ac:dyDescent="0.25">
      <c r="A300" t="s">
        <v>694</v>
      </c>
      <c r="C300" s="3" t="str">
        <f>HYPERLINK("http://amigo.geneontology.org/amigo/term/GO:0006536","GO:0006536")</f>
        <v>GO:0006536</v>
      </c>
      <c r="D300" t="s">
        <v>4436</v>
      </c>
      <c r="E300">
        <v>40</v>
      </c>
      <c r="F300">
        <v>3</v>
      </c>
      <c r="G300">
        <v>3.4070754567124197E-2</v>
      </c>
      <c r="H300">
        <v>0.51106131850686298</v>
      </c>
      <c r="I300" t="s">
        <v>4291</v>
      </c>
    </row>
    <row r="301" spans="1:9" x14ac:dyDescent="0.25">
      <c r="A301" t="s">
        <v>697</v>
      </c>
      <c r="C301" s="3" t="str">
        <f>HYPERLINK("http://amigo.geneontology.org/amigo/term/GO:0048278","GO:0048278")</f>
        <v>GO:0048278</v>
      </c>
      <c r="D301" t="s">
        <v>845</v>
      </c>
      <c r="E301">
        <v>40</v>
      </c>
      <c r="F301">
        <v>3</v>
      </c>
      <c r="G301">
        <v>3.4070754567124197E-2</v>
      </c>
      <c r="H301">
        <v>0.51106131850686298</v>
      </c>
      <c r="I301" t="s">
        <v>4414</v>
      </c>
    </row>
    <row r="302" spans="1:9" x14ac:dyDescent="0.25">
      <c r="A302" t="s">
        <v>4437</v>
      </c>
      <c r="C302" s="3" t="str">
        <f>HYPERLINK("http://amigo.geneontology.org/amigo/term/GO:0051273","GO:0051273")</f>
        <v>GO:0051273</v>
      </c>
      <c r="D302" t="s">
        <v>867</v>
      </c>
      <c r="E302">
        <v>248</v>
      </c>
      <c r="F302">
        <v>9</v>
      </c>
      <c r="G302">
        <v>3.46562922146154E-2</v>
      </c>
      <c r="H302">
        <v>0.51984438321923199</v>
      </c>
      <c r="I302" t="s">
        <v>4341</v>
      </c>
    </row>
    <row r="303" spans="1:9" x14ac:dyDescent="0.25">
      <c r="A303" t="s">
        <v>4438</v>
      </c>
      <c r="C303" s="3" t="str">
        <f>HYPERLINK("http://amigo.geneontology.org/amigo/term/GO:0010222","GO:0010222")</f>
        <v>GO:0010222</v>
      </c>
      <c r="D303" t="s">
        <v>4439</v>
      </c>
      <c r="E303">
        <v>2</v>
      </c>
      <c r="F303">
        <v>1</v>
      </c>
      <c r="G303">
        <v>3.5257742937862602E-2</v>
      </c>
      <c r="H303">
        <v>0.52886614406793897</v>
      </c>
      <c r="I303" t="s">
        <v>444</v>
      </c>
    </row>
    <row r="304" spans="1:9" x14ac:dyDescent="0.25">
      <c r="A304" t="s">
        <v>4440</v>
      </c>
      <c r="C304" s="3" t="str">
        <f>HYPERLINK("http://amigo.geneontology.org/amigo/term/GO:0051552","GO:0051552")</f>
        <v>GO:0051552</v>
      </c>
      <c r="D304" t="s">
        <v>4441</v>
      </c>
      <c r="E304">
        <v>2</v>
      </c>
      <c r="F304">
        <v>1</v>
      </c>
      <c r="G304">
        <v>3.5257742937862602E-2</v>
      </c>
      <c r="H304">
        <v>0.52886614406793897</v>
      </c>
      <c r="I304" t="s">
        <v>4442</v>
      </c>
    </row>
    <row r="305" spans="1:9" x14ac:dyDescent="0.25">
      <c r="A305" t="s">
        <v>699</v>
      </c>
      <c r="C305" s="3" t="str">
        <f>HYPERLINK("http://amigo.geneontology.org/amigo/term/GO:0051553","GO:0051553")</f>
        <v>GO:0051553</v>
      </c>
      <c r="D305" t="s">
        <v>4443</v>
      </c>
      <c r="E305">
        <v>2</v>
      </c>
      <c r="F305">
        <v>1</v>
      </c>
      <c r="G305">
        <v>3.5257742937862602E-2</v>
      </c>
      <c r="H305">
        <v>0.52886614406793897</v>
      </c>
      <c r="I305" t="s">
        <v>4442</v>
      </c>
    </row>
    <row r="306" spans="1:9" x14ac:dyDescent="0.25">
      <c r="A306" t="s">
        <v>701</v>
      </c>
      <c r="C306" s="3" t="str">
        <f>HYPERLINK("http://amigo.geneontology.org/amigo/term/GO:0051554","GO:0051554")</f>
        <v>GO:0051554</v>
      </c>
      <c r="D306" t="s">
        <v>4444</v>
      </c>
      <c r="E306">
        <v>2</v>
      </c>
      <c r="F306">
        <v>1</v>
      </c>
      <c r="G306">
        <v>3.5257742937862602E-2</v>
      </c>
      <c r="H306">
        <v>0.52886614406793897</v>
      </c>
      <c r="I306" t="s">
        <v>4442</v>
      </c>
    </row>
    <row r="307" spans="1:9" x14ac:dyDescent="0.25">
      <c r="A307" t="s">
        <v>703</v>
      </c>
      <c r="C307" s="3" t="str">
        <f>HYPERLINK("http://amigo.geneontology.org/amigo/term/GO:0051555","GO:0051555")</f>
        <v>GO:0051555</v>
      </c>
      <c r="D307" t="s">
        <v>4445</v>
      </c>
      <c r="E307">
        <v>2</v>
      </c>
      <c r="F307">
        <v>1</v>
      </c>
      <c r="G307">
        <v>3.5257742937862602E-2</v>
      </c>
      <c r="H307">
        <v>0.52886614406793897</v>
      </c>
      <c r="I307" t="s">
        <v>4442</v>
      </c>
    </row>
    <row r="308" spans="1:9" x14ac:dyDescent="0.25">
      <c r="A308" t="s">
        <v>4446</v>
      </c>
      <c r="C308" s="3" t="str">
        <f>HYPERLINK("http://amigo.geneontology.org/amigo/term/GO:0016741","GO:0016741")</f>
        <v>GO:0016741</v>
      </c>
      <c r="D308" t="s">
        <v>4447</v>
      </c>
      <c r="E308">
        <v>1089</v>
      </c>
      <c r="F308">
        <v>28</v>
      </c>
      <c r="G308">
        <v>3.5749225356414699E-2</v>
      </c>
      <c r="H308">
        <v>0.53623838034622096</v>
      </c>
      <c r="I308" t="s">
        <v>4399</v>
      </c>
    </row>
    <row r="309" spans="1:9" x14ac:dyDescent="0.25">
      <c r="A309" t="s">
        <v>4448</v>
      </c>
      <c r="C309" s="3" t="str">
        <f>HYPERLINK("http://amigo.geneontology.org/amigo/term/GO:0046872","GO:0046872")</f>
        <v>GO:0046872</v>
      </c>
      <c r="D309" t="s">
        <v>1484</v>
      </c>
      <c r="E309">
        <v>11725</v>
      </c>
      <c r="F309">
        <v>233</v>
      </c>
      <c r="G309">
        <v>3.6028139844441302E-2</v>
      </c>
      <c r="H309">
        <v>0.54042209766661997</v>
      </c>
      <c r="I309" t="s">
        <v>4449</v>
      </c>
    </row>
    <row r="310" spans="1:9" x14ac:dyDescent="0.25">
      <c r="A310" t="s">
        <v>4450</v>
      </c>
      <c r="C310" s="3" t="str">
        <f>HYPERLINK("http://amigo.geneontology.org/amigo/term/GO:0070290","GO:0070290")</f>
        <v>GO:0070290</v>
      </c>
      <c r="D310" t="s">
        <v>570</v>
      </c>
      <c r="E310">
        <v>17</v>
      </c>
      <c r="F310">
        <v>2</v>
      </c>
      <c r="G310">
        <v>3.60291976754534E-2</v>
      </c>
      <c r="H310">
        <v>0.54043796513180198</v>
      </c>
      <c r="I310" t="s">
        <v>4451</v>
      </c>
    </row>
    <row r="311" spans="1:9" x14ac:dyDescent="0.25">
      <c r="A311" t="s">
        <v>705</v>
      </c>
      <c r="C311" s="3" t="str">
        <f>HYPERLINK("http://amigo.geneontology.org/amigo/term/GO:0046961","GO:0046961")</f>
        <v>GO:0046961</v>
      </c>
      <c r="D311" t="s">
        <v>4452</v>
      </c>
      <c r="E311">
        <v>41</v>
      </c>
      <c r="F311">
        <v>3</v>
      </c>
      <c r="G311">
        <v>3.6288196045936499E-2</v>
      </c>
      <c r="H311">
        <v>0.50803474464311105</v>
      </c>
      <c r="I311" t="s">
        <v>4453</v>
      </c>
    </row>
    <row r="312" spans="1:9" x14ac:dyDescent="0.25">
      <c r="A312" t="s">
        <v>4454</v>
      </c>
      <c r="C312" s="3" t="str">
        <f>HYPERLINK("http://amigo.geneontology.org/amigo/term/GO:0072509","GO:0072509")</f>
        <v>GO:0072509</v>
      </c>
      <c r="D312" t="s">
        <v>4455</v>
      </c>
      <c r="E312">
        <v>41</v>
      </c>
      <c r="F312">
        <v>3</v>
      </c>
      <c r="G312">
        <v>3.6288196045936499E-2</v>
      </c>
      <c r="H312">
        <v>0.54432294068904696</v>
      </c>
      <c r="I312" t="s">
        <v>4421</v>
      </c>
    </row>
    <row r="313" spans="1:9" x14ac:dyDescent="0.25">
      <c r="A313" t="s">
        <v>4456</v>
      </c>
      <c r="C313" s="3" t="str">
        <f>HYPERLINK("http://amigo.geneontology.org/amigo/term/GO:0006821","GO:0006821")</f>
        <v>GO:0006821</v>
      </c>
      <c r="D313" t="s">
        <v>4457</v>
      </c>
      <c r="E313">
        <v>41</v>
      </c>
      <c r="F313">
        <v>3</v>
      </c>
      <c r="G313">
        <v>3.6288196045936499E-2</v>
      </c>
      <c r="H313">
        <v>0.54432294068904696</v>
      </c>
      <c r="I313" t="s">
        <v>4392</v>
      </c>
    </row>
    <row r="314" spans="1:9" x14ac:dyDescent="0.25">
      <c r="A314" t="s">
        <v>4458</v>
      </c>
      <c r="C314" s="3" t="str">
        <f>HYPERLINK("http://amigo.geneontology.org/amigo/term/GO:0042451","GO:0042451")</f>
        <v>GO:0042451</v>
      </c>
      <c r="D314" t="s">
        <v>4459</v>
      </c>
      <c r="E314">
        <v>42</v>
      </c>
      <c r="F314">
        <v>3</v>
      </c>
      <c r="G314">
        <v>3.8577957030490398E-2</v>
      </c>
      <c r="H314">
        <v>0.54009139842686604</v>
      </c>
      <c r="I314" t="s">
        <v>1218</v>
      </c>
    </row>
    <row r="315" spans="1:9" x14ac:dyDescent="0.25">
      <c r="A315" t="s">
        <v>707</v>
      </c>
      <c r="C315" s="3" t="str">
        <f>HYPERLINK("http://amigo.geneontology.org/amigo/term/GO:0046129","GO:0046129")</f>
        <v>GO:0046129</v>
      </c>
      <c r="D315" t="s">
        <v>4460</v>
      </c>
      <c r="E315">
        <v>42</v>
      </c>
      <c r="F315">
        <v>3</v>
      </c>
      <c r="G315">
        <v>3.8577957030490398E-2</v>
      </c>
      <c r="H315">
        <v>0.54009139842686604</v>
      </c>
      <c r="I315" t="s">
        <v>1218</v>
      </c>
    </row>
    <row r="316" spans="1:9" x14ac:dyDescent="0.25">
      <c r="A316" t="s">
        <v>4461</v>
      </c>
      <c r="C316" s="3" t="str">
        <f>HYPERLINK("http://amigo.geneontology.org/amigo/term/GO:0006754","GO:0006754")</f>
        <v>GO:0006754</v>
      </c>
      <c r="D316" t="s">
        <v>4462</v>
      </c>
      <c r="E316">
        <v>462</v>
      </c>
      <c r="F316">
        <v>14</v>
      </c>
      <c r="G316">
        <v>3.9155643801126697E-2</v>
      </c>
      <c r="H316">
        <v>0.548179013215774</v>
      </c>
      <c r="I316" t="s">
        <v>4463</v>
      </c>
    </row>
    <row r="317" spans="1:9" x14ac:dyDescent="0.25">
      <c r="A317" t="s">
        <v>710</v>
      </c>
      <c r="C317" s="3" t="str">
        <f>HYPERLINK("http://amigo.geneontology.org/amigo/term/GO:0009199","GO:0009199")</f>
        <v>GO:0009199</v>
      </c>
      <c r="D317" t="s">
        <v>4464</v>
      </c>
      <c r="E317">
        <v>594</v>
      </c>
      <c r="F317">
        <v>17</v>
      </c>
      <c r="G317">
        <v>3.9466828855568403E-2</v>
      </c>
      <c r="H317">
        <v>0.55253560397795798</v>
      </c>
      <c r="I317" t="s">
        <v>4317</v>
      </c>
    </row>
    <row r="318" spans="1:9" x14ac:dyDescent="0.25">
      <c r="A318" t="s">
        <v>4465</v>
      </c>
      <c r="C318" s="3" t="str">
        <f>HYPERLINK("http://amigo.geneontology.org/amigo/term/GO:0006595","GO:0006595")</f>
        <v>GO:0006595</v>
      </c>
      <c r="D318" t="s">
        <v>4466</v>
      </c>
      <c r="E318">
        <v>72</v>
      </c>
      <c r="F318">
        <v>4</v>
      </c>
      <c r="G318">
        <v>3.9611988984778003E-2</v>
      </c>
      <c r="H318">
        <v>0.554567845786892</v>
      </c>
      <c r="I318" t="s">
        <v>4348</v>
      </c>
    </row>
    <row r="319" spans="1:9" x14ac:dyDescent="0.25">
      <c r="A319" t="s">
        <v>712</v>
      </c>
      <c r="C319" s="3" t="str">
        <f>HYPERLINK("http://amigo.geneontology.org/amigo/term/GO:0006829","GO:0006829")</f>
        <v>GO:0006829</v>
      </c>
      <c r="D319" t="s">
        <v>4467</v>
      </c>
      <c r="E319">
        <v>43</v>
      </c>
      <c r="F319">
        <v>3</v>
      </c>
      <c r="G319">
        <v>4.0939512127905503E-2</v>
      </c>
      <c r="H319">
        <v>0.57315316979067699</v>
      </c>
      <c r="I319" t="s">
        <v>4421</v>
      </c>
    </row>
    <row r="320" spans="1:9" x14ac:dyDescent="0.25">
      <c r="A320" t="s">
        <v>715</v>
      </c>
      <c r="C320" s="3" t="str">
        <f>HYPERLINK("http://amigo.geneontology.org/amigo/term/GO:0022406","GO:0022406")</f>
        <v>GO:0022406</v>
      </c>
      <c r="D320" t="s">
        <v>873</v>
      </c>
      <c r="E320">
        <v>43</v>
      </c>
      <c r="F320">
        <v>3</v>
      </c>
      <c r="G320">
        <v>4.0939512127905503E-2</v>
      </c>
      <c r="H320">
        <v>0.57315316979067699</v>
      </c>
      <c r="I320" t="s">
        <v>4414</v>
      </c>
    </row>
    <row r="321" spans="1:9" x14ac:dyDescent="0.25">
      <c r="A321" t="s">
        <v>718</v>
      </c>
      <c r="C321" s="3" t="str">
        <f>HYPERLINK("http://amigo.geneontology.org/amigo/term/GO:0140056","GO:0140056")</f>
        <v>GO:0140056</v>
      </c>
      <c r="D321" t="s">
        <v>875</v>
      </c>
      <c r="E321">
        <v>43</v>
      </c>
      <c r="F321">
        <v>3</v>
      </c>
      <c r="G321">
        <v>4.0939512127905503E-2</v>
      </c>
      <c r="H321">
        <v>0.57315316979067699</v>
      </c>
      <c r="I321" t="s">
        <v>4414</v>
      </c>
    </row>
    <row r="322" spans="1:9" x14ac:dyDescent="0.25">
      <c r="A322" t="s">
        <v>720</v>
      </c>
      <c r="C322" s="3" t="str">
        <f>HYPERLINK("http://amigo.geneontology.org/amigo/term/GO:0005388","GO:0005388")</f>
        <v>GO:0005388</v>
      </c>
      <c r="D322" t="s">
        <v>870</v>
      </c>
      <c r="E322">
        <v>43</v>
      </c>
      <c r="F322">
        <v>3</v>
      </c>
      <c r="G322">
        <v>4.0939512127905503E-2</v>
      </c>
      <c r="H322">
        <v>0.57315316979067699</v>
      </c>
      <c r="I322" t="s">
        <v>4468</v>
      </c>
    </row>
    <row r="323" spans="1:9" x14ac:dyDescent="0.25">
      <c r="A323" t="s">
        <v>723</v>
      </c>
      <c r="C323" s="3" t="str">
        <f>HYPERLINK("http://amigo.geneontology.org/amigo/term/GO:0019751","GO:0019751")</f>
        <v>GO:0019751</v>
      </c>
      <c r="D323" t="s">
        <v>83</v>
      </c>
      <c r="E323">
        <v>142</v>
      </c>
      <c r="F323">
        <v>6</v>
      </c>
      <c r="G323">
        <v>4.2091680744304E-2</v>
      </c>
      <c r="H323">
        <v>0.58928353042025705</v>
      </c>
      <c r="I323" t="s">
        <v>4469</v>
      </c>
    </row>
    <row r="324" spans="1:9" x14ac:dyDescent="0.25">
      <c r="A324" t="s">
        <v>4470</v>
      </c>
      <c r="C324" s="3" t="str">
        <f>HYPERLINK("http://amigo.geneontology.org/amigo/term/GO:0009251","GO:0009251")</f>
        <v>GO:0009251</v>
      </c>
      <c r="D324" t="s">
        <v>559</v>
      </c>
      <c r="E324">
        <v>44</v>
      </c>
      <c r="F324">
        <v>3</v>
      </c>
      <c r="G324">
        <v>4.3372283030517302E-2</v>
      </c>
      <c r="H324">
        <v>0.60721196242724196</v>
      </c>
      <c r="I324" t="s">
        <v>4297</v>
      </c>
    </row>
    <row r="325" spans="1:9" x14ac:dyDescent="0.25">
      <c r="A325" t="s">
        <v>4471</v>
      </c>
      <c r="C325" s="3" t="str">
        <f>HYPERLINK("http://amigo.geneontology.org/amigo/term/GO:0044247","GO:0044247")</f>
        <v>GO:0044247</v>
      </c>
      <c r="D325" t="s">
        <v>562</v>
      </c>
      <c r="E325">
        <v>44</v>
      </c>
      <c r="F325">
        <v>3</v>
      </c>
      <c r="G325">
        <v>4.3372283030517302E-2</v>
      </c>
      <c r="H325">
        <v>0.60721196242724196</v>
      </c>
      <c r="I325" t="s">
        <v>4297</v>
      </c>
    </row>
    <row r="326" spans="1:9" x14ac:dyDescent="0.25">
      <c r="A326" t="s">
        <v>4472</v>
      </c>
      <c r="C326" s="3" t="str">
        <f>HYPERLINK("http://amigo.geneontology.org/amigo/term/GO:0008443","GO:0008443")</f>
        <v>GO:0008443</v>
      </c>
      <c r="D326" t="s">
        <v>4473</v>
      </c>
      <c r="E326">
        <v>44</v>
      </c>
      <c r="F326">
        <v>3</v>
      </c>
      <c r="G326">
        <v>4.3372283030517302E-2</v>
      </c>
      <c r="H326">
        <v>0.60721196242724196</v>
      </c>
      <c r="I326" t="s">
        <v>1039</v>
      </c>
    </row>
    <row r="327" spans="1:9" x14ac:dyDescent="0.25">
      <c r="A327" t="s">
        <v>726</v>
      </c>
      <c r="C327" s="3" t="str">
        <f>HYPERLINK("http://amigo.geneontology.org/amigo/term/GO:0015908","GO:0015908")</f>
        <v>GO:0015908</v>
      </c>
      <c r="D327" t="s">
        <v>885</v>
      </c>
      <c r="E327">
        <v>19</v>
      </c>
      <c r="F327">
        <v>2</v>
      </c>
      <c r="G327">
        <v>4.4259821511793203E-2</v>
      </c>
      <c r="H327">
        <v>0.61963750116510496</v>
      </c>
      <c r="I327" t="s">
        <v>895</v>
      </c>
    </row>
    <row r="328" spans="1:9" x14ac:dyDescent="0.25">
      <c r="A328" t="s">
        <v>4474</v>
      </c>
      <c r="C328" s="3" t="str">
        <f>HYPERLINK("http://amigo.geneontology.org/amigo/term/GO:0009733","GO:0009733")</f>
        <v>GO:0009733</v>
      </c>
      <c r="D328" t="s">
        <v>4475</v>
      </c>
      <c r="E328">
        <v>515</v>
      </c>
      <c r="F328">
        <v>15</v>
      </c>
      <c r="G328">
        <v>4.4801887874116798E-2</v>
      </c>
      <c r="H328">
        <v>0.62722643023763602</v>
      </c>
      <c r="I328" t="s">
        <v>4476</v>
      </c>
    </row>
    <row r="329" spans="1:9" x14ac:dyDescent="0.25">
      <c r="A329" t="s">
        <v>4477</v>
      </c>
      <c r="C329" s="3" t="str">
        <f>HYPERLINK("http://amigo.geneontology.org/amigo/term/GO:0006164","GO:0006164")</f>
        <v>GO:0006164</v>
      </c>
      <c r="D329" t="s">
        <v>4478</v>
      </c>
      <c r="E329">
        <v>604</v>
      </c>
      <c r="F329">
        <v>17</v>
      </c>
      <c r="G329">
        <v>4.4866136219040703E-2</v>
      </c>
      <c r="H329">
        <v>0.62812590706657001</v>
      </c>
      <c r="I329" t="s">
        <v>4317</v>
      </c>
    </row>
    <row r="330" spans="1:9" x14ac:dyDescent="0.25">
      <c r="A330" t="s">
        <v>4479</v>
      </c>
      <c r="C330" s="3" t="str">
        <f>HYPERLINK("http://amigo.geneontology.org/amigo/term/GO:0004630","GO:0004630")</f>
        <v>GO:0004630</v>
      </c>
      <c r="D330" t="s">
        <v>442</v>
      </c>
      <c r="E330">
        <v>45</v>
      </c>
      <c r="F330">
        <v>3</v>
      </c>
      <c r="G330">
        <v>4.5875641406633298E-2</v>
      </c>
      <c r="H330">
        <v>0.64225897969286605</v>
      </c>
      <c r="I330" t="s">
        <v>4480</v>
      </c>
    </row>
    <row r="331" spans="1:9" x14ac:dyDescent="0.25">
      <c r="A331" t="s">
        <v>4481</v>
      </c>
      <c r="C331" s="3" t="str">
        <f>HYPERLINK("http://amigo.geneontology.org/amigo/term/GO:0009141","GO:0009141")</f>
        <v>GO:0009141</v>
      </c>
      <c r="D331" t="s">
        <v>4482</v>
      </c>
      <c r="E331">
        <v>610</v>
      </c>
      <c r="F331">
        <v>17</v>
      </c>
      <c r="G331">
        <v>4.8348000821682301E-2</v>
      </c>
      <c r="H331">
        <v>0.67687201150355203</v>
      </c>
      <c r="I331" t="s">
        <v>4317</v>
      </c>
    </row>
    <row r="332" spans="1:9" x14ac:dyDescent="0.25">
      <c r="A332" t="s">
        <v>729</v>
      </c>
      <c r="C332" s="3" t="str">
        <f>HYPERLINK("http://amigo.geneontology.org/amigo/term/GO:0008028","GO:0008028")</f>
        <v>GO:0008028</v>
      </c>
      <c r="D332" t="s">
        <v>1314</v>
      </c>
      <c r="E332">
        <v>20</v>
      </c>
      <c r="F332">
        <v>2</v>
      </c>
      <c r="G332">
        <v>4.8610279682263703E-2</v>
      </c>
      <c r="H332">
        <v>0.68054391555169302</v>
      </c>
      <c r="I332" t="s">
        <v>895</v>
      </c>
    </row>
    <row r="333" spans="1:9" x14ac:dyDescent="0.25">
      <c r="A333" t="s">
        <v>731</v>
      </c>
      <c r="C333" s="3" t="str">
        <f>HYPERLINK("http://amigo.geneontology.org/amigo/term/GO:0043169","GO:0043169")</f>
        <v>GO:0043169</v>
      </c>
      <c r="D333" t="s">
        <v>1535</v>
      </c>
      <c r="E333">
        <v>11833</v>
      </c>
      <c r="F333">
        <v>233</v>
      </c>
      <c r="G333">
        <v>4.9365408395563401E-2</v>
      </c>
      <c r="H333">
        <v>0.69111571753788803</v>
      </c>
      <c r="I333" t="s">
        <v>4449</v>
      </c>
    </row>
    <row r="334" spans="1:9" x14ac:dyDescent="0.25">
      <c r="A334" t="s">
        <v>733</v>
      </c>
      <c r="C334" s="3" t="str">
        <f>HYPERLINK("http://amigo.geneontology.org/amigo/term/GO:0044238","GO:0044238")</f>
        <v>GO:0044238</v>
      </c>
      <c r="D334" t="s">
        <v>612</v>
      </c>
      <c r="E334">
        <v>23308</v>
      </c>
      <c r="F334">
        <v>443</v>
      </c>
      <c r="G334">
        <v>4.94325403956654E-2</v>
      </c>
      <c r="H334">
        <v>0.64262302514365</v>
      </c>
      <c r="I334" t="s">
        <v>4483</v>
      </c>
    </row>
    <row r="335" spans="1:9" x14ac:dyDescent="0.25">
      <c r="A335" t="s">
        <v>736</v>
      </c>
      <c r="C335" s="3" t="str">
        <f>HYPERLINK("http://amigo.geneontology.org/amigo/term/GO:0046939","GO:0046939")</f>
        <v>GO:0046939</v>
      </c>
      <c r="D335" t="s">
        <v>1400</v>
      </c>
      <c r="E335">
        <v>307</v>
      </c>
      <c r="F335">
        <v>10</v>
      </c>
      <c r="G335">
        <v>4.9806326948198101E-2</v>
      </c>
      <c r="H335">
        <v>0.64748225032657503</v>
      </c>
      <c r="I335" t="s">
        <v>4409</v>
      </c>
    </row>
    <row r="336" spans="1:9" x14ac:dyDescent="0.25">
      <c r="A336" t="s">
        <v>4484</v>
      </c>
    </row>
    <row r="337" spans="1:1" x14ac:dyDescent="0.25">
      <c r="A337" t="s">
        <v>4485</v>
      </c>
    </row>
    <row r="338" spans="1:1" x14ac:dyDescent="0.25">
      <c r="A338" t="s">
        <v>738</v>
      </c>
    </row>
    <row r="339" spans="1:1" x14ac:dyDescent="0.25">
      <c r="A339" t="s">
        <v>741</v>
      </c>
    </row>
    <row r="340" spans="1:1" x14ac:dyDescent="0.25">
      <c r="A340" t="s">
        <v>744</v>
      </c>
    </row>
    <row r="341" spans="1:1" x14ac:dyDescent="0.25">
      <c r="A341" t="s">
        <v>747</v>
      </c>
    </row>
    <row r="342" spans="1:1" x14ac:dyDescent="0.25">
      <c r="A342" t="s">
        <v>750</v>
      </c>
    </row>
    <row r="343" spans="1:1" x14ac:dyDescent="0.25">
      <c r="A343" t="s">
        <v>753</v>
      </c>
    </row>
    <row r="344" spans="1:1" x14ac:dyDescent="0.25">
      <c r="A344" t="s">
        <v>756</v>
      </c>
    </row>
    <row r="345" spans="1:1" x14ac:dyDescent="0.25">
      <c r="A345" t="s">
        <v>758</v>
      </c>
    </row>
    <row r="346" spans="1:1" x14ac:dyDescent="0.25">
      <c r="A346" t="s">
        <v>761</v>
      </c>
    </row>
    <row r="347" spans="1:1" x14ac:dyDescent="0.25">
      <c r="A347" t="s">
        <v>763</v>
      </c>
    </row>
    <row r="348" spans="1:1" x14ac:dyDescent="0.25">
      <c r="A348" t="s">
        <v>766</v>
      </c>
    </row>
    <row r="349" spans="1:1" x14ac:dyDescent="0.25">
      <c r="A349" t="s">
        <v>769</v>
      </c>
    </row>
    <row r="350" spans="1:1" x14ac:dyDescent="0.25">
      <c r="A350" t="s">
        <v>771</v>
      </c>
    </row>
    <row r="351" spans="1:1" x14ac:dyDescent="0.25">
      <c r="A351" t="s">
        <v>774</v>
      </c>
    </row>
    <row r="352" spans="1:1" x14ac:dyDescent="0.25">
      <c r="A352" t="s">
        <v>776</v>
      </c>
    </row>
    <row r="353" spans="1:1" x14ac:dyDescent="0.25">
      <c r="A353" t="s">
        <v>778</v>
      </c>
    </row>
    <row r="354" spans="1:1" x14ac:dyDescent="0.25">
      <c r="A354" t="s">
        <v>780</v>
      </c>
    </row>
    <row r="355" spans="1:1" x14ac:dyDescent="0.25">
      <c r="A355" t="s">
        <v>4486</v>
      </c>
    </row>
    <row r="356" spans="1:1" x14ac:dyDescent="0.25">
      <c r="A356" t="s">
        <v>4487</v>
      </c>
    </row>
    <row r="357" spans="1:1" x14ac:dyDescent="0.25">
      <c r="A357" t="s">
        <v>782</v>
      </c>
    </row>
    <row r="358" spans="1:1" x14ac:dyDescent="0.25">
      <c r="A358" t="s">
        <v>4488</v>
      </c>
    </row>
    <row r="359" spans="1:1" x14ac:dyDescent="0.25">
      <c r="A359" t="s">
        <v>785</v>
      </c>
    </row>
    <row r="360" spans="1:1" x14ac:dyDescent="0.25">
      <c r="A360" t="s">
        <v>4489</v>
      </c>
    </row>
    <row r="361" spans="1:1" x14ac:dyDescent="0.25">
      <c r="A361" t="s">
        <v>788</v>
      </c>
    </row>
    <row r="362" spans="1:1" x14ac:dyDescent="0.25">
      <c r="A362" t="s">
        <v>4490</v>
      </c>
    </row>
    <row r="363" spans="1:1" x14ac:dyDescent="0.25">
      <c r="A363" t="s">
        <v>4491</v>
      </c>
    </row>
    <row r="364" spans="1:1" x14ac:dyDescent="0.25">
      <c r="A364" t="s">
        <v>790</v>
      </c>
    </row>
    <row r="365" spans="1:1" x14ac:dyDescent="0.25">
      <c r="A365" t="s">
        <v>4492</v>
      </c>
    </row>
    <row r="366" spans="1:1" x14ac:dyDescent="0.25">
      <c r="A366" t="s">
        <v>5</v>
      </c>
    </row>
    <row r="367" spans="1:1" x14ac:dyDescent="0.25">
      <c r="A367" t="s">
        <v>793</v>
      </c>
    </row>
    <row r="368" spans="1:1" x14ac:dyDescent="0.25">
      <c r="A368" t="s">
        <v>4493</v>
      </c>
    </row>
    <row r="369" spans="1:1" x14ac:dyDescent="0.25">
      <c r="A369" t="s">
        <v>4494</v>
      </c>
    </row>
    <row r="370" spans="1:1" x14ac:dyDescent="0.25">
      <c r="A370" t="s">
        <v>4495</v>
      </c>
    </row>
    <row r="371" spans="1:1" x14ac:dyDescent="0.25">
      <c r="A371" t="s">
        <v>795</v>
      </c>
    </row>
    <row r="372" spans="1:1" x14ac:dyDescent="0.25">
      <c r="A372" t="s">
        <v>797</v>
      </c>
    </row>
    <row r="373" spans="1:1" x14ac:dyDescent="0.25">
      <c r="A373" t="s">
        <v>800</v>
      </c>
    </row>
    <row r="374" spans="1:1" x14ac:dyDescent="0.25">
      <c r="A374" t="s">
        <v>802</v>
      </c>
    </row>
    <row r="375" spans="1:1" x14ac:dyDescent="0.25">
      <c r="A375" t="s">
        <v>805</v>
      </c>
    </row>
    <row r="376" spans="1:1" x14ac:dyDescent="0.25">
      <c r="A376" t="s">
        <v>807</v>
      </c>
    </row>
    <row r="377" spans="1:1" x14ac:dyDescent="0.25">
      <c r="A377" t="s">
        <v>4496</v>
      </c>
    </row>
    <row r="378" spans="1:1" x14ac:dyDescent="0.25">
      <c r="A378" t="s">
        <v>810</v>
      </c>
    </row>
    <row r="379" spans="1:1" x14ac:dyDescent="0.25">
      <c r="A379" t="s">
        <v>813</v>
      </c>
    </row>
    <row r="380" spans="1:1" x14ac:dyDescent="0.25">
      <c r="A380" t="s">
        <v>816</v>
      </c>
    </row>
    <row r="381" spans="1:1" x14ac:dyDescent="0.25">
      <c r="A381" t="s">
        <v>4497</v>
      </c>
    </row>
    <row r="382" spans="1:1" x14ac:dyDescent="0.25">
      <c r="A382" t="s">
        <v>818</v>
      </c>
    </row>
    <row r="383" spans="1:1" x14ac:dyDescent="0.25">
      <c r="A383" t="s">
        <v>4498</v>
      </c>
    </row>
    <row r="384" spans="1:1" x14ac:dyDescent="0.25">
      <c r="A384" t="s">
        <v>821</v>
      </c>
    </row>
    <row r="385" spans="1:1" x14ac:dyDescent="0.25">
      <c r="A385" t="s">
        <v>824</v>
      </c>
    </row>
    <row r="386" spans="1:1" x14ac:dyDescent="0.25">
      <c r="A386" t="s">
        <v>827</v>
      </c>
    </row>
    <row r="387" spans="1:1" x14ac:dyDescent="0.25">
      <c r="A387" t="s">
        <v>4499</v>
      </c>
    </row>
    <row r="388" spans="1:1" x14ac:dyDescent="0.25">
      <c r="A388" t="s">
        <v>830</v>
      </c>
    </row>
    <row r="389" spans="1:1" x14ac:dyDescent="0.25">
      <c r="A389" t="s">
        <v>4500</v>
      </c>
    </row>
    <row r="390" spans="1:1" x14ac:dyDescent="0.25">
      <c r="A390" t="s">
        <v>833</v>
      </c>
    </row>
    <row r="391" spans="1:1" x14ac:dyDescent="0.25">
      <c r="A391" t="s">
        <v>835</v>
      </c>
    </row>
    <row r="392" spans="1:1" x14ac:dyDescent="0.25">
      <c r="A392" t="s">
        <v>4501</v>
      </c>
    </row>
    <row r="393" spans="1:1" x14ac:dyDescent="0.25">
      <c r="A393" t="s">
        <v>4502</v>
      </c>
    </row>
    <row r="394" spans="1:1" x14ac:dyDescent="0.25">
      <c r="A394" t="s">
        <v>838</v>
      </c>
    </row>
    <row r="395" spans="1:1" x14ac:dyDescent="0.25">
      <c r="A395" t="s">
        <v>841</v>
      </c>
    </row>
    <row r="396" spans="1:1" x14ac:dyDescent="0.25">
      <c r="A396" t="s">
        <v>4503</v>
      </c>
    </row>
    <row r="397" spans="1:1" x14ac:dyDescent="0.25">
      <c r="A397" t="s">
        <v>4504</v>
      </c>
    </row>
    <row r="398" spans="1:1" x14ac:dyDescent="0.25">
      <c r="A398" t="s">
        <v>844</v>
      </c>
    </row>
    <row r="399" spans="1:1" x14ac:dyDescent="0.25">
      <c r="A399" t="s">
        <v>846</v>
      </c>
    </row>
    <row r="400" spans="1:1" x14ac:dyDescent="0.25">
      <c r="A400" t="s">
        <v>4505</v>
      </c>
    </row>
    <row r="401" spans="1:1" x14ac:dyDescent="0.25">
      <c r="A401" t="s">
        <v>849</v>
      </c>
    </row>
    <row r="402" spans="1:1" x14ac:dyDescent="0.25">
      <c r="A402" t="s">
        <v>4506</v>
      </c>
    </row>
    <row r="403" spans="1:1" x14ac:dyDescent="0.25">
      <c r="A403" t="s">
        <v>852</v>
      </c>
    </row>
    <row r="404" spans="1:1" x14ac:dyDescent="0.25">
      <c r="A404" t="s">
        <v>4507</v>
      </c>
    </row>
    <row r="405" spans="1:1" x14ac:dyDescent="0.25">
      <c r="A405" t="s">
        <v>854</v>
      </c>
    </row>
    <row r="406" spans="1:1" x14ac:dyDescent="0.25">
      <c r="A406" t="s">
        <v>4508</v>
      </c>
    </row>
    <row r="407" spans="1:1" x14ac:dyDescent="0.25">
      <c r="A407" t="s">
        <v>857</v>
      </c>
    </row>
    <row r="408" spans="1:1" x14ac:dyDescent="0.25">
      <c r="A408" t="s">
        <v>860</v>
      </c>
    </row>
    <row r="409" spans="1:1" x14ac:dyDescent="0.25">
      <c r="A409" t="s">
        <v>863</v>
      </c>
    </row>
    <row r="410" spans="1:1" x14ac:dyDescent="0.25">
      <c r="A410" t="s">
        <v>866</v>
      </c>
    </row>
    <row r="411" spans="1:1" x14ac:dyDescent="0.25">
      <c r="A411" t="s">
        <v>869</v>
      </c>
    </row>
    <row r="412" spans="1:1" x14ac:dyDescent="0.25">
      <c r="A412" t="s">
        <v>4509</v>
      </c>
    </row>
    <row r="413" spans="1:1" x14ac:dyDescent="0.25">
      <c r="A413" t="s">
        <v>4510</v>
      </c>
    </row>
    <row r="414" spans="1:1" x14ac:dyDescent="0.25">
      <c r="A414" t="s">
        <v>872</v>
      </c>
    </row>
    <row r="415" spans="1:1" x14ac:dyDescent="0.25">
      <c r="A415" t="s">
        <v>874</v>
      </c>
    </row>
    <row r="416" spans="1:1" x14ac:dyDescent="0.25">
      <c r="A416" t="s">
        <v>4511</v>
      </c>
    </row>
    <row r="417" spans="1:1" x14ac:dyDescent="0.25">
      <c r="A417" t="s">
        <v>876</v>
      </c>
    </row>
    <row r="418" spans="1:1" x14ac:dyDescent="0.25">
      <c r="A418" t="s">
        <v>4512</v>
      </c>
    </row>
    <row r="419" spans="1:1" x14ac:dyDescent="0.25">
      <c r="A419" t="s">
        <v>4513</v>
      </c>
    </row>
    <row r="420" spans="1:1" x14ac:dyDescent="0.25">
      <c r="A420" t="s">
        <v>4514</v>
      </c>
    </row>
    <row r="421" spans="1:1" x14ac:dyDescent="0.25">
      <c r="A421" t="s">
        <v>4515</v>
      </c>
    </row>
    <row r="422" spans="1:1" x14ac:dyDescent="0.25">
      <c r="A422" t="s">
        <v>878</v>
      </c>
    </row>
    <row r="423" spans="1:1" x14ac:dyDescent="0.25">
      <c r="A423" t="s">
        <v>881</v>
      </c>
    </row>
    <row r="424" spans="1:1" x14ac:dyDescent="0.25">
      <c r="A424" t="s">
        <v>884</v>
      </c>
    </row>
    <row r="425" spans="1:1" x14ac:dyDescent="0.25">
      <c r="A425" t="s">
        <v>887</v>
      </c>
    </row>
    <row r="426" spans="1:1" x14ac:dyDescent="0.25">
      <c r="A426" t="s">
        <v>890</v>
      </c>
    </row>
    <row r="427" spans="1:1" x14ac:dyDescent="0.25">
      <c r="A427" t="s">
        <v>4516</v>
      </c>
    </row>
    <row r="428" spans="1:1" x14ac:dyDescent="0.25">
      <c r="A428" t="s">
        <v>893</v>
      </c>
    </row>
    <row r="429" spans="1:1" x14ac:dyDescent="0.25">
      <c r="A429" t="s">
        <v>4517</v>
      </c>
    </row>
    <row r="430" spans="1:1" x14ac:dyDescent="0.25">
      <c r="A430" t="s">
        <v>4518</v>
      </c>
    </row>
    <row r="431" spans="1:1" x14ac:dyDescent="0.25">
      <c r="A431" t="s">
        <v>4519</v>
      </c>
    </row>
    <row r="432" spans="1:1" x14ac:dyDescent="0.25">
      <c r="A432" t="s">
        <v>4520</v>
      </c>
    </row>
    <row r="433" spans="1:1" x14ac:dyDescent="0.25">
      <c r="A433" t="s">
        <v>4521</v>
      </c>
    </row>
    <row r="434" spans="1:1" x14ac:dyDescent="0.25">
      <c r="A434" t="s">
        <v>4522</v>
      </c>
    </row>
    <row r="435" spans="1:1" x14ac:dyDescent="0.25">
      <c r="A435" t="s">
        <v>4523</v>
      </c>
    </row>
    <row r="436" spans="1:1" x14ac:dyDescent="0.25">
      <c r="A436" t="s">
        <v>4524</v>
      </c>
    </row>
    <row r="437" spans="1:1" x14ac:dyDescent="0.25">
      <c r="A437" t="s">
        <v>896</v>
      </c>
    </row>
    <row r="438" spans="1:1" x14ac:dyDescent="0.25">
      <c r="A438" t="s">
        <v>898</v>
      </c>
    </row>
    <row r="439" spans="1:1" x14ac:dyDescent="0.25">
      <c r="A439" t="s">
        <v>4525</v>
      </c>
    </row>
    <row r="440" spans="1:1" x14ac:dyDescent="0.25">
      <c r="A440" t="s">
        <v>4526</v>
      </c>
    </row>
    <row r="441" spans="1:1" x14ac:dyDescent="0.25">
      <c r="A441" t="s">
        <v>4527</v>
      </c>
    </row>
    <row r="442" spans="1:1" x14ac:dyDescent="0.25">
      <c r="A442" t="s">
        <v>901</v>
      </c>
    </row>
    <row r="443" spans="1:1" x14ac:dyDescent="0.25">
      <c r="A443" t="s">
        <v>903</v>
      </c>
    </row>
    <row r="444" spans="1:1" x14ac:dyDescent="0.25">
      <c r="A444" t="s">
        <v>905</v>
      </c>
    </row>
    <row r="445" spans="1:1" x14ac:dyDescent="0.25">
      <c r="A445" t="s">
        <v>907</v>
      </c>
    </row>
    <row r="446" spans="1:1" x14ac:dyDescent="0.25">
      <c r="A446" t="s">
        <v>909</v>
      </c>
    </row>
    <row r="447" spans="1:1" x14ac:dyDescent="0.25">
      <c r="A447" t="s">
        <v>912</v>
      </c>
    </row>
    <row r="448" spans="1:1" x14ac:dyDescent="0.25">
      <c r="A448" t="s">
        <v>914</v>
      </c>
    </row>
    <row r="449" spans="1:1" x14ac:dyDescent="0.25">
      <c r="A449" t="s">
        <v>916</v>
      </c>
    </row>
    <row r="450" spans="1:1" x14ac:dyDescent="0.25">
      <c r="A450" t="s">
        <v>4528</v>
      </c>
    </row>
    <row r="451" spans="1:1" x14ac:dyDescent="0.25">
      <c r="A451" t="s">
        <v>918</v>
      </c>
    </row>
    <row r="452" spans="1:1" x14ac:dyDescent="0.25">
      <c r="A452" t="s">
        <v>920</v>
      </c>
    </row>
    <row r="453" spans="1:1" x14ac:dyDescent="0.25">
      <c r="A453" t="s">
        <v>922</v>
      </c>
    </row>
    <row r="454" spans="1:1" x14ac:dyDescent="0.25">
      <c r="A454" t="s">
        <v>924</v>
      </c>
    </row>
    <row r="455" spans="1:1" x14ac:dyDescent="0.25">
      <c r="A455" t="s">
        <v>926</v>
      </c>
    </row>
    <row r="456" spans="1:1" x14ac:dyDescent="0.25">
      <c r="A456" t="s">
        <v>929</v>
      </c>
    </row>
    <row r="457" spans="1:1" x14ac:dyDescent="0.25">
      <c r="A457" t="s">
        <v>931</v>
      </c>
    </row>
    <row r="458" spans="1:1" x14ac:dyDescent="0.25">
      <c r="A458" t="s">
        <v>933</v>
      </c>
    </row>
    <row r="459" spans="1:1" x14ac:dyDescent="0.25">
      <c r="A459" t="s">
        <v>935</v>
      </c>
    </row>
    <row r="460" spans="1:1" x14ac:dyDescent="0.25">
      <c r="A460" t="s">
        <v>938</v>
      </c>
    </row>
    <row r="461" spans="1:1" x14ac:dyDescent="0.25">
      <c r="A461" t="s">
        <v>940</v>
      </c>
    </row>
    <row r="462" spans="1:1" x14ac:dyDescent="0.25">
      <c r="A462" t="s">
        <v>942</v>
      </c>
    </row>
    <row r="463" spans="1:1" x14ac:dyDescent="0.25">
      <c r="A463" t="s">
        <v>4529</v>
      </c>
    </row>
    <row r="464" spans="1:1" x14ac:dyDescent="0.25">
      <c r="A464" t="s">
        <v>945</v>
      </c>
    </row>
    <row r="465" spans="1:1" x14ac:dyDescent="0.25">
      <c r="A465" t="s">
        <v>948</v>
      </c>
    </row>
    <row r="466" spans="1:1" x14ac:dyDescent="0.25">
      <c r="A466" t="s">
        <v>4530</v>
      </c>
    </row>
    <row r="467" spans="1:1" x14ac:dyDescent="0.25">
      <c r="A467" t="s">
        <v>951</v>
      </c>
    </row>
    <row r="468" spans="1:1" x14ac:dyDescent="0.25">
      <c r="A468" t="s">
        <v>954</v>
      </c>
    </row>
    <row r="469" spans="1:1" x14ac:dyDescent="0.25">
      <c r="A469" t="s">
        <v>4531</v>
      </c>
    </row>
    <row r="470" spans="1:1" x14ac:dyDescent="0.25">
      <c r="A470" t="s">
        <v>4532</v>
      </c>
    </row>
    <row r="471" spans="1:1" x14ac:dyDescent="0.25">
      <c r="A471" t="s">
        <v>4533</v>
      </c>
    </row>
    <row r="472" spans="1:1" x14ac:dyDescent="0.25">
      <c r="A472" t="s">
        <v>957</v>
      </c>
    </row>
    <row r="473" spans="1:1" x14ac:dyDescent="0.25">
      <c r="A473" t="s">
        <v>959</v>
      </c>
    </row>
    <row r="474" spans="1:1" x14ac:dyDescent="0.25">
      <c r="A474" t="s">
        <v>961</v>
      </c>
    </row>
    <row r="475" spans="1:1" x14ac:dyDescent="0.25">
      <c r="A475" t="s">
        <v>4534</v>
      </c>
    </row>
    <row r="476" spans="1:1" x14ac:dyDescent="0.25">
      <c r="A476" t="s">
        <v>964</v>
      </c>
    </row>
    <row r="477" spans="1:1" x14ac:dyDescent="0.25">
      <c r="A477" t="s">
        <v>966</v>
      </c>
    </row>
    <row r="478" spans="1:1" x14ac:dyDescent="0.25">
      <c r="A478" t="s">
        <v>969</v>
      </c>
    </row>
    <row r="479" spans="1:1" x14ac:dyDescent="0.25">
      <c r="A479" t="s">
        <v>972</v>
      </c>
    </row>
    <row r="480" spans="1:1" x14ac:dyDescent="0.25">
      <c r="A480" t="s">
        <v>974</v>
      </c>
    </row>
    <row r="481" spans="1:1" x14ac:dyDescent="0.25">
      <c r="A481" t="s">
        <v>976</v>
      </c>
    </row>
    <row r="482" spans="1:1" x14ac:dyDescent="0.25">
      <c r="A482" t="s">
        <v>979</v>
      </c>
    </row>
    <row r="483" spans="1:1" x14ac:dyDescent="0.25">
      <c r="A483" t="s">
        <v>981</v>
      </c>
    </row>
    <row r="484" spans="1:1" x14ac:dyDescent="0.25">
      <c r="A484" t="s">
        <v>984</v>
      </c>
    </row>
    <row r="485" spans="1:1" x14ac:dyDescent="0.25">
      <c r="A485" t="s">
        <v>987</v>
      </c>
    </row>
    <row r="486" spans="1:1" x14ac:dyDescent="0.25">
      <c r="A486" t="s">
        <v>4535</v>
      </c>
    </row>
    <row r="487" spans="1:1" x14ac:dyDescent="0.25">
      <c r="A487" t="s">
        <v>989</v>
      </c>
    </row>
    <row r="488" spans="1:1" x14ac:dyDescent="0.25">
      <c r="A488" t="s">
        <v>4536</v>
      </c>
    </row>
    <row r="489" spans="1:1" x14ac:dyDescent="0.25">
      <c r="A489" t="s">
        <v>991</v>
      </c>
    </row>
    <row r="490" spans="1:1" x14ac:dyDescent="0.25">
      <c r="A490" t="s">
        <v>993</v>
      </c>
    </row>
    <row r="491" spans="1:1" x14ac:dyDescent="0.25">
      <c r="A491" t="s">
        <v>996</v>
      </c>
    </row>
    <row r="492" spans="1:1" x14ac:dyDescent="0.25">
      <c r="A492" t="s">
        <v>998</v>
      </c>
    </row>
    <row r="493" spans="1:1" x14ac:dyDescent="0.25">
      <c r="A493" t="s">
        <v>4537</v>
      </c>
    </row>
    <row r="494" spans="1:1" x14ac:dyDescent="0.25">
      <c r="A494" t="s">
        <v>4538</v>
      </c>
    </row>
    <row r="495" spans="1:1" x14ac:dyDescent="0.25">
      <c r="A495" t="s">
        <v>4539</v>
      </c>
    </row>
    <row r="496" spans="1:1" x14ac:dyDescent="0.25">
      <c r="A496" t="s">
        <v>1000</v>
      </c>
    </row>
    <row r="497" spans="1:1" x14ac:dyDescent="0.25">
      <c r="A497" t="s">
        <v>4540</v>
      </c>
    </row>
    <row r="498" spans="1:1" x14ac:dyDescent="0.25">
      <c r="A498" t="s">
        <v>1003</v>
      </c>
    </row>
    <row r="499" spans="1:1" x14ac:dyDescent="0.25">
      <c r="A499" t="s">
        <v>1005</v>
      </c>
    </row>
    <row r="500" spans="1:1" x14ac:dyDescent="0.25">
      <c r="A500" t="s">
        <v>4541</v>
      </c>
    </row>
    <row r="501" spans="1:1" x14ac:dyDescent="0.25">
      <c r="A501" t="s">
        <v>1008</v>
      </c>
    </row>
    <row r="502" spans="1:1" x14ac:dyDescent="0.25">
      <c r="A502" t="s">
        <v>1011</v>
      </c>
    </row>
    <row r="503" spans="1:1" x14ac:dyDescent="0.25">
      <c r="A503" t="s">
        <v>1013</v>
      </c>
    </row>
    <row r="504" spans="1:1" x14ac:dyDescent="0.25">
      <c r="A504" t="s">
        <v>4542</v>
      </c>
    </row>
    <row r="505" spans="1:1" x14ac:dyDescent="0.25">
      <c r="A505" t="s">
        <v>1015</v>
      </c>
    </row>
    <row r="506" spans="1:1" x14ac:dyDescent="0.25">
      <c r="A506" t="s">
        <v>1018</v>
      </c>
    </row>
    <row r="507" spans="1:1" x14ac:dyDescent="0.25">
      <c r="A507" t="s">
        <v>1021</v>
      </c>
    </row>
    <row r="508" spans="1:1" x14ac:dyDescent="0.25">
      <c r="A508" t="s">
        <v>4543</v>
      </c>
    </row>
    <row r="509" spans="1:1" x14ac:dyDescent="0.25">
      <c r="A509" t="s">
        <v>4544</v>
      </c>
    </row>
    <row r="510" spans="1:1" x14ac:dyDescent="0.25">
      <c r="A510" t="s">
        <v>4545</v>
      </c>
    </row>
    <row r="511" spans="1:1" x14ac:dyDescent="0.25">
      <c r="A511" t="s">
        <v>1024</v>
      </c>
    </row>
    <row r="512" spans="1:1" x14ac:dyDescent="0.25">
      <c r="A512" t="s">
        <v>1027</v>
      </c>
    </row>
    <row r="513" spans="1:1" x14ac:dyDescent="0.25">
      <c r="A513" t="s">
        <v>4546</v>
      </c>
    </row>
    <row r="514" spans="1:1" x14ac:dyDescent="0.25">
      <c r="A514" t="s">
        <v>1030</v>
      </c>
    </row>
    <row r="515" spans="1:1" x14ac:dyDescent="0.25">
      <c r="A515" t="s">
        <v>4547</v>
      </c>
    </row>
    <row r="516" spans="1:1" x14ac:dyDescent="0.25">
      <c r="A516" t="s">
        <v>4548</v>
      </c>
    </row>
    <row r="517" spans="1:1" x14ac:dyDescent="0.25">
      <c r="A517" t="s">
        <v>1033</v>
      </c>
    </row>
    <row r="518" spans="1:1" x14ac:dyDescent="0.25">
      <c r="A518" t="s">
        <v>4549</v>
      </c>
    </row>
    <row r="519" spans="1:1" x14ac:dyDescent="0.25">
      <c r="A519" t="s">
        <v>1035</v>
      </c>
    </row>
    <row r="520" spans="1:1" x14ac:dyDescent="0.25">
      <c r="A520" t="s">
        <v>1037</v>
      </c>
    </row>
    <row r="521" spans="1:1" x14ac:dyDescent="0.25">
      <c r="A521" t="s">
        <v>1040</v>
      </c>
    </row>
    <row r="522" spans="1:1" x14ac:dyDescent="0.25">
      <c r="A522" t="s">
        <v>1043</v>
      </c>
    </row>
    <row r="523" spans="1:1" x14ac:dyDescent="0.25">
      <c r="A523" t="s">
        <v>1046</v>
      </c>
    </row>
    <row r="524" spans="1:1" x14ac:dyDescent="0.25">
      <c r="A524" t="s">
        <v>1048</v>
      </c>
    </row>
    <row r="525" spans="1:1" x14ac:dyDescent="0.25">
      <c r="A525" t="s">
        <v>4550</v>
      </c>
    </row>
    <row r="526" spans="1:1" x14ac:dyDescent="0.25">
      <c r="A526" t="s">
        <v>4551</v>
      </c>
    </row>
    <row r="527" spans="1:1" x14ac:dyDescent="0.25">
      <c r="A527" t="s">
        <v>1050</v>
      </c>
    </row>
    <row r="528" spans="1:1" x14ac:dyDescent="0.25">
      <c r="A528" t="s">
        <v>1052</v>
      </c>
    </row>
    <row r="529" spans="1:1" x14ac:dyDescent="0.25">
      <c r="A529" t="s">
        <v>1054</v>
      </c>
    </row>
    <row r="530" spans="1:1" x14ac:dyDescent="0.25">
      <c r="A530" t="s">
        <v>1057</v>
      </c>
    </row>
    <row r="531" spans="1:1" x14ac:dyDescent="0.25">
      <c r="A531" t="s">
        <v>1059</v>
      </c>
    </row>
    <row r="532" spans="1:1" x14ac:dyDescent="0.25">
      <c r="A532" t="s">
        <v>1061</v>
      </c>
    </row>
    <row r="533" spans="1:1" x14ac:dyDescent="0.25">
      <c r="A533" t="s">
        <v>1063</v>
      </c>
    </row>
    <row r="534" spans="1:1" x14ac:dyDescent="0.25">
      <c r="A534" t="s">
        <v>1066</v>
      </c>
    </row>
    <row r="535" spans="1:1" x14ac:dyDescent="0.25">
      <c r="A535" t="s">
        <v>4552</v>
      </c>
    </row>
    <row r="536" spans="1:1" x14ac:dyDescent="0.25">
      <c r="A536" t="s">
        <v>1068</v>
      </c>
    </row>
    <row r="537" spans="1:1" x14ac:dyDescent="0.25">
      <c r="A537" t="s">
        <v>1071</v>
      </c>
    </row>
    <row r="538" spans="1:1" x14ac:dyDescent="0.25">
      <c r="A538" t="s">
        <v>1074</v>
      </c>
    </row>
    <row r="539" spans="1:1" x14ac:dyDescent="0.25">
      <c r="A539" t="s">
        <v>1076</v>
      </c>
    </row>
    <row r="540" spans="1:1" x14ac:dyDescent="0.25">
      <c r="A540" t="s">
        <v>1079</v>
      </c>
    </row>
    <row r="541" spans="1:1" x14ac:dyDescent="0.25">
      <c r="A541" t="s">
        <v>1082</v>
      </c>
    </row>
    <row r="542" spans="1:1" x14ac:dyDescent="0.25">
      <c r="A542" t="s">
        <v>1084</v>
      </c>
    </row>
    <row r="543" spans="1:1" x14ac:dyDescent="0.25">
      <c r="A543" t="s">
        <v>1087</v>
      </c>
    </row>
    <row r="544" spans="1:1" x14ac:dyDescent="0.25">
      <c r="A544" t="s">
        <v>1090</v>
      </c>
    </row>
    <row r="545" spans="1:1" x14ac:dyDescent="0.25">
      <c r="A545" t="s">
        <v>1092</v>
      </c>
    </row>
    <row r="546" spans="1:1" x14ac:dyDescent="0.25">
      <c r="A546" t="s">
        <v>4553</v>
      </c>
    </row>
    <row r="547" spans="1:1" x14ac:dyDescent="0.25">
      <c r="A547" t="s">
        <v>1094</v>
      </c>
    </row>
    <row r="548" spans="1:1" x14ac:dyDescent="0.25">
      <c r="A548" t="s">
        <v>4554</v>
      </c>
    </row>
    <row r="549" spans="1:1" x14ac:dyDescent="0.25">
      <c r="A549" t="s">
        <v>4555</v>
      </c>
    </row>
    <row r="550" spans="1:1" x14ac:dyDescent="0.25">
      <c r="A550" t="s">
        <v>4556</v>
      </c>
    </row>
    <row r="551" spans="1:1" x14ac:dyDescent="0.25">
      <c r="A551" t="s">
        <v>4557</v>
      </c>
    </row>
    <row r="552" spans="1:1" x14ac:dyDescent="0.25">
      <c r="A552" t="s">
        <v>1097</v>
      </c>
    </row>
    <row r="553" spans="1:1" x14ac:dyDescent="0.25">
      <c r="A553" t="s">
        <v>1099</v>
      </c>
    </row>
    <row r="554" spans="1:1" x14ac:dyDescent="0.25">
      <c r="A554" t="s">
        <v>4558</v>
      </c>
    </row>
    <row r="555" spans="1:1" x14ac:dyDescent="0.25">
      <c r="A555" t="s">
        <v>4559</v>
      </c>
    </row>
    <row r="556" spans="1:1" x14ac:dyDescent="0.25">
      <c r="A556" t="s">
        <v>4560</v>
      </c>
    </row>
    <row r="557" spans="1:1" x14ac:dyDescent="0.25">
      <c r="A557" t="s">
        <v>4561</v>
      </c>
    </row>
    <row r="558" spans="1:1" x14ac:dyDescent="0.25">
      <c r="A558" t="s">
        <v>4562</v>
      </c>
    </row>
    <row r="559" spans="1:1" x14ac:dyDescent="0.25">
      <c r="A559" t="s">
        <v>1101</v>
      </c>
    </row>
    <row r="560" spans="1:1" x14ac:dyDescent="0.25">
      <c r="A560" t="s">
        <v>4563</v>
      </c>
    </row>
    <row r="561" spans="1:1" x14ac:dyDescent="0.25">
      <c r="A561" t="s">
        <v>1104</v>
      </c>
    </row>
    <row r="562" spans="1:1" x14ac:dyDescent="0.25">
      <c r="A562" t="s">
        <v>1106</v>
      </c>
    </row>
    <row r="563" spans="1:1" x14ac:dyDescent="0.25">
      <c r="A563" t="s">
        <v>1108</v>
      </c>
    </row>
    <row r="564" spans="1:1" x14ac:dyDescent="0.25">
      <c r="A564" t="s">
        <v>1111</v>
      </c>
    </row>
    <row r="565" spans="1:1" x14ac:dyDescent="0.25">
      <c r="A565" t="s">
        <v>1114</v>
      </c>
    </row>
    <row r="566" spans="1:1" x14ac:dyDescent="0.25">
      <c r="A566" t="s">
        <v>1116</v>
      </c>
    </row>
    <row r="567" spans="1:1" x14ac:dyDescent="0.25">
      <c r="A567" t="s">
        <v>4564</v>
      </c>
    </row>
    <row r="568" spans="1:1" x14ac:dyDescent="0.25">
      <c r="A568" t="s">
        <v>1118</v>
      </c>
    </row>
    <row r="569" spans="1:1" x14ac:dyDescent="0.25">
      <c r="A569" t="s">
        <v>1121</v>
      </c>
    </row>
    <row r="570" spans="1:1" x14ac:dyDescent="0.25">
      <c r="A570" t="s">
        <v>1123</v>
      </c>
    </row>
    <row r="571" spans="1:1" x14ac:dyDescent="0.25">
      <c r="A571" t="s">
        <v>4565</v>
      </c>
    </row>
    <row r="572" spans="1:1" x14ac:dyDescent="0.25">
      <c r="A572" t="s">
        <v>1125</v>
      </c>
    </row>
    <row r="573" spans="1:1" x14ac:dyDescent="0.25">
      <c r="A573" t="s">
        <v>4566</v>
      </c>
    </row>
    <row r="574" spans="1:1" x14ac:dyDescent="0.25">
      <c r="A574" t="s">
        <v>4567</v>
      </c>
    </row>
    <row r="575" spans="1:1" x14ac:dyDescent="0.25">
      <c r="A575" t="s">
        <v>1127</v>
      </c>
    </row>
    <row r="576" spans="1:1" x14ac:dyDescent="0.25">
      <c r="A576" t="s">
        <v>1129</v>
      </c>
    </row>
    <row r="577" spans="1:1" x14ac:dyDescent="0.25">
      <c r="A577" t="s">
        <v>4568</v>
      </c>
    </row>
    <row r="578" spans="1:1" x14ac:dyDescent="0.25">
      <c r="A578" t="s">
        <v>1131</v>
      </c>
    </row>
    <row r="579" spans="1:1" x14ac:dyDescent="0.25">
      <c r="A579" t="s">
        <v>4569</v>
      </c>
    </row>
    <row r="580" spans="1:1" x14ac:dyDescent="0.25">
      <c r="A580" t="s">
        <v>1133</v>
      </c>
    </row>
    <row r="581" spans="1:1" x14ac:dyDescent="0.25">
      <c r="A581" t="s">
        <v>4570</v>
      </c>
    </row>
    <row r="582" spans="1:1" x14ac:dyDescent="0.25">
      <c r="A582" t="s">
        <v>1135</v>
      </c>
    </row>
    <row r="583" spans="1:1" x14ac:dyDescent="0.25">
      <c r="A583" t="s">
        <v>1137</v>
      </c>
    </row>
    <row r="584" spans="1:1" x14ac:dyDescent="0.25">
      <c r="A584" t="s">
        <v>1139</v>
      </c>
    </row>
    <row r="585" spans="1:1" x14ac:dyDescent="0.25">
      <c r="A585" t="s">
        <v>1142</v>
      </c>
    </row>
    <row r="586" spans="1:1" x14ac:dyDescent="0.25">
      <c r="A586" t="s">
        <v>1145</v>
      </c>
    </row>
    <row r="587" spans="1:1" x14ac:dyDescent="0.25">
      <c r="A587" t="s">
        <v>4571</v>
      </c>
    </row>
    <row r="588" spans="1:1" x14ac:dyDescent="0.25">
      <c r="A588" t="s">
        <v>4572</v>
      </c>
    </row>
    <row r="589" spans="1:1" x14ac:dyDescent="0.25">
      <c r="A589" t="s">
        <v>4573</v>
      </c>
    </row>
    <row r="590" spans="1:1" x14ac:dyDescent="0.25">
      <c r="A590" t="s">
        <v>4574</v>
      </c>
    </row>
    <row r="591" spans="1:1" x14ac:dyDescent="0.25">
      <c r="A591" t="s">
        <v>1148</v>
      </c>
    </row>
    <row r="592" spans="1:1" x14ac:dyDescent="0.25">
      <c r="A592" t="s">
        <v>1151</v>
      </c>
    </row>
    <row r="593" spans="1:1" x14ac:dyDescent="0.25">
      <c r="A593" t="s">
        <v>1154</v>
      </c>
    </row>
    <row r="594" spans="1:1" x14ac:dyDescent="0.25">
      <c r="A594" t="s">
        <v>1157</v>
      </c>
    </row>
    <row r="595" spans="1:1" x14ac:dyDescent="0.25">
      <c r="A595" t="s">
        <v>1159</v>
      </c>
    </row>
    <row r="596" spans="1:1" x14ac:dyDescent="0.25">
      <c r="A596" t="s">
        <v>1162</v>
      </c>
    </row>
    <row r="597" spans="1:1" x14ac:dyDescent="0.25">
      <c r="A597" t="s">
        <v>1164</v>
      </c>
    </row>
    <row r="598" spans="1:1" x14ac:dyDescent="0.25">
      <c r="A598" t="s">
        <v>1166</v>
      </c>
    </row>
    <row r="599" spans="1:1" x14ac:dyDescent="0.25">
      <c r="A599" t="s">
        <v>4575</v>
      </c>
    </row>
    <row r="600" spans="1:1" x14ac:dyDescent="0.25">
      <c r="A600" t="s">
        <v>1168</v>
      </c>
    </row>
    <row r="601" spans="1:1" x14ac:dyDescent="0.25">
      <c r="A601" t="s">
        <v>1171</v>
      </c>
    </row>
    <row r="602" spans="1:1" x14ac:dyDescent="0.25">
      <c r="A602" t="s">
        <v>1173</v>
      </c>
    </row>
    <row r="603" spans="1:1" x14ac:dyDescent="0.25">
      <c r="A603" t="s">
        <v>1175</v>
      </c>
    </row>
    <row r="604" spans="1:1" x14ac:dyDescent="0.25">
      <c r="A604" t="s">
        <v>1177</v>
      </c>
    </row>
    <row r="605" spans="1:1" x14ac:dyDescent="0.25">
      <c r="A605" t="s">
        <v>4576</v>
      </c>
    </row>
    <row r="606" spans="1:1" x14ac:dyDescent="0.25">
      <c r="A606" t="s">
        <v>1180</v>
      </c>
    </row>
    <row r="607" spans="1:1" x14ac:dyDescent="0.25">
      <c r="A607" t="s">
        <v>4577</v>
      </c>
    </row>
    <row r="608" spans="1:1" x14ac:dyDescent="0.25">
      <c r="A608" t="s">
        <v>1183</v>
      </c>
    </row>
    <row r="609" spans="1:1" x14ac:dyDescent="0.25">
      <c r="A609" t="s">
        <v>1185</v>
      </c>
    </row>
    <row r="610" spans="1:1" x14ac:dyDescent="0.25">
      <c r="A610" t="s">
        <v>1188</v>
      </c>
    </row>
    <row r="611" spans="1:1" x14ac:dyDescent="0.25">
      <c r="A611" t="s">
        <v>1190</v>
      </c>
    </row>
    <row r="612" spans="1:1" x14ac:dyDescent="0.25">
      <c r="A612" t="s">
        <v>1193</v>
      </c>
    </row>
    <row r="613" spans="1:1" x14ac:dyDescent="0.25">
      <c r="A613" t="s">
        <v>1196</v>
      </c>
    </row>
    <row r="614" spans="1:1" x14ac:dyDescent="0.25">
      <c r="A614" t="s">
        <v>1198</v>
      </c>
    </row>
    <row r="615" spans="1:1" x14ac:dyDescent="0.25">
      <c r="A615" t="s">
        <v>1200</v>
      </c>
    </row>
    <row r="616" spans="1:1" x14ac:dyDescent="0.25">
      <c r="A616" t="s">
        <v>1203</v>
      </c>
    </row>
    <row r="617" spans="1:1" x14ac:dyDescent="0.25">
      <c r="A617" t="s">
        <v>4578</v>
      </c>
    </row>
    <row r="618" spans="1:1" x14ac:dyDescent="0.25">
      <c r="A618" t="s">
        <v>1206</v>
      </c>
    </row>
    <row r="619" spans="1:1" x14ac:dyDescent="0.25">
      <c r="A619" t="s">
        <v>1208</v>
      </c>
    </row>
    <row r="620" spans="1:1" x14ac:dyDescent="0.25">
      <c r="A620" t="s">
        <v>4579</v>
      </c>
    </row>
    <row r="621" spans="1:1" x14ac:dyDescent="0.25">
      <c r="A621" t="s">
        <v>4580</v>
      </c>
    </row>
    <row r="622" spans="1:1" x14ac:dyDescent="0.25">
      <c r="A622" t="s">
        <v>1210</v>
      </c>
    </row>
    <row r="623" spans="1:1" x14ac:dyDescent="0.25">
      <c r="A623" t="s">
        <v>4581</v>
      </c>
    </row>
    <row r="624" spans="1:1" x14ac:dyDescent="0.25">
      <c r="A624" t="s">
        <v>1213</v>
      </c>
    </row>
    <row r="625" spans="1:1" x14ac:dyDescent="0.25">
      <c r="A625" t="s">
        <v>1216</v>
      </c>
    </row>
    <row r="626" spans="1:1" x14ac:dyDescent="0.25">
      <c r="A626" t="s">
        <v>4582</v>
      </c>
    </row>
    <row r="627" spans="1:1" x14ac:dyDescent="0.25">
      <c r="A627" t="s">
        <v>4583</v>
      </c>
    </row>
    <row r="628" spans="1:1" x14ac:dyDescent="0.25">
      <c r="A628" t="s">
        <v>4584</v>
      </c>
    </row>
    <row r="629" spans="1:1" x14ac:dyDescent="0.25">
      <c r="A629" t="s">
        <v>4585</v>
      </c>
    </row>
    <row r="630" spans="1:1" x14ac:dyDescent="0.25">
      <c r="A630" t="s">
        <v>4586</v>
      </c>
    </row>
    <row r="631" spans="1:1" x14ac:dyDescent="0.25">
      <c r="A631" t="s">
        <v>4587</v>
      </c>
    </row>
    <row r="632" spans="1:1" x14ac:dyDescent="0.25">
      <c r="A632" t="s">
        <v>1219</v>
      </c>
    </row>
    <row r="633" spans="1:1" x14ac:dyDescent="0.25">
      <c r="A633" t="s">
        <v>1221</v>
      </c>
    </row>
    <row r="634" spans="1:1" x14ac:dyDescent="0.25">
      <c r="A634" t="s">
        <v>1223</v>
      </c>
    </row>
    <row r="635" spans="1:1" x14ac:dyDescent="0.25">
      <c r="A635" t="s">
        <v>4588</v>
      </c>
    </row>
    <row r="636" spans="1:1" x14ac:dyDescent="0.25">
      <c r="A636" t="s">
        <v>4589</v>
      </c>
    </row>
    <row r="637" spans="1:1" x14ac:dyDescent="0.25">
      <c r="A637" t="s">
        <v>1225</v>
      </c>
    </row>
    <row r="638" spans="1:1" x14ac:dyDescent="0.25">
      <c r="A638" t="s">
        <v>4590</v>
      </c>
    </row>
    <row r="639" spans="1:1" x14ac:dyDescent="0.25">
      <c r="A639" t="s">
        <v>4591</v>
      </c>
    </row>
    <row r="640" spans="1:1" x14ac:dyDescent="0.25">
      <c r="A640" t="s">
        <v>4592</v>
      </c>
    </row>
    <row r="641" spans="1:1" x14ac:dyDescent="0.25">
      <c r="A641" t="s">
        <v>1227</v>
      </c>
    </row>
    <row r="642" spans="1:1" x14ac:dyDescent="0.25">
      <c r="A642" t="s">
        <v>1229</v>
      </c>
    </row>
    <row r="643" spans="1:1" x14ac:dyDescent="0.25">
      <c r="A643" t="s">
        <v>4593</v>
      </c>
    </row>
    <row r="644" spans="1:1" x14ac:dyDescent="0.25">
      <c r="A644" t="s">
        <v>1231</v>
      </c>
    </row>
    <row r="645" spans="1:1" x14ac:dyDescent="0.25">
      <c r="A645" t="s">
        <v>1234</v>
      </c>
    </row>
    <row r="646" spans="1:1" x14ac:dyDescent="0.25">
      <c r="A646" t="s">
        <v>1236</v>
      </c>
    </row>
    <row r="647" spans="1:1" x14ac:dyDescent="0.25">
      <c r="A647" t="s">
        <v>1239</v>
      </c>
    </row>
    <row r="648" spans="1:1" x14ac:dyDescent="0.25">
      <c r="A648" t="s">
        <v>1242</v>
      </c>
    </row>
    <row r="649" spans="1:1" x14ac:dyDescent="0.25">
      <c r="A649" t="s">
        <v>1245</v>
      </c>
    </row>
    <row r="650" spans="1:1" x14ac:dyDescent="0.25">
      <c r="A650" t="s">
        <v>1248</v>
      </c>
    </row>
    <row r="651" spans="1:1" x14ac:dyDescent="0.25">
      <c r="A651" t="s">
        <v>4594</v>
      </c>
    </row>
    <row r="652" spans="1:1" x14ac:dyDescent="0.25">
      <c r="A652" t="s">
        <v>4595</v>
      </c>
    </row>
    <row r="653" spans="1:1" x14ac:dyDescent="0.25">
      <c r="A653" t="s">
        <v>1251</v>
      </c>
    </row>
    <row r="654" spans="1:1" x14ac:dyDescent="0.25">
      <c r="A654" t="s">
        <v>1254</v>
      </c>
    </row>
    <row r="655" spans="1:1" x14ac:dyDescent="0.25">
      <c r="A655" t="s">
        <v>1257</v>
      </c>
    </row>
    <row r="656" spans="1:1" x14ac:dyDescent="0.25">
      <c r="A656" t="s">
        <v>1260</v>
      </c>
    </row>
    <row r="657" spans="1:1" x14ac:dyDescent="0.25">
      <c r="A657" t="s">
        <v>4596</v>
      </c>
    </row>
    <row r="658" spans="1:1" x14ac:dyDescent="0.25">
      <c r="A658" t="s">
        <v>4597</v>
      </c>
    </row>
    <row r="659" spans="1:1" x14ac:dyDescent="0.25">
      <c r="A659" t="s">
        <v>4598</v>
      </c>
    </row>
    <row r="660" spans="1:1" x14ac:dyDescent="0.25">
      <c r="A660" t="s">
        <v>4599</v>
      </c>
    </row>
    <row r="661" spans="1:1" x14ac:dyDescent="0.25">
      <c r="A661" t="s">
        <v>4600</v>
      </c>
    </row>
    <row r="662" spans="1:1" x14ac:dyDescent="0.25">
      <c r="A662" t="s">
        <v>4601</v>
      </c>
    </row>
    <row r="663" spans="1:1" x14ac:dyDescent="0.25">
      <c r="A663" t="s">
        <v>4602</v>
      </c>
    </row>
    <row r="664" spans="1:1" x14ac:dyDescent="0.25">
      <c r="A664" t="s">
        <v>4603</v>
      </c>
    </row>
    <row r="665" spans="1:1" x14ac:dyDescent="0.25">
      <c r="A665" t="s">
        <v>4604</v>
      </c>
    </row>
    <row r="666" spans="1:1" x14ac:dyDescent="0.25">
      <c r="A666" t="s">
        <v>4605</v>
      </c>
    </row>
    <row r="667" spans="1:1" x14ac:dyDescent="0.25">
      <c r="A667" t="s">
        <v>1262</v>
      </c>
    </row>
    <row r="668" spans="1:1" x14ac:dyDescent="0.25">
      <c r="A668" t="s">
        <v>1264</v>
      </c>
    </row>
    <row r="669" spans="1:1" x14ac:dyDescent="0.25">
      <c r="A669" t="s">
        <v>1267</v>
      </c>
    </row>
    <row r="670" spans="1:1" x14ac:dyDescent="0.25">
      <c r="A670" t="s">
        <v>1269</v>
      </c>
    </row>
    <row r="671" spans="1:1" x14ac:dyDescent="0.25">
      <c r="A671" t="s">
        <v>1271</v>
      </c>
    </row>
    <row r="672" spans="1:1" x14ac:dyDescent="0.25">
      <c r="A672" t="s">
        <v>1274</v>
      </c>
    </row>
    <row r="673" spans="1:1" x14ac:dyDescent="0.25">
      <c r="A673" t="s">
        <v>4606</v>
      </c>
    </row>
    <row r="674" spans="1:1" x14ac:dyDescent="0.25">
      <c r="A674" t="s">
        <v>1277</v>
      </c>
    </row>
    <row r="675" spans="1:1" x14ac:dyDescent="0.25">
      <c r="A675" t="s">
        <v>4607</v>
      </c>
    </row>
    <row r="676" spans="1:1" x14ac:dyDescent="0.25">
      <c r="A676" t="s">
        <v>1280</v>
      </c>
    </row>
    <row r="677" spans="1:1" x14ac:dyDescent="0.25">
      <c r="A677" t="s">
        <v>4608</v>
      </c>
    </row>
    <row r="678" spans="1:1" x14ac:dyDescent="0.25">
      <c r="A678" t="s">
        <v>1282</v>
      </c>
    </row>
    <row r="679" spans="1:1" x14ac:dyDescent="0.25">
      <c r="A679" t="s">
        <v>4609</v>
      </c>
    </row>
    <row r="680" spans="1:1" x14ac:dyDescent="0.25">
      <c r="A680" t="s">
        <v>4610</v>
      </c>
    </row>
    <row r="681" spans="1:1" x14ac:dyDescent="0.25">
      <c r="A681" t="s">
        <v>1284</v>
      </c>
    </row>
    <row r="682" spans="1:1" x14ac:dyDescent="0.25">
      <c r="A682" t="s">
        <v>4611</v>
      </c>
    </row>
    <row r="683" spans="1:1" x14ac:dyDescent="0.25">
      <c r="A683" t="s">
        <v>1286</v>
      </c>
    </row>
    <row r="684" spans="1:1" x14ac:dyDescent="0.25">
      <c r="A684" t="s">
        <v>1289</v>
      </c>
    </row>
    <row r="685" spans="1:1" x14ac:dyDescent="0.25">
      <c r="A685" t="s">
        <v>4612</v>
      </c>
    </row>
    <row r="686" spans="1:1" x14ac:dyDescent="0.25">
      <c r="A686" t="s">
        <v>1291</v>
      </c>
    </row>
    <row r="687" spans="1:1" x14ac:dyDescent="0.25">
      <c r="A687" t="s">
        <v>4613</v>
      </c>
    </row>
    <row r="688" spans="1:1" x14ac:dyDescent="0.25">
      <c r="A688" t="s">
        <v>1294</v>
      </c>
    </row>
    <row r="689" spans="1:1" x14ac:dyDescent="0.25">
      <c r="A689" t="s">
        <v>1297</v>
      </c>
    </row>
    <row r="690" spans="1:1" x14ac:dyDescent="0.25">
      <c r="A690" t="s">
        <v>1299</v>
      </c>
    </row>
    <row r="691" spans="1:1" x14ac:dyDescent="0.25">
      <c r="A691" t="s">
        <v>1302</v>
      </c>
    </row>
    <row r="692" spans="1:1" x14ac:dyDescent="0.25">
      <c r="A692" t="s">
        <v>1305</v>
      </c>
    </row>
    <row r="693" spans="1:1" x14ac:dyDescent="0.25">
      <c r="A693" t="s">
        <v>1308</v>
      </c>
    </row>
    <row r="694" spans="1:1" x14ac:dyDescent="0.25">
      <c r="A694" t="s">
        <v>1311</v>
      </c>
    </row>
    <row r="695" spans="1:1" x14ac:dyDescent="0.25">
      <c r="A695" t="s">
        <v>4614</v>
      </c>
    </row>
    <row r="696" spans="1:1" x14ac:dyDescent="0.25">
      <c r="A696" t="s">
        <v>4615</v>
      </c>
    </row>
    <row r="697" spans="1:1" x14ac:dyDescent="0.25">
      <c r="A697" t="s">
        <v>1313</v>
      </c>
    </row>
    <row r="698" spans="1:1" x14ac:dyDescent="0.25">
      <c r="A698" t="s">
        <v>4616</v>
      </c>
    </row>
    <row r="699" spans="1:1" x14ac:dyDescent="0.25">
      <c r="A699" t="s">
        <v>1316</v>
      </c>
    </row>
    <row r="700" spans="1:1" x14ac:dyDescent="0.25">
      <c r="A700" t="s">
        <v>1319</v>
      </c>
    </row>
    <row r="701" spans="1:1" x14ac:dyDescent="0.25">
      <c r="A701" t="s">
        <v>1321</v>
      </c>
    </row>
    <row r="702" spans="1:1" x14ac:dyDescent="0.25">
      <c r="A702" t="s">
        <v>1324</v>
      </c>
    </row>
    <row r="703" spans="1:1" x14ac:dyDescent="0.25">
      <c r="A703" t="s">
        <v>1327</v>
      </c>
    </row>
    <row r="704" spans="1:1" x14ac:dyDescent="0.25">
      <c r="A704" t="s">
        <v>1329</v>
      </c>
    </row>
    <row r="705" spans="1:1" x14ac:dyDescent="0.25">
      <c r="A705" t="s">
        <v>1331</v>
      </c>
    </row>
    <row r="706" spans="1:1" x14ac:dyDescent="0.25">
      <c r="A706" t="s">
        <v>4617</v>
      </c>
    </row>
    <row r="707" spans="1:1" x14ac:dyDescent="0.25">
      <c r="A707" t="s">
        <v>1333</v>
      </c>
    </row>
    <row r="708" spans="1:1" x14ac:dyDescent="0.25">
      <c r="A708" t="s">
        <v>1336</v>
      </c>
    </row>
    <row r="709" spans="1:1" x14ac:dyDescent="0.25">
      <c r="A709" t="s">
        <v>1338</v>
      </c>
    </row>
    <row r="710" spans="1:1" x14ac:dyDescent="0.25">
      <c r="A710" t="s">
        <v>1340</v>
      </c>
    </row>
    <row r="711" spans="1:1" x14ac:dyDescent="0.25">
      <c r="A711" t="s">
        <v>4618</v>
      </c>
    </row>
    <row r="712" spans="1:1" x14ac:dyDescent="0.25">
      <c r="A712" t="s">
        <v>1342</v>
      </c>
    </row>
    <row r="713" spans="1:1" x14ac:dyDescent="0.25">
      <c r="A713" t="s">
        <v>4619</v>
      </c>
    </row>
    <row r="714" spans="1:1" x14ac:dyDescent="0.25">
      <c r="A714" t="s">
        <v>4620</v>
      </c>
    </row>
    <row r="715" spans="1:1" x14ac:dyDescent="0.25">
      <c r="A715" t="s">
        <v>4621</v>
      </c>
    </row>
    <row r="716" spans="1:1" x14ac:dyDescent="0.25">
      <c r="A716" t="s">
        <v>4622</v>
      </c>
    </row>
    <row r="717" spans="1:1" x14ac:dyDescent="0.25">
      <c r="A717" t="s">
        <v>4623</v>
      </c>
    </row>
    <row r="718" spans="1:1" x14ac:dyDescent="0.25">
      <c r="A718" t="s">
        <v>1344</v>
      </c>
    </row>
    <row r="719" spans="1:1" x14ac:dyDescent="0.25">
      <c r="A719" t="s">
        <v>4624</v>
      </c>
    </row>
    <row r="720" spans="1:1" x14ac:dyDescent="0.25">
      <c r="A720" t="s">
        <v>4625</v>
      </c>
    </row>
    <row r="721" spans="1:1" x14ac:dyDescent="0.25">
      <c r="A721" t="s">
        <v>1347</v>
      </c>
    </row>
    <row r="722" spans="1:1" x14ac:dyDescent="0.25">
      <c r="A722" t="s">
        <v>1349</v>
      </c>
    </row>
    <row r="723" spans="1:1" x14ac:dyDescent="0.25">
      <c r="A723" t="s">
        <v>4626</v>
      </c>
    </row>
    <row r="724" spans="1:1" x14ac:dyDescent="0.25">
      <c r="A724" t="s">
        <v>1352</v>
      </c>
    </row>
    <row r="725" spans="1:1" x14ac:dyDescent="0.25">
      <c r="A725" t="s">
        <v>1355</v>
      </c>
    </row>
    <row r="726" spans="1:1" x14ac:dyDescent="0.25">
      <c r="A726" t="s">
        <v>4627</v>
      </c>
    </row>
    <row r="727" spans="1:1" x14ac:dyDescent="0.25">
      <c r="A727" t="s">
        <v>1358</v>
      </c>
    </row>
    <row r="728" spans="1:1" x14ac:dyDescent="0.25">
      <c r="A728" t="s">
        <v>4628</v>
      </c>
    </row>
    <row r="729" spans="1:1" x14ac:dyDescent="0.25">
      <c r="A729" t="s">
        <v>1361</v>
      </c>
    </row>
    <row r="730" spans="1:1" x14ac:dyDescent="0.25">
      <c r="A730" t="s">
        <v>1363</v>
      </c>
    </row>
    <row r="731" spans="1:1" x14ac:dyDescent="0.25">
      <c r="A731" t="s">
        <v>1366</v>
      </c>
    </row>
    <row r="732" spans="1:1" x14ac:dyDescent="0.25">
      <c r="A732" t="s">
        <v>4629</v>
      </c>
    </row>
    <row r="733" spans="1:1" x14ac:dyDescent="0.25">
      <c r="A733" t="s">
        <v>4630</v>
      </c>
    </row>
    <row r="734" spans="1:1" x14ac:dyDescent="0.25">
      <c r="A734" t="s">
        <v>4631</v>
      </c>
    </row>
    <row r="735" spans="1:1" x14ac:dyDescent="0.25">
      <c r="A735" t="s">
        <v>8</v>
      </c>
    </row>
    <row r="736" spans="1:1" x14ac:dyDescent="0.25">
      <c r="A736" t="s">
        <v>1368</v>
      </c>
    </row>
    <row r="737" spans="1:1" x14ac:dyDescent="0.25">
      <c r="A737" t="s">
        <v>4632</v>
      </c>
    </row>
    <row r="738" spans="1:1" x14ac:dyDescent="0.25">
      <c r="A738" t="s">
        <v>4633</v>
      </c>
    </row>
    <row r="739" spans="1:1" x14ac:dyDescent="0.25">
      <c r="A739" t="s">
        <v>1370</v>
      </c>
    </row>
    <row r="740" spans="1:1" x14ac:dyDescent="0.25">
      <c r="A740" t="s">
        <v>1372</v>
      </c>
    </row>
    <row r="741" spans="1:1" x14ac:dyDescent="0.25">
      <c r="A741" t="s">
        <v>1374</v>
      </c>
    </row>
    <row r="742" spans="1:1" x14ac:dyDescent="0.25">
      <c r="A742" t="s">
        <v>4634</v>
      </c>
    </row>
    <row r="743" spans="1:1" x14ac:dyDescent="0.25">
      <c r="A743" t="s">
        <v>1376</v>
      </c>
    </row>
    <row r="744" spans="1:1" x14ac:dyDescent="0.25">
      <c r="A744" t="s">
        <v>1379</v>
      </c>
    </row>
    <row r="745" spans="1:1" x14ac:dyDescent="0.25">
      <c r="A745" t="s">
        <v>1381</v>
      </c>
    </row>
    <row r="746" spans="1:1" x14ac:dyDescent="0.25">
      <c r="A746" t="s">
        <v>1384</v>
      </c>
    </row>
    <row r="747" spans="1:1" x14ac:dyDescent="0.25">
      <c r="A747" t="s">
        <v>4635</v>
      </c>
    </row>
    <row r="748" spans="1:1" x14ac:dyDescent="0.25">
      <c r="A748" t="s">
        <v>4636</v>
      </c>
    </row>
    <row r="749" spans="1:1" x14ac:dyDescent="0.25">
      <c r="A749" t="s">
        <v>1386</v>
      </c>
    </row>
    <row r="750" spans="1:1" x14ac:dyDescent="0.25">
      <c r="A750" t="s">
        <v>1389</v>
      </c>
    </row>
    <row r="751" spans="1:1" x14ac:dyDescent="0.25">
      <c r="A751" t="s">
        <v>1391</v>
      </c>
    </row>
    <row r="752" spans="1:1" x14ac:dyDescent="0.25">
      <c r="A752" t="s">
        <v>4637</v>
      </c>
    </row>
    <row r="753" spans="1:1" x14ac:dyDescent="0.25">
      <c r="A753" t="s">
        <v>4638</v>
      </c>
    </row>
    <row r="754" spans="1:1" x14ac:dyDescent="0.25">
      <c r="A754" t="s">
        <v>1394</v>
      </c>
    </row>
    <row r="755" spans="1:1" x14ac:dyDescent="0.25">
      <c r="A755" t="s">
        <v>1396</v>
      </c>
    </row>
    <row r="756" spans="1:1" x14ac:dyDescent="0.25">
      <c r="A756" t="s">
        <v>4639</v>
      </c>
    </row>
    <row r="757" spans="1:1" x14ac:dyDescent="0.25">
      <c r="A757" t="s">
        <v>4640</v>
      </c>
    </row>
    <row r="758" spans="1:1" x14ac:dyDescent="0.25">
      <c r="A758" t="s">
        <v>4641</v>
      </c>
    </row>
    <row r="759" spans="1:1" x14ac:dyDescent="0.25">
      <c r="A759" t="s">
        <v>4642</v>
      </c>
    </row>
    <row r="760" spans="1:1" x14ac:dyDescent="0.25">
      <c r="A760" t="s">
        <v>1399</v>
      </c>
    </row>
    <row r="761" spans="1:1" x14ac:dyDescent="0.25">
      <c r="A761" t="s">
        <v>1401</v>
      </c>
    </row>
    <row r="762" spans="1:1" x14ac:dyDescent="0.25">
      <c r="A762" t="s">
        <v>1404</v>
      </c>
    </row>
    <row r="763" spans="1:1" x14ac:dyDescent="0.25">
      <c r="A763" t="s">
        <v>1406</v>
      </c>
    </row>
    <row r="764" spans="1:1" x14ac:dyDescent="0.25">
      <c r="A764" t="s">
        <v>1409</v>
      </c>
    </row>
    <row r="765" spans="1:1" x14ac:dyDescent="0.25">
      <c r="A765" t="s">
        <v>1411</v>
      </c>
    </row>
    <row r="766" spans="1:1" x14ac:dyDescent="0.25">
      <c r="A766" t="s">
        <v>1413</v>
      </c>
    </row>
    <row r="767" spans="1:1" x14ac:dyDescent="0.25">
      <c r="A767" t="s">
        <v>4643</v>
      </c>
    </row>
    <row r="768" spans="1:1" x14ac:dyDescent="0.25">
      <c r="A768" t="s">
        <v>1415</v>
      </c>
    </row>
    <row r="769" spans="1:1" x14ac:dyDescent="0.25">
      <c r="A769" t="s">
        <v>4644</v>
      </c>
    </row>
    <row r="770" spans="1:1" x14ac:dyDescent="0.25">
      <c r="A770" t="s">
        <v>1417</v>
      </c>
    </row>
    <row r="771" spans="1:1" x14ac:dyDescent="0.25">
      <c r="A771" t="s">
        <v>1420</v>
      </c>
    </row>
    <row r="772" spans="1:1" x14ac:dyDescent="0.25">
      <c r="A772" t="s">
        <v>1423</v>
      </c>
    </row>
    <row r="773" spans="1:1" x14ac:dyDescent="0.25">
      <c r="A773" t="s">
        <v>4645</v>
      </c>
    </row>
    <row r="774" spans="1:1" x14ac:dyDescent="0.25">
      <c r="A774" t="s">
        <v>1425</v>
      </c>
    </row>
    <row r="775" spans="1:1" x14ac:dyDescent="0.25">
      <c r="A775" t="s">
        <v>1428</v>
      </c>
    </row>
    <row r="776" spans="1:1" x14ac:dyDescent="0.25">
      <c r="A776" t="s">
        <v>1430</v>
      </c>
    </row>
    <row r="777" spans="1:1" x14ac:dyDescent="0.25">
      <c r="A777" t="s">
        <v>4646</v>
      </c>
    </row>
    <row r="778" spans="1:1" x14ac:dyDescent="0.25">
      <c r="A778" t="s">
        <v>1433</v>
      </c>
    </row>
    <row r="779" spans="1:1" x14ac:dyDescent="0.25">
      <c r="A779" t="s">
        <v>1435</v>
      </c>
    </row>
    <row r="780" spans="1:1" x14ac:dyDescent="0.25">
      <c r="A780" t="s">
        <v>1437</v>
      </c>
    </row>
    <row r="781" spans="1:1" x14ac:dyDescent="0.25">
      <c r="A781" t="s">
        <v>4647</v>
      </c>
    </row>
    <row r="782" spans="1:1" x14ac:dyDescent="0.25">
      <c r="A782" t="s">
        <v>4648</v>
      </c>
    </row>
    <row r="783" spans="1:1" x14ac:dyDescent="0.25">
      <c r="A783" t="s">
        <v>1439</v>
      </c>
    </row>
    <row r="784" spans="1:1" x14ac:dyDescent="0.25">
      <c r="A784" t="s">
        <v>1442</v>
      </c>
    </row>
    <row r="785" spans="1:1" x14ac:dyDescent="0.25">
      <c r="A785" t="s">
        <v>1445</v>
      </c>
    </row>
    <row r="786" spans="1:1" x14ac:dyDescent="0.25">
      <c r="A786" t="s">
        <v>1447</v>
      </c>
    </row>
    <row r="787" spans="1:1" x14ac:dyDescent="0.25">
      <c r="A787" t="s">
        <v>4649</v>
      </c>
    </row>
    <row r="788" spans="1:1" x14ac:dyDescent="0.25">
      <c r="A788" t="s">
        <v>4650</v>
      </c>
    </row>
    <row r="789" spans="1:1" x14ac:dyDescent="0.25">
      <c r="A789" t="s">
        <v>1450</v>
      </c>
    </row>
    <row r="790" spans="1:1" x14ac:dyDescent="0.25">
      <c r="A790" t="s">
        <v>4651</v>
      </c>
    </row>
    <row r="791" spans="1:1" x14ac:dyDescent="0.25">
      <c r="A791" t="s">
        <v>1452</v>
      </c>
    </row>
    <row r="792" spans="1:1" x14ac:dyDescent="0.25">
      <c r="A792" t="s">
        <v>1455</v>
      </c>
    </row>
    <row r="793" spans="1:1" x14ac:dyDescent="0.25">
      <c r="A793" t="s">
        <v>1457</v>
      </c>
    </row>
    <row r="794" spans="1:1" x14ac:dyDescent="0.25">
      <c r="A794" t="s">
        <v>1459</v>
      </c>
    </row>
    <row r="795" spans="1:1" x14ac:dyDescent="0.25">
      <c r="A795" t="s">
        <v>4652</v>
      </c>
    </row>
    <row r="796" spans="1:1" x14ac:dyDescent="0.25">
      <c r="A796" t="s">
        <v>1461</v>
      </c>
    </row>
    <row r="797" spans="1:1" x14ac:dyDescent="0.25">
      <c r="A797" t="s">
        <v>4653</v>
      </c>
    </row>
    <row r="798" spans="1:1" x14ac:dyDescent="0.25">
      <c r="A798" t="s">
        <v>1464</v>
      </c>
    </row>
    <row r="799" spans="1:1" x14ac:dyDescent="0.25">
      <c r="A799" t="s">
        <v>1467</v>
      </c>
    </row>
    <row r="800" spans="1:1" x14ac:dyDescent="0.25">
      <c r="A800" t="s">
        <v>4654</v>
      </c>
    </row>
    <row r="801" spans="1:1" x14ac:dyDescent="0.25">
      <c r="A801" t="s">
        <v>4655</v>
      </c>
    </row>
    <row r="802" spans="1:1" x14ac:dyDescent="0.25">
      <c r="A802" t="s">
        <v>1469</v>
      </c>
    </row>
    <row r="803" spans="1:1" x14ac:dyDescent="0.25">
      <c r="A803" t="s">
        <v>1472</v>
      </c>
    </row>
    <row r="804" spans="1:1" x14ac:dyDescent="0.25">
      <c r="A804" t="s">
        <v>1475</v>
      </c>
    </row>
    <row r="805" spans="1:1" x14ac:dyDescent="0.25">
      <c r="A805" t="s">
        <v>1477</v>
      </c>
    </row>
    <row r="806" spans="1:1" x14ac:dyDescent="0.25">
      <c r="A806" t="s">
        <v>4656</v>
      </c>
    </row>
    <row r="807" spans="1:1" x14ac:dyDescent="0.25">
      <c r="A807" t="s">
        <v>4657</v>
      </c>
    </row>
    <row r="808" spans="1:1" x14ac:dyDescent="0.25">
      <c r="A808" t="s">
        <v>1480</v>
      </c>
    </row>
    <row r="809" spans="1:1" x14ac:dyDescent="0.25">
      <c r="A809" t="s">
        <v>4658</v>
      </c>
    </row>
    <row r="810" spans="1:1" x14ac:dyDescent="0.25">
      <c r="A810" t="s">
        <v>4659</v>
      </c>
    </row>
    <row r="811" spans="1:1" x14ac:dyDescent="0.25">
      <c r="A811" t="s">
        <v>1483</v>
      </c>
    </row>
    <row r="812" spans="1:1" x14ac:dyDescent="0.25">
      <c r="A812" t="s">
        <v>4660</v>
      </c>
    </row>
    <row r="813" spans="1:1" x14ac:dyDescent="0.25">
      <c r="A813" t="s">
        <v>1486</v>
      </c>
    </row>
    <row r="814" spans="1:1" x14ac:dyDescent="0.25">
      <c r="A814" t="s">
        <v>4661</v>
      </c>
    </row>
    <row r="815" spans="1:1" x14ac:dyDescent="0.25">
      <c r="A815" t="s">
        <v>1489</v>
      </c>
    </row>
    <row r="816" spans="1:1" x14ac:dyDescent="0.25">
      <c r="A816" t="s">
        <v>4662</v>
      </c>
    </row>
    <row r="817" spans="1:1" x14ac:dyDescent="0.25">
      <c r="A817" t="s">
        <v>1491</v>
      </c>
    </row>
    <row r="818" spans="1:1" x14ac:dyDescent="0.25">
      <c r="A818" t="s">
        <v>1493</v>
      </c>
    </row>
    <row r="819" spans="1:1" x14ac:dyDescent="0.25">
      <c r="A819" t="s">
        <v>4663</v>
      </c>
    </row>
    <row r="820" spans="1:1" x14ac:dyDescent="0.25">
      <c r="A820" t="s">
        <v>1495</v>
      </c>
    </row>
    <row r="821" spans="1:1" x14ac:dyDescent="0.25">
      <c r="A821" t="s">
        <v>4664</v>
      </c>
    </row>
    <row r="822" spans="1:1" x14ac:dyDescent="0.25">
      <c r="A822" t="s">
        <v>4665</v>
      </c>
    </row>
    <row r="823" spans="1:1" x14ac:dyDescent="0.25">
      <c r="A823" t="s">
        <v>1498</v>
      </c>
    </row>
    <row r="824" spans="1:1" x14ac:dyDescent="0.25">
      <c r="A824" t="s">
        <v>1500</v>
      </c>
    </row>
    <row r="825" spans="1:1" x14ac:dyDescent="0.25">
      <c r="A825" t="s">
        <v>1502</v>
      </c>
    </row>
    <row r="826" spans="1:1" x14ac:dyDescent="0.25">
      <c r="A826" t="s">
        <v>4364</v>
      </c>
    </row>
    <row r="827" spans="1:1" x14ac:dyDescent="0.25">
      <c r="A827" t="s">
        <v>1504</v>
      </c>
    </row>
    <row r="828" spans="1:1" x14ac:dyDescent="0.25">
      <c r="A828" t="s">
        <v>1506</v>
      </c>
    </row>
    <row r="829" spans="1:1" x14ac:dyDescent="0.25">
      <c r="A829" t="s">
        <v>1509</v>
      </c>
    </row>
    <row r="830" spans="1:1" x14ac:dyDescent="0.25">
      <c r="A830" t="s">
        <v>4666</v>
      </c>
    </row>
    <row r="831" spans="1:1" x14ac:dyDescent="0.25">
      <c r="A831" t="s">
        <v>1512</v>
      </c>
    </row>
    <row r="832" spans="1:1" x14ac:dyDescent="0.25">
      <c r="A832" t="s">
        <v>1514</v>
      </c>
    </row>
    <row r="833" spans="1:1" x14ac:dyDescent="0.25">
      <c r="A833" t="s">
        <v>1516</v>
      </c>
    </row>
    <row r="834" spans="1:1" x14ac:dyDescent="0.25">
      <c r="A834" t="s">
        <v>1519</v>
      </c>
    </row>
    <row r="835" spans="1:1" x14ac:dyDescent="0.25">
      <c r="A835" t="s">
        <v>4667</v>
      </c>
    </row>
    <row r="836" spans="1:1" x14ac:dyDescent="0.25">
      <c r="A836" t="s">
        <v>1522</v>
      </c>
    </row>
    <row r="837" spans="1:1" x14ac:dyDescent="0.25">
      <c r="A837" t="s">
        <v>4668</v>
      </c>
    </row>
    <row r="838" spans="1:1" x14ac:dyDescent="0.25">
      <c r="A838" t="s">
        <v>1525</v>
      </c>
    </row>
    <row r="839" spans="1:1" x14ac:dyDescent="0.25">
      <c r="A839" t="s">
        <v>4669</v>
      </c>
    </row>
    <row r="840" spans="1:1" x14ac:dyDescent="0.25">
      <c r="A840" t="s">
        <v>1527</v>
      </c>
    </row>
    <row r="841" spans="1:1" x14ac:dyDescent="0.25">
      <c r="A841" t="s">
        <v>1529</v>
      </c>
    </row>
    <row r="842" spans="1:1" x14ac:dyDescent="0.25">
      <c r="A842" t="s">
        <v>1531</v>
      </c>
    </row>
    <row r="843" spans="1:1" x14ac:dyDescent="0.25">
      <c r="A843" t="s">
        <v>4670</v>
      </c>
    </row>
    <row r="844" spans="1:1" x14ac:dyDescent="0.25">
      <c r="A844" t="s">
        <v>1534</v>
      </c>
    </row>
    <row r="845" spans="1:1" x14ac:dyDescent="0.25">
      <c r="A845" t="s">
        <v>1537</v>
      </c>
    </row>
    <row r="846" spans="1:1" x14ac:dyDescent="0.25">
      <c r="A846" t="s">
        <v>4671</v>
      </c>
    </row>
    <row r="847" spans="1:1" x14ac:dyDescent="0.25">
      <c r="A847" t="s">
        <v>1539</v>
      </c>
    </row>
    <row r="848" spans="1:1" x14ac:dyDescent="0.25">
      <c r="A848" t="s">
        <v>4672</v>
      </c>
    </row>
    <row r="849" spans="1:1" x14ac:dyDescent="0.25">
      <c r="A849" t="s">
        <v>4673</v>
      </c>
    </row>
    <row r="850" spans="1:1" x14ac:dyDescent="0.25">
      <c r="A850" t="s">
        <v>11</v>
      </c>
    </row>
    <row r="851" spans="1:1" x14ac:dyDescent="0.25">
      <c r="A851" t="s">
        <v>1542</v>
      </c>
    </row>
    <row r="852" spans="1:1" x14ac:dyDescent="0.25">
      <c r="A852" t="s">
        <v>1545</v>
      </c>
    </row>
    <row r="853" spans="1:1" x14ac:dyDescent="0.25">
      <c r="A853" t="s">
        <v>1547</v>
      </c>
    </row>
    <row r="854" spans="1:1" x14ac:dyDescent="0.25">
      <c r="A854" t="s">
        <v>1550</v>
      </c>
    </row>
    <row r="855" spans="1:1" x14ac:dyDescent="0.25">
      <c r="A855" t="s">
        <v>1553</v>
      </c>
    </row>
    <row r="856" spans="1:1" x14ac:dyDescent="0.25">
      <c r="A856" t="s">
        <v>1556</v>
      </c>
    </row>
    <row r="857" spans="1:1" x14ac:dyDescent="0.25">
      <c r="A857" t="s">
        <v>4674</v>
      </c>
    </row>
    <row r="858" spans="1:1" x14ac:dyDescent="0.25">
      <c r="A858" t="s">
        <v>4675</v>
      </c>
    </row>
    <row r="859" spans="1:1" x14ac:dyDescent="0.25">
      <c r="A859" t="s">
        <v>1559</v>
      </c>
    </row>
    <row r="860" spans="1:1" x14ac:dyDescent="0.25">
      <c r="A860" t="s">
        <v>4442</v>
      </c>
    </row>
    <row r="861" spans="1:1" x14ac:dyDescent="0.25">
      <c r="A861" t="s">
        <v>1562</v>
      </c>
    </row>
    <row r="862" spans="1:1" x14ac:dyDescent="0.25">
      <c r="A862" t="s">
        <v>4676</v>
      </c>
    </row>
    <row r="863" spans="1:1" x14ac:dyDescent="0.25">
      <c r="A863" t="s">
        <v>1565</v>
      </c>
    </row>
    <row r="864" spans="1:1" x14ac:dyDescent="0.25">
      <c r="A864" t="s">
        <v>1567</v>
      </c>
    </row>
    <row r="865" spans="1:1" x14ac:dyDescent="0.25">
      <c r="A865" t="s">
        <v>1570</v>
      </c>
    </row>
    <row r="866" spans="1:1" x14ac:dyDescent="0.25">
      <c r="A866" t="s">
        <v>1571</v>
      </c>
    </row>
    <row r="867" spans="1:1" x14ac:dyDescent="0.25">
      <c r="A867" t="s">
        <v>4677</v>
      </c>
    </row>
    <row r="868" spans="1:1" x14ac:dyDescent="0.25">
      <c r="A868" t="s">
        <v>4678</v>
      </c>
    </row>
    <row r="869" spans="1:1" x14ac:dyDescent="0.25">
      <c r="A869" t="s">
        <v>1572</v>
      </c>
    </row>
    <row r="870" spans="1:1" x14ac:dyDescent="0.25">
      <c r="A870" t="s">
        <v>1573</v>
      </c>
    </row>
    <row r="871" spans="1:1" x14ac:dyDescent="0.25">
      <c r="A871" t="s">
        <v>1574</v>
      </c>
    </row>
    <row r="872" spans="1:1" x14ac:dyDescent="0.25">
      <c r="A872" t="s">
        <v>1575</v>
      </c>
    </row>
    <row r="873" spans="1:1" x14ac:dyDescent="0.25">
      <c r="A873" t="s">
        <v>1576</v>
      </c>
    </row>
    <row r="874" spans="1:1" x14ac:dyDescent="0.25">
      <c r="A874" t="s">
        <v>4679</v>
      </c>
    </row>
    <row r="875" spans="1:1" x14ac:dyDescent="0.25">
      <c r="A875" t="s">
        <v>1577</v>
      </c>
    </row>
    <row r="876" spans="1:1" x14ac:dyDescent="0.25">
      <c r="A876" t="s">
        <v>1578</v>
      </c>
    </row>
    <row r="877" spans="1:1" x14ac:dyDescent="0.25">
      <c r="A877" t="s">
        <v>1579</v>
      </c>
    </row>
    <row r="878" spans="1:1" x14ac:dyDescent="0.25">
      <c r="A878" t="s">
        <v>4680</v>
      </c>
    </row>
    <row r="879" spans="1:1" x14ac:dyDescent="0.25">
      <c r="A879" t="s">
        <v>1580</v>
      </c>
    </row>
    <row r="880" spans="1:1" x14ac:dyDescent="0.25">
      <c r="A880" t="s">
        <v>1581</v>
      </c>
    </row>
    <row r="881" spans="1:1" x14ac:dyDescent="0.25">
      <c r="A881" t="s">
        <v>4681</v>
      </c>
    </row>
    <row r="882" spans="1:1" x14ac:dyDescent="0.25">
      <c r="A882" t="s">
        <v>4682</v>
      </c>
    </row>
    <row r="883" spans="1:1" x14ac:dyDescent="0.25">
      <c r="A883" t="s">
        <v>1582</v>
      </c>
    </row>
    <row r="884" spans="1:1" x14ac:dyDescent="0.25">
      <c r="A884" t="s">
        <v>1583</v>
      </c>
    </row>
    <row r="885" spans="1:1" x14ac:dyDescent="0.25">
      <c r="A885" t="s">
        <v>1584</v>
      </c>
    </row>
    <row r="886" spans="1:1" x14ac:dyDescent="0.25">
      <c r="A886" t="s">
        <v>1585</v>
      </c>
    </row>
    <row r="887" spans="1:1" x14ac:dyDescent="0.25">
      <c r="A887" t="s">
        <v>1586</v>
      </c>
    </row>
    <row r="888" spans="1:1" x14ac:dyDescent="0.25">
      <c r="A888" t="s">
        <v>1587</v>
      </c>
    </row>
    <row r="889" spans="1:1" x14ac:dyDescent="0.25">
      <c r="A889" t="s">
        <v>1588</v>
      </c>
    </row>
    <row r="890" spans="1:1" x14ac:dyDescent="0.25">
      <c r="A890" t="s">
        <v>1589</v>
      </c>
    </row>
    <row r="891" spans="1:1" x14ac:dyDescent="0.25">
      <c r="A891" t="s">
        <v>1590</v>
      </c>
    </row>
    <row r="892" spans="1:1" x14ac:dyDescent="0.25">
      <c r="A892" t="s">
        <v>1591</v>
      </c>
    </row>
    <row r="893" spans="1:1" x14ac:dyDescent="0.25">
      <c r="A893" t="s">
        <v>4683</v>
      </c>
    </row>
    <row r="894" spans="1:1" x14ac:dyDescent="0.25">
      <c r="A894" t="s">
        <v>4684</v>
      </c>
    </row>
    <row r="895" spans="1:1" x14ac:dyDescent="0.25">
      <c r="A895" t="s">
        <v>4685</v>
      </c>
    </row>
    <row r="896" spans="1:1" x14ac:dyDescent="0.25">
      <c r="A896" t="s">
        <v>4686</v>
      </c>
    </row>
    <row r="897" spans="1:1" x14ac:dyDescent="0.25">
      <c r="A897" t="s">
        <v>1592</v>
      </c>
    </row>
    <row r="898" spans="1:1" x14ac:dyDescent="0.25">
      <c r="A898" t="s">
        <v>4687</v>
      </c>
    </row>
    <row r="899" spans="1:1" x14ac:dyDescent="0.25">
      <c r="A899" t="s">
        <v>1593</v>
      </c>
    </row>
    <row r="900" spans="1:1" x14ac:dyDescent="0.25">
      <c r="A900" t="s">
        <v>1594</v>
      </c>
    </row>
    <row r="901" spans="1:1" x14ac:dyDescent="0.25">
      <c r="A901" t="s">
        <v>4688</v>
      </c>
    </row>
    <row r="902" spans="1:1" x14ac:dyDescent="0.25">
      <c r="A902" t="s">
        <v>1595</v>
      </c>
    </row>
    <row r="903" spans="1:1" x14ac:dyDescent="0.25">
      <c r="A903" t="s">
        <v>4689</v>
      </c>
    </row>
    <row r="904" spans="1:1" x14ac:dyDescent="0.25">
      <c r="A904" t="s">
        <v>1596</v>
      </c>
    </row>
    <row r="905" spans="1:1" x14ac:dyDescent="0.25">
      <c r="A905" t="s">
        <v>1597</v>
      </c>
    </row>
    <row r="906" spans="1:1" x14ac:dyDescent="0.25">
      <c r="A906" t="s">
        <v>1598</v>
      </c>
    </row>
    <row r="907" spans="1:1" x14ac:dyDescent="0.25">
      <c r="A907" t="s">
        <v>1599</v>
      </c>
    </row>
    <row r="908" spans="1:1" x14ac:dyDescent="0.25">
      <c r="A908" t="s">
        <v>1600</v>
      </c>
    </row>
    <row r="909" spans="1:1" x14ac:dyDescent="0.25">
      <c r="A909" t="s">
        <v>1601</v>
      </c>
    </row>
    <row r="910" spans="1:1" x14ac:dyDescent="0.25">
      <c r="A910" t="s">
        <v>4690</v>
      </c>
    </row>
    <row r="911" spans="1:1" x14ac:dyDescent="0.25">
      <c r="A911" t="s">
        <v>4691</v>
      </c>
    </row>
    <row r="912" spans="1:1" x14ac:dyDescent="0.25">
      <c r="A912" t="s">
        <v>4692</v>
      </c>
    </row>
    <row r="913" spans="1:1" x14ac:dyDescent="0.25">
      <c r="A913" t="s">
        <v>1602</v>
      </c>
    </row>
    <row r="914" spans="1:1" x14ac:dyDescent="0.25">
      <c r="A914" t="s">
        <v>4693</v>
      </c>
    </row>
    <row r="915" spans="1:1" x14ac:dyDescent="0.25">
      <c r="A915" t="s">
        <v>4694</v>
      </c>
    </row>
    <row r="916" spans="1:1" x14ac:dyDescent="0.25">
      <c r="A916" t="s">
        <v>4695</v>
      </c>
    </row>
    <row r="917" spans="1:1" x14ac:dyDescent="0.25">
      <c r="A917" t="s">
        <v>4696</v>
      </c>
    </row>
    <row r="918" spans="1:1" x14ac:dyDescent="0.25">
      <c r="A918" t="s">
        <v>1603</v>
      </c>
    </row>
    <row r="919" spans="1:1" x14ac:dyDescent="0.25">
      <c r="A919" t="s">
        <v>4697</v>
      </c>
    </row>
    <row r="920" spans="1:1" x14ac:dyDescent="0.25">
      <c r="A920" t="s">
        <v>4698</v>
      </c>
    </row>
    <row r="921" spans="1:1" x14ac:dyDescent="0.25">
      <c r="A921" t="s">
        <v>1604</v>
      </c>
    </row>
    <row r="922" spans="1:1" x14ac:dyDescent="0.25">
      <c r="A922" t="s">
        <v>4699</v>
      </c>
    </row>
    <row r="923" spans="1:1" x14ac:dyDescent="0.25">
      <c r="A923" t="s">
        <v>1605</v>
      </c>
    </row>
    <row r="924" spans="1:1" x14ac:dyDescent="0.25">
      <c r="A924" t="s">
        <v>1606</v>
      </c>
    </row>
    <row r="925" spans="1:1" x14ac:dyDescent="0.25">
      <c r="A925" t="s">
        <v>1607</v>
      </c>
    </row>
    <row r="926" spans="1:1" x14ac:dyDescent="0.25">
      <c r="A926" t="s">
        <v>1608</v>
      </c>
    </row>
    <row r="927" spans="1:1" x14ac:dyDescent="0.25">
      <c r="A927" t="s">
        <v>1609</v>
      </c>
    </row>
    <row r="928" spans="1:1" x14ac:dyDescent="0.25">
      <c r="A928" t="s">
        <v>4700</v>
      </c>
    </row>
    <row r="929" spans="1:1" x14ac:dyDescent="0.25">
      <c r="A929" t="s">
        <v>4701</v>
      </c>
    </row>
    <row r="930" spans="1:1" x14ac:dyDescent="0.25">
      <c r="A930" t="s">
        <v>1610</v>
      </c>
    </row>
    <row r="931" spans="1:1" x14ac:dyDescent="0.25">
      <c r="A931" t="s">
        <v>4702</v>
      </c>
    </row>
    <row r="932" spans="1:1" x14ac:dyDescent="0.25">
      <c r="A932" t="s">
        <v>1611</v>
      </c>
    </row>
    <row r="933" spans="1:1" x14ac:dyDescent="0.25">
      <c r="A933" t="s">
        <v>1612</v>
      </c>
    </row>
    <row r="934" spans="1:1" x14ac:dyDescent="0.25">
      <c r="A934" t="s">
        <v>4703</v>
      </c>
    </row>
    <row r="935" spans="1:1" x14ac:dyDescent="0.25">
      <c r="A935" t="s">
        <v>4704</v>
      </c>
    </row>
    <row r="936" spans="1:1" x14ac:dyDescent="0.25">
      <c r="A936" t="s">
        <v>1613</v>
      </c>
    </row>
    <row r="937" spans="1:1" x14ac:dyDescent="0.25">
      <c r="A937" t="s">
        <v>1614</v>
      </c>
    </row>
    <row r="938" spans="1:1" x14ac:dyDescent="0.25">
      <c r="A938" t="s">
        <v>4705</v>
      </c>
    </row>
    <row r="939" spans="1:1" x14ac:dyDescent="0.25">
      <c r="A939" t="s">
        <v>1615</v>
      </c>
    </row>
    <row r="940" spans="1:1" x14ac:dyDescent="0.25">
      <c r="A940" t="s">
        <v>1616</v>
      </c>
    </row>
    <row r="941" spans="1:1" x14ac:dyDescent="0.25">
      <c r="A941" t="s">
        <v>1617</v>
      </c>
    </row>
    <row r="942" spans="1:1" x14ac:dyDescent="0.25">
      <c r="A942" t="s">
        <v>4706</v>
      </c>
    </row>
    <row r="943" spans="1:1" x14ac:dyDescent="0.25">
      <c r="A943" t="s">
        <v>1618</v>
      </c>
    </row>
    <row r="944" spans="1:1" x14ac:dyDescent="0.25">
      <c r="A944" t="s">
        <v>1619</v>
      </c>
    </row>
    <row r="945" spans="1:1" x14ac:dyDescent="0.25">
      <c r="A945" t="s">
        <v>4707</v>
      </c>
    </row>
    <row r="946" spans="1:1" x14ac:dyDescent="0.25">
      <c r="A946" t="s">
        <v>1620</v>
      </c>
    </row>
    <row r="947" spans="1:1" x14ac:dyDescent="0.25">
      <c r="A947" t="s">
        <v>4708</v>
      </c>
    </row>
    <row r="948" spans="1:1" x14ac:dyDescent="0.25">
      <c r="A948" t="s">
        <v>1621</v>
      </c>
    </row>
    <row r="949" spans="1:1" x14ac:dyDescent="0.25">
      <c r="A949" t="s">
        <v>4709</v>
      </c>
    </row>
    <row r="950" spans="1:1" x14ac:dyDescent="0.25">
      <c r="A950" t="s">
        <v>1622</v>
      </c>
    </row>
    <row r="951" spans="1:1" x14ac:dyDescent="0.25">
      <c r="A951" t="s">
        <v>1623</v>
      </c>
    </row>
    <row r="952" spans="1:1" x14ac:dyDescent="0.25">
      <c r="A952" t="s">
        <v>1624</v>
      </c>
    </row>
    <row r="953" spans="1:1" x14ac:dyDescent="0.25">
      <c r="A953" t="s">
        <v>1625</v>
      </c>
    </row>
    <row r="954" spans="1:1" x14ac:dyDescent="0.25">
      <c r="A954" t="s">
        <v>4710</v>
      </c>
    </row>
    <row r="955" spans="1:1" x14ac:dyDescent="0.25">
      <c r="A955" t="s">
        <v>4711</v>
      </c>
    </row>
    <row r="956" spans="1:1" x14ac:dyDescent="0.25">
      <c r="A956" t="s">
        <v>4712</v>
      </c>
    </row>
    <row r="957" spans="1:1" x14ac:dyDescent="0.25">
      <c r="A957" t="s">
        <v>1626</v>
      </c>
    </row>
    <row r="958" spans="1:1" x14ac:dyDescent="0.25">
      <c r="A958" t="s">
        <v>1627</v>
      </c>
    </row>
    <row r="959" spans="1:1" x14ac:dyDescent="0.25">
      <c r="A959" t="s">
        <v>1628</v>
      </c>
    </row>
    <row r="960" spans="1:1" x14ac:dyDescent="0.25">
      <c r="A960" t="s">
        <v>1629</v>
      </c>
    </row>
    <row r="961" spans="1:1" x14ac:dyDescent="0.25">
      <c r="A961" t="s">
        <v>1630</v>
      </c>
    </row>
    <row r="962" spans="1:1" x14ac:dyDescent="0.25">
      <c r="A962" t="s">
        <v>4713</v>
      </c>
    </row>
    <row r="963" spans="1:1" x14ac:dyDescent="0.25">
      <c r="A963" t="s">
        <v>4714</v>
      </c>
    </row>
    <row r="964" spans="1:1" x14ac:dyDescent="0.25">
      <c r="A964" t="s">
        <v>4715</v>
      </c>
    </row>
    <row r="965" spans="1:1" x14ac:dyDescent="0.25">
      <c r="A965" t="s">
        <v>1631</v>
      </c>
    </row>
    <row r="966" spans="1:1" x14ac:dyDescent="0.25">
      <c r="A966" t="s">
        <v>1632</v>
      </c>
    </row>
    <row r="967" spans="1:1" x14ac:dyDescent="0.25">
      <c r="A967" t="s">
        <v>1633</v>
      </c>
    </row>
    <row r="968" spans="1:1" x14ac:dyDescent="0.25">
      <c r="A968" t="s">
        <v>1634</v>
      </c>
    </row>
    <row r="969" spans="1:1" x14ac:dyDescent="0.25">
      <c r="A969" t="s">
        <v>4716</v>
      </c>
    </row>
    <row r="970" spans="1:1" x14ac:dyDescent="0.25">
      <c r="A970" t="s">
        <v>1635</v>
      </c>
    </row>
    <row r="971" spans="1:1" x14ac:dyDescent="0.25">
      <c r="A971" t="s">
        <v>4717</v>
      </c>
    </row>
    <row r="972" spans="1:1" x14ac:dyDescent="0.25">
      <c r="A972" t="s">
        <v>1636</v>
      </c>
    </row>
    <row r="973" spans="1:1" x14ac:dyDescent="0.25">
      <c r="A973" t="s">
        <v>1637</v>
      </c>
    </row>
    <row r="974" spans="1:1" x14ac:dyDescent="0.25">
      <c r="A974" t="s">
        <v>4718</v>
      </c>
    </row>
    <row r="975" spans="1:1" x14ac:dyDescent="0.25">
      <c r="A975" t="s">
        <v>4719</v>
      </c>
    </row>
    <row r="976" spans="1:1" x14ac:dyDescent="0.25">
      <c r="A976" t="s">
        <v>4720</v>
      </c>
    </row>
    <row r="977" spans="1:1" x14ac:dyDescent="0.25">
      <c r="A977" t="s">
        <v>4721</v>
      </c>
    </row>
    <row r="978" spans="1:1" x14ac:dyDescent="0.25">
      <c r="A978" t="s">
        <v>1638</v>
      </c>
    </row>
    <row r="979" spans="1:1" x14ac:dyDescent="0.25">
      <c r="A979" t="s">
        <v>4722</v>
      </c>
    </row>
    <row r="980" spans="1:1" x14ac:dyDescent="0.25">
      <c r="A980" t="s">
        <v>1639</v>
      </c>
    </row>
    <row r="981" spans="1:1" x14ac:dyDescent="0.25">
      <c r="A981" t="s">
        <v>4723</v>
      </c>
    </row>
    <row r="982" spans="1:1" x14ac:dyDescent="0.25">
      <c r="A982" t="s">
        <v>4724</v>
      </c>
    </row>
    <row r="983" spans="1:1" x14ac:dyDescent="0.25">
      <c r="A983" t="s">
        <v>1640</v>
      </c>
    </row>
    <row r="984" spans="1:1" x14ac:dyDescent="0.25">
      <c r="A984" t="s">
        <v>1641</v>
      </c>
    </row>
    <row r="985" spans="1:1" x14ac:dyDescent="0.25">
      <c r="A985" t="s">
        <v>1642</v>
      </c>
    </row>
    <row r="986" spans="1:1" x14ac:dyDescent="0.25">
      <c r="A986" t="s">
        <v>4725</v>
      </c>
    </row>
    <row r="987" spans="1:1" x14ac:dyDescent="0.25">
      <c r="A987" t="s">
        <v>1643</v>
      </c>
    </row>
    <row r="988" spans="1:1" x14ac:dyDescent="0.25">
      <c r="A988" t="s">
        <v>1644</v>
      </c>
    </row>
    <row r="989" spans="1:1" x14ac:dyDescent="0.25">
      <c r="A989" t="s">
        <v>4726</v>
      </c>
    </row>
    <row r="990" spans="1:1" x14ac:dyDescent="0.25">
      <c r="A990" t="s">
        <v>4727</v>
      </c>
    </row>
    <row r="991" spans="1:1" x14ac:dyDescent="0.25">
      <c r="A991" t="s">
        <v>4728</v>
      </c>
    </row>
    <row r="992" spans="1:1" x14ac:dyDescent="0.25">
      <c r="A992" t="s">
        <v>4729</v>
      </c>
    </row>
    <row r="993" spans="1:1" x14ac:dyDescent="0.25">
      <c r="A993" t="s">
        <v>4730</v>
      </c>
    </row>
    <row r="994" spans="1:1" x14ac:dyDescent="0.25">
      <c r="A994" t="s">
        <v>4731</v>
      </c>
    </row>
    <row r="995" spans="1:1" x14ac:dyDescent="0.25">
      <c r="A995" t="s">
        <v>1645</v>
      </c>
    </row>
    <row r="996" spans="1:1" x14ac:dyDescent="0.25">
      <c r="A996" t="s">
        <v>1646</v>
      </c>
    </row>
    <row r="997" spans="1:1" x14ac:dyDescent="0.25">
      <c r="A997" t="s">
        <v>1647</v>
      </c>
    </row>
    <row r="998" spans="1:1" x14ac:dyDescent="0.25">
      <c r="A998" t="s">
        <v>1648</v>
      </c>
    </row>
    <row r="999" spans="1:1" x14ac:dyDescent="0.25">
      <c r="A999" t="s">
        <v>4732</v>
      </c>
    </row>
    <row r="1000" spans="1:1" x14ac:dyDescent="0.25">
      <c r="A1000" t="s">
        <v>4733</v>
      </c>
    </row>
    <row r="1001" spans="1:1" x14ac:dyDescent="0.25">
      <c r="A1001" t="s">
        <v>1649</v>
      </c>
    </row>
    <row r="1002" spans="1:1" x14ac:dyDescent="0.25">
      <c r="A1002" t="s">
        <v>1650</v>
      </c>
    </row>
    <row r="1003" spans="1:1" x14ac:dyDescent="0.25">
      <c r="A1003" t="s">
        <v>1651</v>
      </c>
    </row>
    <row r="1004" spans="1:1" x14ac:dyDescent="0.25">
      <c r="A1004" t="s">
        <v>1652</v>
      </c>
    </row>
    <row r="1005" spans="1:1" x14ac:dyDescent="0.25">
      <c r="A1005" t="s">
        <v>1653</v>
      </c>
    </row>
    <row r="1006" spans="1:1" x14ac:dyDescent="0.25">
      <c r="A1006" t="s">
        <v>1654</v>
      </c>
    </row>
    <row r="1007" spans="1:1" x14ac:dyDescent="0.25">
      <c r="A1007" t="s">
        <v>4734</v>
      </c>
    </row>
    <row r="1008" spans="1:1" x14ac:dyDescent="0.25">
      <c r="A1008" t="s">
        <v>1655</v>
      </c>
    </row>
    <row r="1009" spans="1:1" x14ac:dyDescent="0.25">
      <c r="A1009" t="s">
        <v>1656</v>
      </c>
    </row>
    <row r="1010" spans="1:1" x14ac:dyDescent="0.25">
      <c r="A1010" t="s">
        <v>1657</v>
      </c>
    </row>
    <row r="1011" spans="1:1" x14ac:dyDescent="0.25">
      <c r="A1011" t="s">
        <v>1658</v>
      </c>
    </row>
    <row r="1012" spans="1:1" x14ac:dyDescent="0.25">
      <c r="A1012" t="s">
        <v>1659</v>
      </c>
    </row>
    <row r="1013" spans="1:1" x14ac:dyDescent="0.25">
      <c r="A1013" t="s">
        <v>1660</v>
      </c>
    </row>
    <row r="1014" spans="1:1" x14ac:dyDescent="0.25">
      <c r="A1014" t="s">
        <v>1661</v>
      </c>
    </row>
    <row r="1015" spans="1:1" x14ac:dyDescent="0.25">
      <c r="A1015" t="s">
        <v>1662</v>
      </c>
    </row>
    <row r="1016" spans="1:1" x14ac:dyDescent="0.25">
      <c r="A1016" t="s">
        <v>1663</v>
      </c>
    </row>
    <row r="1017" spans="1:1" x14ac:dyDescent="0.25">
      <c r="A1017" t="s">
        <v>1664</v>
      </c>
    </row>
    <row r="1018" spans="1:1" x14ac:dyDescent="0.25">
      <c r="A1018" t="s">
        <v>1665</v>
      </c>
    </row>
    <row r="1019" spans="1:1" x14ac:dyDescent="0.25">
      <c r="A1019" t="s">
        <v>1666</v>
      </c>
    </row>
    <row r="1020" spans="1:1" x14ac:dyDescent="0.25">
      <c r="A1020" t="s">
        <v>1667</v>
      </c>
    </row>
    <row r="1021" spans="1:1" x14ac:dyDescent="0.25">
      <c r="A1021" t="s">
        <v>1668</v>
      </c>
    </row>
    <row r="1022" spans="1:1" x14ac:dyDescent="0.25">
      <c r="A1022" t="s">
        <v>4735</v>
      </c>
    </row>
    <row r="1023" spans="1:1" x14ac:dyDescent="0.25">
      <c r="A1023" t="s">
        <v>4736</v>
      </c>
    </row>
    <row r="1024" spans="1:1" x14ac:dyDescent="0.25">
      <c r="A1024" t="s">
        <v>4737</v>
      </c>
    </row>
    <row r="1025" spans="1:1" x14ac:dyDescent="0.25">
      <c r="A1025" t="s">
        <v>1669</v>
      </c>
    </row>
    <row r="1026" spans="1:1" x14ac:dyDescent="0.25">
      <c r="A1026" t="s">
        <v>1670</v>
      </c>
    </row>
    <row r="1027" spans="1:1" x14ac:dyDescent="0.25">
      <c r="A1027" t="s">
        <v>1671</v>
      </c>
    </row>
    <row r="1028" spans="1:1" x14ac:dyDescent="0.25">
      <c r="A1028" t="s">
        <v>1672</v>
      </c>
    </row>
    <row r="1029" spans="1:1" x14ac:dyDescent="0.25">
      <c r="A1029" t="s">
        <v>1673</v>
      </c>
    </row>
    <row r="1030" spans="1:1" x14ac:dyDescent="0.25">
      <c r="A1030" t="s">
        <v>1674</v>
      </c>
    </row>
    <row r="1031" spans="1:1" x14ac:dyDescent="0.25">
      <c r="A1031" t="s">
        <v>1675</v>
      </c>
    </row>
    <row r="1032" spans="1:1" x14ac:dyDescent="0.25">
      <c r="A1032" t="s">
        <v>1676</v>
      </c>
    </row>
    <row r="1033" spans="1:1" x14ac:dyDescent="0.25">
      <c r="A1033" t="s">
        <v>1677</v>
      </c>
    </row>
    <row r="1034" spans="1:1" x14ac:dyDescent="0.25">
      <c r="A1034" t="s">
        <v>1678</v>
      </c>
    </row>
    <row r="1035" spans="1:1" x14ac:dyDescent="0.25">
      <c r="A1035" t="s">
        <v>1679</v>
      </c>
    </row>
    <row r="1036" spans="1:1" x14ac:dyDescent="0.25">
      <c r="A1036" t="s">
        <v>1680</v>
      </c>
    </row>
    <row r="1037" spans="1:1" x14ac:dyDescent="0.25">
      <c r="A1037" t="s">
        <v>4738</v>
      </c>
    </row>
    <row r="1038" spans="1:1" x14ac:dyDescent="0.25">
      <c r="A1038" t="s">
        <v>1681</v>
      </c>
    </row>
    <row r="1039" spans="1:1" x14ac:dyDescent="0.25">
      <c r="A1039" t="s">
        <v>4739</v>
      </c>
    </row>
    <row r="1040" spans="1:1" x14ac:dyDescent="0.25">
      <c r="A1040" t="s">
        <v>1682</v>
      </c>
    </row>
    <row r="1041" spans="1:1" x14ac:dyDescent="0.25">
      <c r="A1041" t="s">
        <v>1683</v>
      </c>
    </row>
    <row r="1042" spans="1:1" x14ac:dyDescent="0.25">
      <c r="A1042" t="s">
        <v>1684</v>
      </c>
    </row>
    <row r="1043" spans="1:1" x14ac:dyDescent="0.25">
      <c r="A1043" t="s">
        <v>1685</v>
      </c>
    </row>
    <row r="1044" spans="1:1" x14ac:dyDescent="0.25">
      <c r="A1044" t="s">
        <v>4740</v>
      </c>
    </row>
    <row r="1045" spans="1:1" x14ac:dyDescent="0.25">
      <c r="A1045" t="s">
        <v>1686</v>
      </c>
    </row>
    <row r="1046" spans="1:1" x14ac:dyDescent="0.25">
      <c r="A1046" t="s">
        <v>1687</v>
      </c>
    </row>
    <row r="1047" spans="1:1" x14ac:dyDescent="0.25">
      <c r="A1047" t="s">
        <v>4741</v>
      </c>
    </row>
    <row r="1048" spans="1:1" x14ac:dyDescent="0.25">
      <c r="A1048" t="s">
        <v>1688</v>
      </c>
    </row>
    <row r="1049" spans="1:1" x14ac:dyDescent="0.25">
      <c r="A1049" t="s">
        <v>1689</v>
      </c>
    </row>
    <row r="1050" spans="1:1" x14ac:dyDescent="0.25">
      <c r="A1050" t="s">
        <v>1690</v>
      </c>
    </row>
    <row r="1051" spans="1:1" x14ac:dyDescent="0.25">
      <c r="A1051" t="s">
        <v>1691</v>
      </c>
    </row>
    <row r="1052" spans="1:1" x14ac:dyDescent="0.25">
      <c r="A1052" t="s">
        <v>1692</v>
      </c>
    </row>
    <row r="1053" spans="1:1" x14ac:dyDescent="0.25">
      <c r="A1053" t="s">
        <v>4742</v>
      </c>
    </row>
    <row r="1054" spans="1:1" x14ac:dyDescent="0.25">
      <c r="A1054" t="s">
        <v>1693</v>
      </c>
    </row>
    <row r="1055" spans="1:1" x14ac:dyDescent="0.25">
      <c r="A1055" t="s">
        <v>4743</v>
      </c>
    </row>
    <row r="1056" spans="1:1" x14ac:dyDescent="0.25">
      <c r="A1056" t="s">
        <v>1694</v>
      </c>
    </row>
    <row r="1057" spans="1:1" x14ac:dyDescent="0.25">
      <c r="A1057" t="s">
        <v>4744</v>
      </c>
    </row>
    <row r="1058" spans="1:1" x14ac:dyDescent="0.25">
      <c r="A1058" t="s">
        <v>4745</v>
      </c>
    </row>
    <row r="1059" spans="1:1" x14ac:dyDescent="0.25">
      <c r="A1059" t="s">
        <v>4746</v>
      </c>
    </row>
    <row r="1060" spans="1:1" x14ac:dyDescent="0.25">
      <c r="A1060" t="s">
        <v>1695</v>
      </c>
    </row>
    <row r="1061" spans="1:1" x14ac:dyDescent="0.25">
      <c r="A1061" t="s">
        <v>4747</v>
      </c>
    </row>
    <row r="1062" spans="1:1" x14ac:dyDescent="0.25">
      <c r="A1062" t="s">
        <v>1696</v>
      </c>
    </row>
    <row r="1063" spans="1:1" x14ac:dyDescent="0.25">
      <c r="A1063" t="s">
        <v>1697</v>
      </c>
    </row>
    <row r="1064" spans="1:1" x14ac:dyDescent="0.25">
      <c r="A1064" t="s">
        <v>1698</v>
      </c>
    </row>
    <row r="1065" spans="1:1" x14ac:dyDescent="0.25">
      <c r="A1065" t="s">
        <v>4748</v>
      </c>
    </row>
    <row r="1066" spans="1:1" x14ac:dyDescent="0.25">
      <c r="A1066" t="s">
        <v>1699</v>
      </c>
    </row>
    <row r="1067" spans="1:1" x14ac:dyDescent="0.25">
      <c r="A1067" t="s">
        <v>1700</v>
      </c>
    </row>
    <row r="1068" spans="1:1" x14ac:dyDescent="0.25">
      <c r="A1068" t="s">
        <v>1701</v>
      </c>
    </row>
    <row r="1069" spans="1:1" x14ac:dyDescent="0.25">
      <c r="A1069" t="s">
        <v>1702</v>
      </c>
    </row>
    <row r="1070" spans="1:1" x14ac:dyDescent="0.25">
      <c r="A1070" t="s">
        <v>1703</v>
      </c>
    </row>
    <row r="1071" spans="1:1" x14ac:dyDescent="0.25">
      <c r="A1071" t="s">
        <v>4749</v>
      </c>
    </row>
    <row r="1072" spans="1:1" x14ac:dyDescent="0.25">
      <c r="A1072" t="s">
        <v>1704</v>
      </c>
    </row>
    <row r="1073" spans="1:1" x14ac:dyDescent="0.25">
      <c r="A1073" t="s">
        <v>1705</v>
      </c>
    </row>
    <row r="1074" spans="1:1" x14ac:dyDescent="0.25">
      <c r="A1074" t="s">
        <v>4750</v>
      </c>
    </row>
    <row r="1075" spans="1:1" x14ac:dyDescent="0.25">
      <c r="A1075" t="s">
        <v>4751</v>
      </c>
    </row>
    <row r="1076" spans="1:1" x14ac:dyDescent="0.25">
      <c r="A1076" t="s">
        <v>1706</v>
      </c>
    </row>
    <row r="1077" spans="1:1" x14ac:dyDescent="0.25">
      <c r="A1077" t="s">
        <v>1707</v>
      </c>
    </row>
    <row r="1078" spans="1:1" x14ac:dyDescent="0.25">
      <c r="A1078" t="s">
        <v>1708</v>
      </c>
    </row>
    <row r="1079" spans="1:1" x14ac:dyDescent="0.25">
      <c r="A1079" t="s">
        <v>1709</v>
      </c>
    </row>
    <row r="1080" spans="1:1" x14ac:dyDescent="0.25">
      <c r="A1080" t="s">
        <v>4752</v>
      </c>
    </row>
    <row r="1081" spans="1:1" x14ac:dyDescent="0.25">
      <c r="A1081" t="s">
        <v>4753</v>
      </c>
    </row>
    <row r="1082" spans="1:1" x14ac:dyDescent="0.25">
      <c r="A1082" t="s">
        <v>4754</v>
      </c>
    </row>
    <row r="1083" spans="1:1" x14ac:dyDescent="0.25">
      <c r="A1083" t="s">
        <v>1710</v>
      </c>
    </row>
    <row r="1084" spans="1:1" x14ac:dyDescent="0.25">
      <c r="A1084" t="s">
        <v>4755</v>
      </c>
    </row>
    <row r="1085" spans="1:1" x14ac:dyDescent="0.25">
      <c r="A1085" t="s">
        <v>1711</v>
      </c>
    </row>
    <row r="1086" spans="1:1" x14ac:dyDescent="0.25">
      <c r="A1086" t="s">
        <v>4756</v>
      </c>
    </row>
    <row r="1087" spans="1:1" x14ac:dyDescent="0.25">
      <c r="A1087" t="s">
        <v>1712</v>
      </c>
    </row>
    <row r="1088" spans="1:1" x14ac:dyDescent="0.25">
      <c r="A1088" t="s">
        <v>1713</v>
      </c>
    </row>
    <row r="1089" spans="1:1" x14ac:dyDescent="0.25">
      <c r="A1089" t="s">
        <v>4757</v>
      </c>
    </row>
    <row r="1090" spans="1:1" x14ac:dyDescent="0.25">
      <c r="A1090" t="s">
        <v>4758</v>
      </c>
    </row>
    <row r="1091" spans="1:1" x14ac:dyDescent="0.25">
      <c r="A1091" t="s">
        <v>1714</v>
      </c>
    </row>
    <row r="1092" spans="1:1" x14ac:dyDescent="0.25">
      <c r="A1092" t="s">
        <v>4759</v>
      </c>
    </row>
    <row r="1093" spans="1:1" x14ac:dyDescent="0.25">
      <c r="A1093" t="s">
        <v>1715</v>
      </c>
    </row>
    <row r="1094" spans="1:1" x14ac:dyDescent="0.25">
      <c r="A1094" t="s">
        <v>1716</v>
      </c>
    </row>
    <row r="1095" spans="1:1" x14ac:dyDescent="0.25">
      <c r="A1095" t="s">
        <v>1717</v>
      </c>
    </row>
    <row r="1096" spans="1:1" x14ac:dyDescent="0.25">
      <c r="A1096" t="s">
        <v>1718</v>
      </c>
    </row>
    <row r="1097" spans="1:1" x14ac:dyDescent="0.25">
      <c r="A1097" t="s">
        <v>1719</v>
      </c>
    </row>
    <row r="1098" spans="1:1" x14ac:dyDescent="0.25">
      <c r="A1098" t="s">
        <v>4369</v>
      </c>
    </row>
    <row r="1099" spans="1:1" x14ac:dyDescent="0.25">
      <c r="A1099" t="s">
        <v>1720</v>
      </c>
    </row>
    <row r="1100" spans="1:1" x14ac:dyDescent="0.25">
      <c r="A1100" t="s">
        <v>4760</v>
      </c>
    </row>
    <row r="1101" spans="1:1" x14ac:dyDescent="0.25">
      <c r="A1101" t="s">
        <v>1721</v>
      </c>
    </row>
    <row r="1102" spans="1:1" x14ac:dyDescent="0.25">
      <c r="A1102" t="s">
        <v>1722</v>
      </c>
    </row>
    <row r="1103" spans="1:1" x14ac:dyDescent="0.25">
      <c r="A1103" t="s">
        <v>1723</v>
      </c>
    </row>
    <row r="1104" spans="1:1" x14ac:dyDescent="0.25">
      <c r="A1104" t="s">
        <v>4761</v>
      </c>
    </row>
    <row r="1105" spans="1:1" x14ac:dyDescent="0.25">
      <c r="A1105" t="s">
        <v>1724</v>
      </c>
    </row>
    <row r="1106" spans="1:1" x14ac:dyDescent="0.25">
      <c r="A1106" t="s">
        <v>1725</v>
      </c>
    </row>
    <row r="1107" spans="1:1" x14ac:dyDescent="0.25">
      <c r="A1107" t="s">
        <v>4762</v>
      </c>
    </row>
    <row r="1108" spans="1:1" x14ac:dyDescent="0.25">
      <c r="A1108" t="s">
        <v>1726</v>
      </c>
    </row>
    <row r="1109" spans="1:1" x14ac:dyDescent="0.25">
      <c r="A1109" t="s">
        <v>1727</v>
      </c>
    </row>
    <row r="1110" spans="1:1" x14ac:dyDescent="0.25">
      <c r="A1110" t="s">
        <v>1728</v>
      </c>
    </row>
    <row r="1111" spans="1:1" x14ac:dyDescent="0.25">
      <c r="A1111" t="s">
        <v>1729</v>
      </c>
    </row>
    <row r="1112" spans="1:1" x14ac:dyDescent="0.25">
      <c r="A1112" t="s">
        <v>4763</v>
      </c>
    </row>
    <row r="1113" spans="1:1" x14ac:dyDescent="0.25">
      <c r="A1113" t="s">
        <v>1730</v>
      </c>
    </row>
    <row r="1114" spans="1:1" x14ac:dyDescent="0.25">
      <c r="A1114" t="s">
        <v>1731</v>
      </c>
    </row>
    <row r="1115" spans="1:1" x14ac:dyDescent="0.25">
      <c r="A1115" t="s">
        <v>1732</v>
      </c>
    </row>
    <row r="1116" spans="1:1" x14ac:dyDescent="0.25">
      <c r="A1116" t="s">
        <v>1733</v>
      </c>
    </row>
    <row r="1117" spans="1:1" x14ac:dyDescent="0.25">
      <c r="A1117" t="s">
        <v>1734</v>
      </c>
    </row>
    <row r="1118" spans="1:1" x14ac:dyDescent="0.25">
      <c r="A1118" t="s">
        <v>4764</v>
      </c>
    </row>
    <row r="1119" spans="1:1" x14ac:dyDescent="0.25">
      <c r="A1119" t="s">
        <v>4765</v>
      </c>
    </row>
    <row r="1120" spans="1:1" x14ac:dyDescent="0.25">
      <c r="A1120" t="s">
        <v>4766</v>
      </c>
    </row>
    <row r="1121" spans="1:1" x14ac:dyDescent="0.25">
      <c r="A1121" t="s">
        <v>4767</v>
      </c>
    </row>
    <row r="1122" spans="1:1" x14ac:dyDescent="0.25">
      <c r="A1122" t="s">
        <v>1735</v>
      </c>
    </row>
    <row r="1123" spans="1:1" x14ac:dyDescent="0.25">
      <c r="A1123" t="s">
        <v>1736</v>
      </c>
    </row>
    <row r="1124" spans="1:1" x14ac:dyDescent="0.25">
      <c r="A1124" t="s">
        <v>4768</v>
      </c>
    </row>
    <row r="1125" spans="1:1" x14ac:dyDescent="0.25">
      <c r="A1125" t="s">
        <v>1737</v>
      </c>
    </row>
    <row r="1126" spans="1:1" x14ac:dyDescent="0.25">
      <c r="A1126" t="s">
        <v>1738</v>
      </c>
    </row>
    <row r="1127" spans="1:1" x14ac:dyDescent="0.25">
      <c r="A1127" t="s">
        <v>1739</v>
      </c>
    </row>
    <row r="1128" spans="1:1" x14ac:dyDescent="0.25">
      <c r="A1128" t="s">
        <v>1740</v>
      </c>
    </row>
    <row r="1129" spans="1:1" x14ac:dyDescent="0.25">
      <c r="A1129" t="s">
        <v>1741</v>
      </c>
    </row>
    <row r="1130" spans="1:1" x14ac:dyDescent="0.25">
      <c r="A1130" t="s">
        <v>1742</v>
      </c>
    </row>
    <row r="1131" spans="1:1" x14ac:dyDescent="0.25">
      <c r="A1131" t="s">
        <v>4769</v>
      </c>
    </row>
    <row r="1132" spans="1:1" x14ac:dyDescent="0.25">
      <c r="A1132" t="s">
        <v>4770</v>
      </c>
    </row>
    <row r="1133" spans="1:1" x14ac:dyDescent="0.25">
      <c r="A1133" t="s">
        <v>4771</v>
      </c>
    </row>
    <row r="1134" spans="1:1" x14ac:dyDescent="0.25">
      <c r="A1134" t="s">
        <v>1743</v>
      </c>
    </row>
    <row r="1135" spans="1:1" x14ac:dyDescent="0.25">
      <c r="A1135" t="s">
        <v>4772</v>
      </c>
    </row>
    <row r="1136" spans="1:1" x14ac:dyDescent="0.25">
      <c r="A1136" t="s">
        <v>1744</v>
      </c>
    </row>
    <row r="1137" spans="1:1" x14ac:dyDescent="0.25">
      <c r="A1137" t="s">
        <v>1745</v>
      </c>
    </row>
    <row r="1138" spans="1:1" x14ac:dyDescent="0.25">
      <c r="A1138" t="s">
        <v>4773</v>
      </c>
    </row>
    <row r="1139" spans="1:1" x14ac:dyDescent="0.25">
      <c r="A1139" t="s">
        <v>1746</v>
      </c>
    </row>
    <row r="1140" spans="1:1" x14ac:dyDescent="0.25">
      <c r="A1140" t="s">
        <v>1747</v>
      </c>
    </row>
    <row r="1141" spans="1:1" x14ac:dyDescent="0.25">
      <c r="A1141" t="s">
        <v>1748</v>
      </c>
    </row>
    <row r="1142" spans="1:1" x14ac:dyDescent="0.25">
      <c r="A1142" t="s">
        <v>1749</v>
      </c>
    </row>
    <row r="1143" spans="1:1" x14ac:dyDescent="0.25">
      <c r="A1143" t="s">
        <v>1750</v>
      </c>
    </row>
    <row r="1144" spans="1:1" x14ac:dyDescent="0.25">
      <c r="A1144" t="s">
        <v>1751</v>
      </c>
    </row>
    <row r="1145" spans="1:1" x14ac:dyDescent="0.25">
      <c r="A1145" t="s">
        <v>1752</v>
      </c>
    </row>
    <row r="1146" spans="1:1" x14ac:dyDescent="0.25">
      <c r="A1146" t="s">
        <v>4774</v>
      </c>
    </row>
    <row r="1147" spans="1:1" x14ac:dyDescent="0.25">
      <c r="A1147" t="s">
        <v>4775</v>
      </c>
    </row>
    <row r="1148" spans="1:1" x14ac:dyDescent="0.25">
      <c r="A1148" t="s">
        <v>1753</v>
      </c>
    </row>
    <row r="1149" spans="1:1" x14ac:dyDescent="0.25">
      <c r="A1149" t="s">
        <v>4776</v>
      </c>
    </row>
    <row r="1150" spans="1:1" x14ac:dyDescent="0.25">
      <c r="A1150" t="s">
        <v>4777</v>
      </c>
    </row>
    <row r="1151" spans="1:1" x14ac:dyDescent="0.25">
      <c r="A1151" t="s">
        <v>4778</v>
      </c>
    </row>
    <row r="1152" spans="1:1" x14ac:dyDescent="0.25">
      <c r="A1152" t="s">
        <v>4779</v>
      </c>
    </row>
    <row r="1153" spans="1:1" x14ac:dyDescent="0.25">
      <c r="A1153" t="s">
        <v>4780</v>
      </c>
    </row>
    <row r="1154" spans="1:1" x14ac:dyDescent="0.25">
      <c r="A1154" t="s">
        <v>1754</v>
      </c>
    </row>
    <row r="1155" spans="1:1" x14ac:dyDescent="0.25">
      <c r="A1155" t="s">
        <v>4781</v>
      </c>
    </row>
    <row r="1156" spans="1:1" x14ac:dyDescent="0.25">
      <c r="A1156" t="s">
        <v>1755</v>
      </c>
    </row>
    <row r="1157" spans="1:1" x14ac:dyDescent="0.25">
      <c r="A1157" t="s">
        <v>4782</v>
      </c>
    </row>
    <row r="1158" spans="1:1" x14ac:dyDescent="0.25">
      <c r="A1158" t="s">
        <v>1756</v>
      </c>
    </row>
    <row r="1159" spans="1:1" x14ac:dyDescent="0.25">
      <c r="A1159" t="s">
        <v>4783</v>
      </c>
    </row>
    <row r="1160" spans="1:1" x14ac:dyDescent="0.25">
      <c r="A1160" t="s">
        <v>1757</v>
      </c>
    </row>
    <row r="1161" spans="1:1" x14ac:dyDescent="0.25">
      <c r="A1161" t="s">
        <v>4784</v>
      </c>
    </row>
    <row r="1162" spans="1:1" x14ac:dyDescent="0.25">
      <c r="A1162" t="s">
        <v>4785</v>
      </c>
    </row>
    <row r="1163" spans="1:1" x14ac:dyDescent="0.25">
      <c r="A1163" t="s">
        <v>1758</v>
      </c>
    </row>
    <row r="1164" spans="1:1" x14ac:dyDescent="0.25">
      <c r="A1164" t="s">
        <v>1759</v>
      </c>
    </row>
    <row r="1165" spans="1:1" x14ac:dyDescent="0.25">
      <c r="A1165" t="s">
        <v>1760</v>
      </c>
    </row>
    <row r="1166" spans="1:1" x14ac:dyDescent="0.25">
      <c r="A1166" t="s">
        <v>4786</v>
      </c>
    </row>
    <row r="1167" spans="1:1" x14ac:dyDescent="0.25">
      <c r="A1167" t="s">
        <v>4787</v>
      </c>
    </row>
    <row r="1168" spans="1:1" x14ac:dyDescent="0.25">
      <c r="A1168" t="s">
        <v>1761</v>
      </c>
    </row>
    <row r="1169" spans="1:1" x14ac:dyDescent="0.25">
      <c r="A1169" t="s">
        <v>4788</v>
      </c>
    </row>
    <row r="1170" spans="1:1" x14ac:dyDescent="0.25">
      <c r="A1170" t="s">
        <v>1762</v>
      </c>
    </row>
    <row r="1171" spans="1:1" x14ac:dyDescent="0.25">
      <c r="A1171" t="s">
        <v>4789</v>
      </c>
    </row>
    <row r="1172" spans="1:1" x14ac:dyDescent="0.25">
      <c r="A1172" t="s">
        <v>4790</v>
      </c>
    </row>
    <row r="1173" spans="1:1" x14ac:dyDescent="0.25">
      <c r="A1173" t="s">
        <v>1763</v>
      </c>
    </row>
    <row r="1174" spans="1:1" x14ac:dyDescent="0.25">
      <c r="A1174" t="s">
        <v>4791</v>
      </c>
    </row>
    <row r="1175" spans="1:1" x14ac:dyDescent="0.25">
      <c r="A1175" t="s">
        <v>1764</v>
      </c>
    </row>
    <row r="1176" spans="1:1" x14ac:dyDescent="0.25">
      <c r="A1176" t="s">
        <v>1765</v>
      </c>
    </row>
    <row r="1177" spans="1:1" x14ac:dyDescent="0.25">
      <c r="A1177" t="s">
        <v>4792</v>
      </c>
    </row>
    <row r="1178" spans="1:1" x14ac:dyDescent="0.25">
      <c r="A1178" t="s">
        <v>4793</v>
      </c>
    </row>
    <row r="1179" spans="1:1" x14ac:dyDescent="0.25">
      <c r="A1179" t="s">
        <v>4794</v>
      </c>
    </row>
    <row r="1180" spans="1:1" x14ac:dyDescent="0.25">
      <c r="A1180" t="s">
        <v>1766</v>
      </c>
    </row>
    <row r="1181" spans="1:1" x14ac:dyDescent="0.25">
      <c r="A1181" t="s">
        <v>4795</v>
      </c>
    </row>
    <row r="1182" spans="1:1" x14ac:dyDescent="0.25">
      <c r="A1182" t="s">
        <v>4796</v>
      </c>
    </row>
    <row r="1183" spans="1:1" x14ac:dyDescent="0.25">
      <c r="A1183" t="s">
        <v>4797</v>
      </c>
    </row>
    <row r="1184" spans="1:1" x14ac:dyDescent="0.25">
      <c r="A1184" t="s">
        <v>1767</v>
      </c>
    </row>
    <row r="1185" spans="1:1" x14ac:dyDescent="0.25">
      <c r="A1185" t="s">
        <v>1768</v>
      </c>
    </row>
    <row r="1186" spans="1:1" x14ac:dyDescent="0.25">
      <c r="A1186" t="s">
        <v>1769</v>
      </c>
    </row>
    <row r="1187" spans="1:1" x14ac:dyDescent="0.25">
      <c r="A1187" t="s">
        <v>4798</v>
      </c>
    </row>
    <row r="1188" spans="1:1" x14ac:dyDescent="0.25">
      <c r="A1188" t="s">
        <v>1770</v>
      </c>
    </row>
    <row r="1189" spans="1:1" x14ac:dyDescent="0.25">
      <c r="A1189" t="s">
        <v>1771</v>
      </c>
    </row>
    <row r="1190" spans="1:1" x14ac:dyDescent="0.25">
      <c r="A1190" t="s">
        <v>1772</v>
      </c>
    </row>
    <row r="1191" spans="1:1" x14ac:dyDescent="0.25">
      <c r="A1191" t="s">
        <v>1773</v>
      </c>
    </row>
    <row r="1192" spans="1:1" x14ac:dyDescent="0.25">
      <c r="A1192" t="s">
        <v>1774</v>
      </c>
    </row>
    <row r="1193" spans="1:1" x14ac:dyDescent="0.25">
      <c r="A1193" t="s">
        <v>4799</v>
      </c>
    </row>
    <row r="1194" spans="1:1" x14ac:dyDescent="0.25">
      <c r="A1194" t="s">
        <v>4800</v>
      </c>
    </row>
    <row r="1195" spans="1:1" x14ac:dyDescent="0.25">
      <c r="A1195" t="s">
        <v>1775</v>
      </c>
    </row>
    <row r="1196" spans="1:1" x14ac:dyDescent="0.25">
      <c r="A1196" t="s">
        <v>4801</v>
      </c>
    </row>
    <row r="1197" spans="1:1" x14ac:dyDescent="0.25">
      <c r="A1197" t="s">
        <v>4802</v>
      </c>
    </row>
    <row r="1198" spans="1:1" x14ac:dyDescent="0.25">
      <c r="A1198" t="s">
        <v>1776</v>
      </c>
    </row>
    <row r="1199" spans="1:1" x14ac:dyDescent="0.25">
      <c r="A1199" t="s">
        <v>1777</v>
      </c>
    </row>
    <row r="1200" spans="1:1" x14ac:dyDescent="0.25">
      <c r="A1200" t="s">
        <v>4803</v>
      </c>
    </row>
    <row r="1201" spans="1:1" x14ac:dyDescent="0.25">
      <c r="A1201" t="s">
        <v>1778</v>
      </c>
    </row>
    <row r="1202" spans="1:1" x14ac:dyDescent="0.25">
      <c r="A1202" t="s">
        <v>1779</v>
      </c>
    </row>
    <row r="1203" spans="1:1" x14ac:dyDescent="0.25">
      <c r="A1203" t="s">
        <v>1780</v>
      </c>
    </row>
    <row r="1204" spans="1:1" x14ac:dyDescent="0.25">
      <c r="A1204" t="s">
        <v>1781</v>
      </c>
    </row>
    <row r="1205" spans="1:1" x14ac:dyDescent="0.25">
      <c r="A1205" t="s">
        <v>4804</v>
      </c>
    </row>
    <row r="1206" spans="1:1" x14ac:dyDescent="0.25">
      <c r="A1206" t="s">
        <v>1782</v>
      </c>
    </row>
    <row r="1207" spans="1:1" x14ac:dyDescent="0.25">
      <c r="A1207" t="s">
        <v>1783</v>
      </c>
    </row>
    <row r="1208" spans="1:1" x14ac:dyDescent="0.25">
      <c r="A1208" t="s">
        <v>1784</v>
      </c>
    </row>
    <row r="1209" spans="1:1" x14ac:dyDescent="0.25">
      <c r="A1209" t="s">
        <v>1785</v>
      </c>
    </row>
    <row r="1210" spans="1:1" x14ac:dyDescent="0.25">
      <c r="A1210" t="s">
        <v>1786</v>
      </c>
    </row>
    <row r="1211" spans="1:1" x14ac:dyDescent="0.25">
      <c r="A1211" t="s">
        <v>4805</v>
      </c>
    </row>
    <row r="1212" spans="1:1" x14ac:dyDescent="0.25">
      <c r="A1212" t="s">
        <v>1787</v>
      </c>
    </row>
    <row r="1213" spans="1:1" x14ac:dyDescent="0.25">
      <c r="A1213" t="s">
        <v>4806</v>
      </c>
    </row>
    <row r="1214" spans="1:1" x14ac:dyDescent="0.25">
      <c r="A1214" t="s">
        <v>1788</v>
      </c>
    </row>
    <row r="1215" spans="1:1" x14ac:dyDescent="0.25">
      <c r="A1215" t="s">
        <v>1789</v>
      </c>
    </row>
    <row r="1216" spans="1:1" x14ac:dyDescent="0.25">
      <c r="A1216" t="s">
        <v>14</v>
      </c>
    </row>
    <row r="1217" spans="1:1" x14ac:dyDescent="0.25">
      <c r="A1217" t="s">
        <v>4807</v>
      </c>
    </row>
    <row r="1218" spans="1:1" x14ac:dyDescent="0.25">
      <c r="A1218" t="s">
        <v>1790</v>
      </c>
    </row>
    <row r="1219" spans="1:1" x14ac:dyDescent="0.25">
      <c r="A1219" t="s">
        <v>1791</v>
      </c>
    </row>
    <row r="1220" spans="1:1" x14ac:dyDescent="0.25">
      <c r="A1220" t="s">
        <v>1792</v>
      </c>
    </row>
    <row r="1221" spans="1:1" x14ac:dyDescent="0.25">
      <c r="A1221" t="s">
        <v>4808</v>
      </c>
    </row>
    <row r="1222" spans="1:1" x14ac:dyDescent="0.25">
      <c r="A1222" t="s">
        <v>4809</v>
      </c>
    </row>
    <row r="1223" spans="1:1" x14ac:dyDescent="0.25">
      <c r="A1223" t="s">
        <v>4810</v>
      </c>
    </row>
    <row r="1224" spans="1:1" x14ac:dyDescent="0.25">
      <c r="A1224" t="s">
        <v>1793</v>
      </c>
    </row>
    <row r="1225" spans="1:1" x14ac:dyDescent="0.25">
      <c r="A1225" t="s">
        <v>1794</v>
      </c>
    </row>
    <row r="1226" spans="1:1" x14ac:dyDescent="0.25">
      <c r="A1226" t="s">
        <v>1795</v>
      </c>
    </row>
    <row r="1227" spans="1:1" x14ac:dyDescent="0.25">
      <c r="A1227" t="s">
        <v>1796</v>
      </c>
    </row>
    <row r="1228" spans="1:1" x14ac:dyDescent="0.25">
      <c r="A1228" t="s">
        <v>1797</v>
      </c>
    </row>
    <row r="1229" spans="1:1" x14ac:dyDescent="0.25">
      <c r="A1229" t="s">
        <v>4811</v>
      </c>
    </row>
    <row r="1230" spans="1:1" x14ac:dyDescent="0.25">
      <c r="A1230" t="s">
        <v>1798</v>
      </c>
    </row>
    <row r="1231" spans="1:1" x14ac:dyDescent="0.25">
      <c r="A1231" t="s">
        <v>1799</v>
      </c>
    </row>
    <row r="1232" spans="1:1" x14ac:dyDescent="0.25">
      <c r="A1232" t="s">
        <v>4812</v>
      </c>
    </row>
    <row r="1233" spans="1:1" x14ac:dyDescent="0.25">
      <c r="A1233" t="s">
        <v>1800</v>
      </c>
    </row>
    <row r="1234" spans="1:1" x14ac:dyDescent="0.25">
      <c r="A1234" t="s">
        <v>1801</v>
      </c>
    </row>
    <row r="1235" spans="1:1" x14ac:dyDescent="0.25">
      <c r="A1235" t="s">
        <v>1802</v>
      </c>
    </row>
    <row r="1236" spans="1:1" x14ac:dyDescent="0.25">
      <c r="A1236" t="s">
        <v>4813</v>
      </c>
    </row>
    <row r="1237" spans="1:1" x14ac:dyDescent="0.25">
      <c r="A1237" t="s">
        <v>4814</v>
      </c>
    </row>
    <row r="1238" spans="1:1" x14ac:dyDescent="0.25">
      <c r="A1238" t="s">
        <v>1803</v>
      </c>
    </row>
    <row r="1239" spans="1:1" x14ac:dyDescent="0.25">
      <c r="A1239" t="s">
        <v>1804</v>
      </c>
    </row>
    <row r="1240" spans="1:1" x14ac:dyDescent="0.25">
      <c r="A1240" t="s">
        <v>1805</v>
      </c>
    </row>
    <row r="1241" spans="1:1" x14ac:dyDescent="0.25">
      <c r="A1241" t="s">
        <v>1806</v>
      </c>
    </row>
    <row r="1242" spans="1:1" x14ac:dyDescent="0.25">
      <c r="A1242" t="s">
        <v>4815</v>
      </c>
    </row>
    <row r="1243" spans="1:1" x14ac:dyDescent="0.25">
      <c r="A1243" t="s">
        <v>1807</v>
      </c>
    </row>
    <row r="1244" spans="1:1" x14ac:dyDescent="0.25">
      <c r="A1244" t="s">
        <v>1808</v>
      </c>
    </row>
    <row r="1245" spans="1:1" x14ac:dyDescent="0.25">
      <c r="A1245" t="s">
        <v>1809</v>
      </c>
    </row>
    <row r="1246" spans="1:1" x14ac:dyDescent="0.25">
      <c r="A1246" t="s">
        <v>1810</v>
      </c>
    </row>
    <row r="1247" spans="1:1" x14ac:dyDescent="0.25">
      <c r="A1247" t="s">
        <v>4816</v>
      </c>
    </row>
    <row r="1248" spans="1:1" x14ac:dyDescent="0.25">
      <c r="A1248" t="s">
        <v>4817</v>
      </c>
    </row>
    <row r="1249" spans="1:1" x14ac:dyDescent="0.25">
      <c r="A1249" t="s">
        <v>1811</v>
      </c>
    </row>
    <row r="1250" spans="1:1" x14ac:dyDescent="0.25">
      <c r="A1250" t="s">
        <v>1812</v>
      </c>
    </row>
    <row r="1251" spans="1:1" x14ac:dyDescent="0.25">
      <c r="A1251" t="s">
        <v>1813</v>
      </c>
    </row>
    <row r="1252" spans="1:1" x14ac:dyDescent="0.25">
      <c r="A1252" t="s">
        <v>4818</v>
      </c>
    </row>
    <row r="1253" spans="1:1" x14ac:dyDescent="0.25">
      <c r="A1253" t="s">
        <v>4819</v>
      </c>
    </row>
    <row r="1254" spans="1:1" x14ac:dyDescent="0.25">
      <c r="A1254" t="s">
        <v>4820</v>
      </c>
    </row>
    <row r="1255" spans="1:1" x14ac:dyDescent="0.25">
      <c r="A1255" t="s">
        <v>4821</v>
      </c>
    </row>
    <row r="1256" spans="1:1" x14ac:dyDescent="0.25">
      <c r="A1256" t="s">
        <v>4822</v>
      </c>
    </row>
    <row r="1257" spans="1:1" x14ac:dyDescent="0.25">
      <c r="A1257" t="s">
        <v>1814</v>
      </c>
    </row>
    <row r="1258" spans="1:1" x14ac:dyDescent="0.25">
      <c r="A1258" t="s">
        <v>1815</v>
      </c>
    </row>
    <row r="1259" spans="1:1" x14ac:dyDescent="0.25">
      <c r="A1259" t="s">
        <v>1816</v>
      </c>
    </row>
    <row r="1260" spans="1:1" x14ac:dyDescent="0.25">
      <c r="A1260" t="s">
        <v>4823</v>
      </c>
    </row>
    <row r="1261" spans="1:1" x14ac:dyDescent="0.25">
      <c r="A1261" t="s">
        <v>4824</v>
      </c>
    </row>
    <row r="1262" spans="1:1" x14ac:dyDescent="0.25">
      <c r="A1262" t="s">
        <v>4825</v>
      </c>
    </row>
    <row r="1263" spans="1:1" x14ac:dyDescent="0.25">
      <c r="A1263" t="s">
        <v>1817</v>
      </c>
    </row>
    <row r="1264" spans="1:1" x14ac:dyDescent="0.25">
      <c r="A1264" t="s">
        <v>4826</v>
      </c>
    </row>
    <row r="1265" spans="1:1" x14ac:dyDescent="0.25">
      <c r="A1265" t="s">
        <v>1818</v>
      </c>
    </row>
    <row r="1266" spans="1:1" x14ac:dyDescent="0.25">
      <c r="A1266" t="s">
        <v>1819</v>
      </c>
    </row>
    <row r="1267" spans="1:1" x14ac:dyDescent="0.25">
      <c r="A1267" t="s">
        <v>4827</v>
      </c>
    </row>
    <row r="1268" spans="1:1" x14ac:dyDescent="0.25">
      <c r="A1268" t="s">
        <v>4828</v>
      </c>
    </row>
    <row r="1269" spans="1:1" x14ac:dyDescent="0.25">
      <c r="A1269" t="s">
        <v>1820</v>
      </c>
    </row>
    <row r="1270" spans="1:1" x14ac:dyDescent="0.25">
      <c r="A1270" t="s">
        <v>1821</v>
      </c>
    </row>
    <row r="1271" spans="1:1" x14ac:dyDescent="0.25">
      <c r="A1271" t="s">
        <v>1822</v>
      </c>
    </row>
    <row r="1272" spans="1:1" x14ac:dyDescent="0.25">
      <c r="A1272" t="s">
        <v>1823</v>
      </c>
    </row>
    <row r="1273" spans="1:1" x14ac:dyDescent="0.25">
      <c r="A1273" t="s">
        <v>1824</v>
      </c>
    </row>
    <row r="1274" spans="1:1" x14ac:dyDescent="0.25">
      <c r="A1274" t="s">
        <v>1825</v>
      </c>
    </row>
    <row r="1275" spans="1:1" x14ac:dyDescent="0.25">
      <c r="A1275" t="s">
        <v>4829</v>
      </c>
    </row>
    <row r="1276" spans="1:1" x14ac:dyDescent="0.25">
      <c r="A1276" t="s">
        <v>4830</v>
      </c>
    </row>
    <row r="1277" spans="1:1" x14ac:dyDescent="0.25">
      <c r="A1277" t="s">
        <v>4831</v>
      </c>
    </row>
    <row r="1278" spans="1:1" x14ac:dyDescent="0.25">
      <c r="A1278" t="s">
        <v>1826</v>
      </c>
    </row>
    <row r="1279" spans="1:1" x14ac:dyDescent="0.25">
      <c r="A1279" t="s">
        <v>1827</v>
      </c>
    </row>
    <row r="1280" spans="1:1" x14ac:dyDescent="0.25">
      <c r="A1280" t="s">
        <v>4832</v>
      </c>
    </row>
    <row r="1281" spans="1:1" x14ac:dyDescent="0.25">
      <c r="A1281" t="s">
        <v>1828</v>
      </c>
    </row>
    <row r="1282" spans="1:1" x14ac:dyDescent="0.25">
      <c r="A1282" t="s">
        <v>1829</v>
      </c>
    </row>
    <row r="1283" spans="1:1" x14ac:dyDescent="0.25">
      <c r="A1283" t="s">
        <v>4833</v>
      </c>
    </row>
    <row r="1284" spans="1:1" x14ac:dyDescent="0.25">
      <c r="A1284" t="s">
        <v>4834</v>
      </c>
    </row>
    <row r="1285" spans="1:1" x14ac:dyDescent="0.25">
      <c r="A1285" t="s">
        <v>4835</v>
      </c>
    </row>
    <row r="1286" spans="1:1" x14ac:dyDescent="0.25">
      <c r="A1286" t="s">
        <v>1830</v>
      </c>
    </row>
    <row r="1287" spans="1:1" x14ac:dyDescent="0.25">
      <c r="A1287" t="s">
        <v>4836</v>
      </c>
    </row>
    <row r="1288" spans="1:1" x14ac:dyDescent="0.25">
      <c r="A1288" t="s">
        <v>1831</v>
      </c>
    </row>
    <row r="1289" spans="1:1" x14ac:dyDescent="0.25">
      <c r="A1289" t="s">
        <v>1832</v>
      </c>
    </row>
    <row r="1290" spans="1:1" x14ac:dyDescent="0.25">
      <c r="A1290" t="s">
        <v>1833</v>
      </c>
    </row>
    <row r="1291" spans="1:1" x14ac:dyDescent="0.25">
      <c r="A1291" t="s">
        <v>1834</v>
      </c>
    </row>
    <row r="1292" spans="1:1" x14ac:dyDescent="0.25">
      <c r="A1292" t="s">
        <v>4837</v>
      </c>
    </row>
    <row r="1293" spans="1:1" x14ac:dyDescent="0.25">
      <c r="A1293" t="s">
        <v>4838</v>
      </c>
    </row>
    <row r="1294" spans="1:1" x14ac:dyDescent="0.25">
      <c r="A1294" t="s">
        <v>1835</v>
      </c>
    </row>
    <row r="1295" spans="1:1" x14ac:dyDescent="0.25">
      <c r="A1295" t="s">
        <v>4839</v>
      </c>
    </row>
    <row r="1296" spans="1:1" x14ac:dyDescent="0.25">
      <c r="A1296" t="s">
        <v>1836</v>
      </c>
    </row>
    <row r="1297" spans="1:1" x14ac:dyDescent="0.25">
      <c r="A1297" t="s">
        <v>1837</v>
      </c>
    </row>
    <row r="1298" spans="1:1" x14ac:dyDescent="0.25">
      <c r="A1298" t="s">
        <v>1838</v>
      </c>
    </row>
    <row r="1299" spans="1:1" x14ac:dyDescent="0.25">
      <c r="A1299" t="s">
        <v>1839</v>
      </c>
    </row>
    <row r="1300" spans="1:1" x14ac:dyDescent="0.25">
      <c r="A1300" t="s">
        <v>1840</v>
      </c>
    </row>
    <row r="1301" spans="1:1" x14ac:dyDescent="0.25">
      <c r="A1301" t="s">
        <v>1841</v>
      </c>
    </row>
    <row r="1302" spans="1:1" x14ac:dyDescent="0.25">
      <c r="A1302" t="s">
        <v>1842</v>
      </c>
    </row>
    <row r="1303" spans="1:1" x14ac:dyDescent="0.25">
      <c r="A1303" t="s">
        <v>4840</v>
      </c>
    </row>
    <row r="1304" spans="1:1" x14ac:dyDescent="0.25">
      <c r="A1304" t="s">
        <v>1843</v>
      </c>
    </row>
    <row r="1305" spans="1:1" x14ac:dyDescent="0.25">
      <c r="A1305" t="s">
        <v>1844</v>
      </c>
    </row>
    <row r="1306" spans="1:1" x14ac:dyDescent="0.25">
      <c r="A1306" t="s">
        <v>4841</v>
      </c>
    </row>
    <row r="1307" spans="1:1" x14ac:dyDescent="0.25">
      <c r="A1307" t="s">
        <v>4842</v>
      </c>
    </row>
    <row r="1308" spans="1:1" x14ac:dyDescent="0.25">
      <c r="A1308" t="s">
        <v>1845</v>
      </c>
    </row>
    <row r="1309" spans="1:1" x14ac:dyDescent="0.25">
      <c r="A1309" t="s">
        <v>4843</v>
      </c>
    </row>
    <row r="1310" spans="1:1" x14ac:dyDescent="0.25">
      <c r="A1310" t="s">
        <v>1846</v>
      </c>
    </row>
    <row r="1311" spans="1:1" x14ac:dyDescent="0.25">
      <c r="A1311" t="s">
        <v>4844</v>
      </c>
    </row>
    <row r="1312" spans="1:1" x14ac:dyDescent="0.25">
      <c r="A1312" t="s">
        <v>4845</v>
      </c>
    </row>
    <row r="1313" spans="1:1" x14ac:dyDescent="0.25">
      <c r="A1313" t="s">
        <v>1847</v>
      </c>
    </row>
    <row r="1314" spans="1:1" x14ac:dyDescent="0.25">
      <c r="A1314" t="s">
        <v>1848</v>
      </c>
    </row>
    <row r="1315" spans="1:1" x14ac:dyDescent="0.25">
      <c r="A1315" t="s">
        <v>4846</v>
      </c>
    </row>
    <row r="1316" spans="1:1" x14ac:dyDescent="0.25">
      <c r="A1316" t="s">
        <v>1849</v>
      </c>
    </row>
    <row r="1317" spans="1:1" x14ac:dyDescent="0.25">
      <c r="A1317" t="s">
        <v>4847</v>
      </c>
    </row>
    <row r="1318" spans="1:1" x14ac:dyDescent="0.25">
      <c r="A1318" t="s">
        <v>1850</v>
      </c>
    </row>
    <row r="1319" spans="1:1" x14ac:dyDescent="0.25">
      <c r="A1319" t="s">
        <v>1851</v>
      </c>
    </row>
    <row r="1320" spans="1:1" x14ac:dyDescent="0.25">
      <c r="A1320" t="s">
        <v>1852</v>
      </c>
    </row>
    <row r="1321" spans="1:1" x14ac:dyDescent="0.25">
      <c r="A1321" t="s">
        <v>4848</v>
      </c>
    </row>
    <row r="1322" spans="1:1" x14ac:dyDescent="0.25">
      <c r="A1322" t="s">
        <v>4849</v>
      </c>
    </row>
    <row r="1323" spans="1:1" x14ac:dyDescent="0.25">
      <c r="A1323" t="s">
        <v>1853</v>
      </c>
    </row>
    <row r="1324" spans="1:1" x14ac:dyDescent="0.25">
      <c r="A1324" t="s">
        <v>1854</v>
      </c>
    </row>
    <row r="1325" spans="1:1" x14ac:dyDescent="0.25">
      <c r="A1325" t="s">
        <v>1855</v>
      </c>
    </row>
    <row r="1326" spans="1:1" x14ac:dyDescent="0.25">
      <c r="A1326" t="s">
        <v>4850</v>
      </c>
    </row>
    <row r="1327" spans="1:1" x14ac:dyDescent="0.25">
      <c r="A1327" t="s">
        <v>1856</v>
      </c>
    </row>
    <row r="1328" spans="1:1" x14ac:dyDescent="0.25">
      <c r="A1328" t="s">
        <v>1857</v>
      </c>
    </row>
    <row r="1329" spans="1:1" x14ac:dyDescent="0.25">
      <c r="A1329" t="s">
        <v>4851</v>
      </c>
    </row>
    <row r="1330" spans="1:1" x14ac:dyDescent="0.25">
      <c r="A1330" t="s">
        <v>1858</v>
      </c>
    </row>
    <row r="1331" spans="1:1" x14ac:dyDescent="0.25">
      <c r="A1331" t="s">
        <v>4852</v>
      </c>
    </row>
    <row r="1332" spans="1:1" x14ac:dyDescent="0.25">
      <c r="A1332" t="s">
        <v>1859</v>
      </c>
    </row>
    <row r="1333" spans="1:1" x14ac:dyDescent="0.25">
      <c r="A1333" t="s">
        <v>1860</v>
      </c>
    </row>
    <row r="1334" spans="1:1" x14ac:dyDescent="0.25">
      <c r="A1334" t="s">
        <v>1861</v>
      </c>
    </row>
    <row r="1335" spans="1:1" x14ac:dyDescent="0.25">
      <c r="A1335" t="s">
        <v>4853</v>
      </c>
    </row>
    <row r="1336" spans="1:1" x14ac:dyDescent="0.25">
      <c r="A1336" t="s">
        <v>4854</v>
      </c>
    </row>
    <row r="1337" spans="1:1" x14ac:dyDescent="0.25">
      <c r="A1337" t="s">
        <v>4855</v>
      </c>
    </row>
    <row r="1338" spans="1:1" x14ac:dyDescent="0.25">
      <c r="A1338" t="s">
        <v>1862</v>
      </c>
    </row>
    <row r="1339" spans="1:1" x14ac:dyDescent="0.25">
      <c r="A1339" t="s">
        <v>1863</v>
      </c>
    </row>
    <row r="1340" spans="1:1" x14ac:dyDescent="0.25">
      <c r="A1340" t="s">
        <v>4856</v>
      </c>
    </row>
    <row r="1341" spans="1:1" x14ac:dyDescent="0.25">
      <c r="A1341" t="s">
        <v>4857</v>
      </c>
    </row>
    <row r="1342" spans="1:1" x14ac:dyDescent="0.25">
      <c r="A1342" t="s">
        <v>4858</v>
      </c>
    </row>
    <row r="1343" spans="1:1" x14ac:dyDescent="0.25">
      <c r="A1343" t="s">
        <v>4859</v>
      </c>
    </row>
    <row r="1344" spans="1:1" x14ac:dyDescent="0.25">
      <c r="A1344" t="s">
        <v>1864</v>
      </c>
    </row>
    <row r="1345" spans="1:1" x14ac:dyDescent="0.25">
      <c r="A1345" t="s">
        <v>4860</v>
      </c>
    </row>
    <row r="1346" spans="1:1" x14ac:dyDescent="0.25">
      <c r="A1346" t="s">
        <v>4861</v>
      </c>
    </row>
    <row r="1347" spans="1:1" x14ac:dyDescent="0.25">
      <c r="A1347" t="s">
        <v>1865</v>
      </c>
    </row>
    <row r="1348" spans="1:1" x14ac:dyDescent="0.25">
      <c r="A1348" t="s">
        <v>1866</v>
      </c>
    </row>
    <row r="1349" spans="1:1" x14ac:dyDescent="0.25">
      <c r="A1349" t="s">
        <v>4862</v>
      </c>
    </row>
    <row r="1350" spans="1:1" x14ac:dyDescent="0.25">
      <c r="A1350" t="s">
        <v>4863</v>
      </c>
    </row>
    <row r="1351" spans="1:1" x14ac:dyDescent="0.25">
      <c r="A1351" t="s">
        <v>4864</v>
      </c>
    </row>
    <row r="1352" spans="1:1" x14ac:dyDescent="0.25">
      <c r="A1352" t="s">
        <v>1867</v>
      </c>
    </row>
    <row r="1353" spans="1:1" x14ac:dyDescent="0.25">
      <c r="A1353" t="s">
        <v>1868</v>
      </c>
    </row>
    <row r="1354" spans="1:1" x14ac:dyDescent="0.25">
      <c r="A1354" t="s">
        <v>4865</v>
      </c>
    </row>
    <row r="1355" spans="1:1" x14ac:dyDescent="0.25">
      <c r="A1355" t="s">
        <v>4866</v>
      </c>
    </row>
    <row r="1356" spans="1:1" x14ac:dyDescent="0.25">
      <c r="A1356" t="s">
        <v>1869</v>
      </c>
    </row>
    <row r="1357" spans="1:1" x14ac:dyDescent="0.25">
      <c r="A1357" t="s">
        <v>1870</v>
      </c>
    </row>
    <row r="1358" spans="1:1" x14ac:dyDescent="0.25">
      <c r="A1358" t="s">
        <v>1871</v>
      </c>
    </row>
    <row r="1359" spans="1:1" x14ac:dyDescent="0.25">
      <c r="A1359" t="s">
        <v>1872</v>
      </c>
    </row>
    <row r="1360" spans="1:1" x14ac:dyDescent="0.25">
      <c r="A1360" t="s">
        <v>1873</v>
      </c>
    </row>
    <row r="1361" spans="1:1" x14ac:dyDescent="0.25">
      <c r="A1361" t="s">
        <v>4867</v>
      </c>
    </row>
    <row r="1362" spans="1:1" x14ac:dyDescent="0.25">
      <c r="A1362" t="s">
        <v>1874</v>
      </c>
    </row>
    <row r="1363" spans="1:1" x14ac:dyDescent="0.25">
      <c r="A1363" t="s">
        <v>1875</v>
      </c>
    </row>
    <row r="1364" spans="1:1" x14ac:dyDescent="0.25">
      <c r="A1364" t="s">
        <v>4868</v>
      </c>
    </row>
    <row r="1365" spans="1:1" x14ac:dyDescent="0.25">
      <c r="A1365" t="s">
        <v>4869</v>
      </c>
    </row>
    <row r="1366" spans="1:1" x14ac:dyDescent="0.25">
      <c r="A1366" t="s">
        <v>4870</v>
      </c>
    </row>
    <row r="1367" spans="1:1" x14ac:dyDescent="0.25">
      <c r="A1367" t="s">
        <v>1876</v>
      </c>
    </row>
    <row r="1368" spans="1:1" x14ac:dyDescent="0.25">
      <c r="A1368" t="s">
        <v>1877</v>
      </c>
    </row>
    <row r="1369" spans="1:1" x14ac:dyDescent="0.25">
      <c r="A1369" t="s">
        <v>1878</v>
      </c>
    </row>
    <row r="1370" spans="1:1" x14ac:dyDescent="0.25">
      <c r="A1370" t="s">
        <v>1879</v>
      </c>
    </row>
    <row r="1371" spans="1:1" x14ac:dyDescent="0.25">
      <c r="A1371" t="s">
        <v>1880</v>
      </c>
    </row>
    <row r="1372" spans="1:1" x14ac:dyDescent="0.25">
      <c r="A1372" t="s">
        <v>1881</v>
      </c>
    </row>
    <row r="1373" spans="1:1" x14ac:dyDescent="0.25">
      <c r="A1373" t="s">
        <v>4871</v>
      </c>
    </row>
    <row r="1374" spans="1:1" x14ac:dyDescent="0.25">
      <c r="A1374" t="s">
        <v>1882</v>
      </c>
    </row>
    <row r="1375" spans="1:1" x14ac:dyDescent="0.25">
      <c r="A1375" t="s">
        <v>4872</v>
      </c>
    </row>
    <row r="1376" spans="1:1" x14ac:dyDescent="0.25">
      <c r="A1376" t="s">
        <v>1883</v>
      </c>
    </row>
    <row r="1377" spans="1:1" x14ac:dyDescent="0.25">
      <c r="A1377" t="s">
        <v>17</v>
      </c>
    </row>
    <row r="1378" spans="1:1" x14ac:dyDescent="0.25">
      <c r="A1378" t="s">
        <v>4873</v>
      </c>
    </row>
    <row r="1379" spans="1:1" x14ac:dyDescent="0.25">
      <c r="A1379" t="s">
        <v>4874</v>
      </c>
    </row>
    <row r="1380" spans="1:1" x14ac:dyDescent="0.25">
      <c r="A1380" t="s">
        <v>4875</v>
      </c>
    </row>
    <row r="1381" spans="1:1" x14ac:dyDescent="0.25">
      <c r="A1381" t="s">
        <v>1884</v>
      </c>
    </row>
    <row r="1382" spans="1:1" x14ac:dyDescent="0.25">
      <c r="A1382" t="s">
        <v>1885</v>
      </c>
    </row>
    <row r="1383" spans="1:1" x14ac:dyDescent="0.25">
      <c r="A1383" t="s">
        <v>1886</v>
      </c>
    </row>
    <row r="1384" spans="1:1" x14ac:dyDescent="0.25">
      <c r="A1384" t="s">
        <v>1887</v>
      </c>
    </row>
    <row r="1385" spans="1:1" x14ac:dyDescent="0.25">
      <c r="A1385" t="s">
        <v>1888</v>
      </c>
    </row>
    <row r="1386" spans="1:1" x14ac:dyDescent="0.25">
      <c r="A1386" t="s">
        <v>1889</v>
      </c>
    </row>
    <row r="1387" spans="1:1" x14ac:dyDescent="0.25">
      <c r="A1387" t="s">
        <v>1890</v>
      </c>
    </row>
    <row r="1388" spans="1:1" x14ac:dyDescent="0.25">
      <c r="A1388" t="s">
        <v>1891</v>
      </c>
    </row>
    <row r="1389" spans="1:1" x14ac:dyDescent="0.25">
      <c r="A1389" t="s">
        <v>1892</v>
      </c>
    </row>
    <row r="1390" spans="1:1" x14ac:dyDescent="0.25">
      <c r="A1390" t="s">
        <v>1893</v>
      </c>
    </row>
    <row r="1391" spans="1:1" x14ac:dyDescent="0.25">
      <c r="A1391" t="s">
        <v>4876</v>
      </c>
    </row>
    <row r="1392" spans="1:1" x14ac:dyDescent="0.25">
      <c r="A1392" t="s">
        <v>4877</v>
      </c>
    </row>
    <row r="1393" spans="1:1" x14ac:dyDescent="0.25">
      <c r="A1393" t="s">
        <v>4878</v>
      </c>
    </row>
    <row r="1394" spans="1:1" x14ac:dyDescent="0.25">
      <c r="A1394" t="s">
        <v>4879</v>
      </c>
    </row>
    <row r="1395" spans="1:1" x14ac:dyDescent="0.25">
      <c r="A1395" t="s">
        <v>1894</v>
      </c>
    </row>
    <row r="1396" spans="1:1" x14ac:dyDescent="0.25">
      <c r="A1396" t="s">
        <v>1895</v>
      </c>
    </row>
    <row r="1397" spans="1:1" x14ac:dyDescent="0.25">
      <c r="A1397" t="s">
        <v>4880</v>
      </c>
    </row>
    <row r="1398" spans="1:1" x14ac:dyDescent="0.25">
      <c r="A1398" t="s">
        <v>1896</v>
      </c>
    </row>
    <row r="1399" spans="1:1" x14ac:dyDescent="0.25">
      <c r="A1399" t="s">
        <v>4881</v>
      </c>
    </row>
    <row r="1400" spans="1:1" x14ac:dyDescent="0.25">
      <c r="A1400" t="s">
        <v>1897</v>
      </c>
    </row>
    <row r="1401" spans="1:1" x14ac:dyDescent="0.25">
      <c r="A1401" t="s">
        <v>1898</v>
      </c>
    </row>
    <row r="1402" spans="1:1" x14ac:dyDescent="0.25">
      <c r="A1402" t="s">
        <v>1899</v>
      </c>
    </row>
    <row r="1403" spans="1:1" x14ac:dyDescent="0.25">
      <c r="A1403" t="s">
        <v>4882</v>
      </c>
    </row>
    <row r="1404" spans="1:1" x14ac:dyDescent="0.25">
      <c r="A1404" t="s">
        <v>4883</v>
      </c>
    </row>
    <row r="1405" spans="1:1" x14ac:dyDescent="0.25">
      <c r="A1405" t="s">
        <v>1900</v>
      </c>
    </row>
    <row r="1406" spans="1:1" x14ac:dyDescent="0.25">
      <c r="A1406" t="s">
        <v>1901</v>
      </c>
    </row>
    <row r="1407" spans="1:1" x14ac:dyDescent="0.25">
      <c r="A1407" t="s">
        <v>1902</v>
      </c>
    </row>
    <row r="1408" spans="1:1" x14ac:dyDescent="0.25">
      <c r="A1408" t="s">
        <v>1903</v>
      </c>
    </row>
    <row r="1409" spans="1:1" x14ac:dyDescent="0.25">
      <c r="A1409" t="s">
        <v>4884</v>
      </c>
    </row>
    <row r="1410" spans="1:1" x14ac:dyDescent="0.25">
      <c r="A1410" t="s">
        <v>4885</v>
      </c>
    </row>
    <row r="1411" spans="1:1" x14ac:dyDescent="0.25">
      <c r="A1411" t="s">
        <v>1904</v>
      </c>
    </row>
    <row r="1412" spans="1:1" x14ac:dyDescent="0.25">
      <c r="A1412" t="s">
        <v>1905</v>
      </c>
    </row>
    <row r="1413" spans="1:1" x14ac:dyDescent="0.25">
      <c r="A1413" t="s">
        <v>4886</v>
      </c>
    </row>
    <row r="1414" spans="1:1" x14ac:dyDescent="0.25">
      <c r="A1414" t="s">
        <v>4887</v>
      </c>
    </row>
    <row r="1415" spans="1:1" x14ac:dyDescent="0.25">
      <c r="A1415" t="s">
        <v>1906</v>
      </c>
    </row>
    <row r="1416" spans="1:1" x14ac:dyDescent="0.25">
      <c r="A1416" t="s">
        <v>1907</v>
      </c>
    </row>
    <row r="1417" spans="1:1" x14ac:dyDescent="0.25">
      <c r="A1417" t="s">
        <v>1908</v>
      </c>
    </row>
    <row r="1418" spans="1:1" x14ac:dyDescent="0.25">
      <c r="A1418" t="s">
        <v>4888</v>
      </c>
    </row>
    <row r="1419" spans="1:1" x14ac:dyDescent="0.25">
      <c r="A1419" t="s">
        <v>1909</v>
      </c>
    </row>
    <row r="1420" spans="1:1" x14ac:dyDescent="0.25">
      <c r="A1420" t="s">
        <v>1910</v>
      </c>
    </row>
    <row r="1421" spans="1:1" x14ac:dyDescent="0.25">
      <c r="A1421" t="s">
        <v>1911</v>
      </c>
    </row>
    <row r="1422" spans="1:1" x14ac:dyDescent="0.25">
      <c r="A1422" t="s">
        <v>1912</v>
      </c>
    </row>
    <row r="1423" spans="1:1" x14ac:dyDescent="0.25">
      <c r="A1423" t="s">
        <v>1913</v>
      </c>
    </row>
    <row r="1424" spans="1:1" x14ac:dyDescent="0.25">
      <c r="A1424" t="s">
        <v>1914</v>
      </c>
    </row>
    <row r="1425" spans="1:1" x14ac:dyDescent="0.25">
      <c r="A1425" t="s">
        <v>1915</v>
      </c>
    </row>
    <row r="1426" spans="1:1" x14ac:dyDescent="0.25">
      <c r="A1426" t="s">
        <v>4889</v>
      </c>
    </row>
    <row r="1427" spans="1:1" x14ac:dyDescent="0.25">
      <c r="A1427" t="s">
        <v>4890</v>
      </c>
    </row>
    <row r="1428" spans="1:1" x14ac:dyDescent="0.25">
      <c r="A1428" t="s">
        <v>1916</v>
      </c>
    </row>
    <row r="1429" spans="1:1" x14ac:dyDescent="0.25">
      <c r="A1429" t="s">
        <v>1917</v>
      </c>
    </row>
    <row r="1430" spans="1:1" x14ac:dyDescent="0.25">
      <c r="A1430" t="s">
        <v>4891</v>
      </c>
    </row>
    <row r="1431" spans="1:1" x14ac:dyDescent="0.25">
      <c r="A1431" t="s">
        <v>1918</v>
      </c>
    </row>
    <row r="1432" spans="1:1" x14ac:dyDescent="0.25">
      <c r="A1432" t="s">
        <v>4892</v>
      </c>
    </row>
    <row r="1433" spans="1:1" x14ac:dyDescent="0.25">
      <c r="A1433" t="s">
        <v>1919</v>
      </c>
    </row>
    <row r="1434" spans="1:1" x14ac:dyDescent="0.25">
      <c r="A1434" t="s">
        <v>4893</v>
      </c>
    </row>
    <row r="1435" spans="1:1" x14ac:dyDescent="0.25">
      <c r="A1435" t="s">
        <v>4894</v>
      </c>
    </row>
    <row r="1436" spans="1:1" x14ac:dyDescent="0.25">
      <c r="A1436" t="s">
        <v>4895</v>
      </c>
    </row>
    <row r="1437" spans="1:1" x14ac:dyDescent="0.25">
      <c r="A1437" t="s">
        <v>1920</v>
      </c>
    </row>
    <row r="1438" spans="1:1" x14ac:dyDescent="0.25">
      <c r="A1438" t="s">
        <v>1921</v>
      </c>
    </row>
    <row r="1439" spans="1:1" x14ac:dyDescent="0.25">
      <c r="A1439" t="s">
        <v>1922</v>
      </c>
    </row>
    <row r="1440" spans="1:1" x14ac:dyDescent="0.25">
      <c r="A1440" t="s">
        <v>1923</v>
      </c>
    </row>
    <row r="1441" spans="1:1" x14ac:dyDescent="0.25">
      <c r="A1441" t="s">
        <v>1924</v>
      </c>
    </row>
    <row r="1442" spans="1:1" x14ac:dyDescent="0.25">
      <c r="A1442" t="s">
        <v>1925</v>
      </c>
    </row>
    <row r="1443" spans="1:1" x14ac:dyDescent="0.25">
      <c r="A1443" t="s">
        <v>4896</v>
      </c>
    </row>
    <row r="1444" spans="1:1" x14ac:dyDescent="0.25">
      <c r="A1444" t="s">
        <v>4897</v>
      </c>
    </row>
    <row r="1445" spans="1:1" x14ac:dyDescent="0.25">
      <c r="A1445" t="s">
        <v>4898</v>
      </c>
    </row>
    <row r="1446" spans="1:1" x14ac:dyDescent="0.25">
      <c r="A1446" t="s">
        <v>1926</v>
      </c>
    </row>
    <row r="1447" spans="1:1" x14ac:dyDescent="0.25">
      <c r="A1447" t="s">
        <v>4899</v>
      </c>
    </row>
    <row r="1448" spans="1:1" x14ac:dyDescent="0.25">
      <c r="A1448" t="s">
        <v>4900</v>
      </c>
    </row>
    <row r="1449" spans="1:1" x14ac:dyDescent="0.25">
      <c r="A1449" t="s">
        <v>4901</v>
      </c>
    </row>
    <row r="1450" spans="1:1" x14ac:dyDescent="0.25">
      <c r="A1450" t="s">
        <v>1927</v>
      </c>
    </row>
    <row r="1451" spans="1:1" x14ac:dyDescent="0.25">
      <c r="A1451" t="s">
        <v>4902</v>
      </c>
    </row>
    <row r="1452" spans="1:1" x14ac:dyDescent="0.25">
      <c r="A1452" t="s">
        <v>1928</v>
      </c>
    </row>
    <row r="1453" spans="1:1" x14ac:dyDescent="0.25">
      <c r="A1453" t="s">
        <v>1929</v>
      </c>
    </row>
    <row r="1454" spans="1:1" x14ac:dyDescent="0.25">
      <c r="A1454" t="s">
        <v>4903</v>
      </c>
    </row>
    <row r="1455" spans="1:1" x14ac:dyDescent="0.25">
      <c r="A1455" t="s">
        <v>1930</v>
      </c>
    </row>
    <row r="1456" spans="1:1" x14ac:dyDescent="0.25">
      <c r="A1456" t="s">
        <v>4904</v>
      </c>
    </row>
    <row r="1457" spans="1:1" x14ac:dyDescent="0.25">
      <c r="A1457" t="s">
        <v>4905</v>
      </c>
    </row>
    <row r="1458" spans="1:1" x14ac:dyDescent="0.25">
      <c r="A1458" t="s">
        <v>1931</v>
      </c>
    </row>
    <row r="1459" spans="1:1" x14ac:dyDescent="0.25">
      <c r="A1459" t="s">
        <v>1932</v>
      </c>
    </row>
    <row r="1460" spans="1:1" x14ac:dyDescent="0.25">
      <c r="A1460" t="s">
        <v>1933</v>
      </c>
    </row>
    <row r="1461" spans="1:1" x14ac:dyDescent="0.25">
      <c r="A1461" t="s">
        <v>4906</v>
      </c>
    </row>
    <row r="1462" spans="1:1" x14ac:dyDescent="0.25">
      <c r="A1462" t="s">
        <v>4907</v>
      </c>
    </row>
    <row r="1463" spans="1:1" x14ac:dyDescent="0.25">
      <c r="A1463" t="s">
        <v>1934</v>
      </c>
    </row>
    <row r="1464" spans="1:1" x14ac:dyDescent="0.25">
      <c r="A1464" t="s">
        <v>4908</v>
      </c>
    </row>
    <row r="1465" spans="1:1" x14ac:dyDescent="0.25">
      <c r="A1465" t="s">
        <v>1935</v>
      </c>
    </row>
    <row r="1466" spans="1:1" x14ac:dyDescent="0.25">
      <c r="A1466" t="s">
        <v>1936</v>
      </c>
    </row>
    <row r="1467" spans="1:1" x14ac:dyDescent="0.25">
      <c r="A1467" t="s">
        <v>1937</v>
      </c>
    </row>
    <row r="1468" spans="1:1" x14ac:dyDescent="0.25">
      <c r="A1468" t="s">
        <v>1938</v>
      </c>
    </row>
    <row r="1469" spans="1:1" x14ac:dyDescent="0.25">
      <c r="A1469" t="s">
        <v>4909</v>
      </c>
    </row>
    <row r="1470" spans="1:1" x14ac:dyDescent="0.25">
      <c r="A1470" t="s">
        <v>1939</v>
      </c>
    </row>
    <row r="1471" spans="1:1" x14ac:dyDescent="0.25">
      <c r="A1471" t="s">
        <v>4910</v>
      </c>
    </row>
    <row r="1472" spans="1:1" x14ac:dyDescent="0.25">
      <c r="A1472" t="s">
        <v>4911</v>
      </c>
    </row>
    <row r="1473" spans="1:1" x14ac:dyDescent="0.25">
      <c r="A1473" t="s">
        <v>4912</v>
      </c>
    </row>
    <row r="1474" spans="1:1" x14ac:dyDescent="0.25">
      <c r="A1474" t="s">
        <v>4913</v>
      </c>
    </row>
    <row r="1475" spans="1:1" x14ac:dyDescent="0.25">
      <c r="A1475" t="s">
        <v>4914</v>
      </c>
    </row>
    <row r="1476" spans="1:1" x14ac:dyDescent="0.25">
      <c r="A1476" t="s">
        <v>1940</v>
      </c>
    </row>
    <row r="1477" spans="1:1" x14ac:dyDescent="0.25">
      <c r="A1477" t="s">
        <v>4915</v>
      </c>
    </row>
    <row r="1478" spans="1:1" x14ac:dyDescent="0.25">
      <c r="A1478" t="s">
        <v>20</v>
      </c>
    </row>
    <row r="1479" spans="1:1" x14ac:dyDescent="0.25">
      <c r="A1479" t="s">
        <v>1941</v>
      </c>
    </row>
    <row r="1480" spans="1:1" x14ac:dyDescent="0.25">
      <c r="A1480" t="s">
        <v>1942</v>
      </c>
    </row>
    <row r="1481" spans="1:1" x14ac:dyDescent="0.25">
      <c r="A1481" t="s">
        <v>1943</v>
      </c>
    </row>
    <row r="1482" spans="1:1" x14ac:dyDescent="0.25">
      <c r="A1482" t="s">
        <v>1944</v>
      </c>
    </row>
    <row r="1483" spans="1:1" x14ac:dyDescent="0.25">
      <c r="A1483" t="s">
        <v>4916</v>
      </c>
    </row>
    <row r="1484" spans="1:1" x14ac:dyDescent="0.25">
      <c r="A1484" t="s">
        <v>4917</v>
      </c>
    </row>
    <row r="1485" spans="1:1" x14ac:dyDescent="0.25">
      <c r="A1485" t="s">
        <v>1945</v>
      </c>
    </row>
    <row r="1486" spans="1:1" x14ac:dyDescent="0.25">
      <c r="A1486" t="s">
        <v>4918</v>
      </c>
    </row>
    <row r="1487" spans="1:1" x14ac:dyDescent="0.25">
      <c r="A1487" t="s">
        <v>4919</v>
      </c>
    </row>
    <row r="1488" spans="1:1" x14ac:dyDescent="0.25">
      <c r="A1488" t="s">
        <v>4920</v>
      </c>
    </row>
    <row r="1489" spans="1:1" x14ac:dyDescent="0.25">
      <c r="A1489" t="s">
        <v>1946</v>
      </c>
    </row>
    <row r="1490" spans="1:1" x14ac:dyDescent="0.25">
      <c r="A1490" t="s">
        <v>1947</v>
      </c>
    </row>
    <row r="1491" spans="1:1" x14ac:dyDescent="0.25">
      <c r="A1491" t="s">
        <v>4921</v>
      </c>
    </row>
    <row r="1492" spans="1:1" x14ac:dyDescent="0.25">
      <c r="A1492" t="s">
        <v>4922</v>
      </c>
    </row>
    <row r="1493" spans="1:1" x14ac:dyDescent="0.25">
      <c r="A1493" t="s">
        <v>4923</v>
      </c>
    </row>
    <row r="1494" spans="1:1" x14ac:dyDescent="0.25">
      <c r="A1494" t="s">
        <v>4924</v>
      </c>
    </row>
    <row r="1495" spans="1:1" x14ac:dyDescent="0.25">
      <c r="A1495" t="s">
        <v>4925</v>
      </c>
    </row>
    <row r="1496" spans="1:1" x14ac:dyDescent="0.25">
      <c r="A1496" t="s">
        <v>1948</v>
      </c>
    </row>
    <row r="1497" spans="1:1" x14ac:dyDescent="0.25">
      <c r="A1497" t="s">
        <v>4926</v>
      </c>
    </row>
    <row r="1498" spans="1:1" x14ac:dyDescent="0.25">
      <c r="A1498" t="s">
        <v>1949</v>
      </c>
    </row>
    <row r="1499" spans="1:1" x14ac:dyDescent="0.25">
      <c r="A1499" t="s">
        <v>1950</v>
      </c>
    </row>
    <row r="1500" spans="1:1" x14ac:dyDescent="0.25">
      <c r="A1500" t="s">
        <v>1951</v>
      </c>
    </row>
    <row r="1501" spans="1:1" x14ac:dyDescent="0.25">
      <c r="A1501" t="s">
        <v>4927</v>
      </c>
    </row>
    <row r="1502" spans="1:1" x14ac:dyDescent="0.25">
      <c r="A1502" t="s">
        <v>4928</v>
      </c>
    </row>
    <row r="1503" spans="1:1" x14ac:dyDescent="0.25">
      <c r="A1503" t="s">
        <v>4929</v>
      </c>
    </row>
    <row r="1504" spans="1:1" x14ac:dyDescent="0.25">
      <c r="A1504" t="s">
        <v>4930</v>
      </c>
    </row>
    <row r="1505" spans="1:1" x14ac:dyDescent="0.25">
      <c r="A1505" t="s">
        <v>1952</v>
      </c>
    </row>
    <row r="1506" spans="1:1" x14ac:dyDescent="0.25">
      <c r="A1506" t="s">
        <v>4931</v>
      </c>
    </row>
    <row r="1507" spans="1:1" x14ac:dyDescent="0.25">
      <c r="A1507" t="s">
        <v>1953</v>
      </c>
    </row>
    <row r="1508" spans="1:1" x14ac:dyDescent="0.25">
      <c r="A1508" t="s">
        <v>1954</v>
      </c>
    </row>
    <row r="1509" spans="1:1" x14ac:dyDescent="0.25">
      <c r="A1509" t="s">
        <v>1955</v>
      </c>
    </row>
    <row r="1510" spans="1:1" x14ac:dyDescent="0.25">
      <c r="A1510" t="s">
        <v>1956</v>
      </c>
    </row>
    <row r="1511" spans="1:1" x14ac:dyDescent="0.25">
      <c r="A1511" t="s">
        <v>1957</v>
      </c>
    </row>
    <row r="1512" spans="1:1" x14ac:dyDescent="0.25">
      <c r="A1512" t="s">
        <v>1958</v>
      </c>
    </row>
    <row r="1513" spans="1:1" x14ac:dyDescent="0.25">
      <c r="A1513" t="s">
        <v>4932</v>
      </c>
    </row>
    <row r="1514" spans="1:1" x14ac:dyDescent="0.25">
      <c r="A1514" t="s">
        <v>1959</v>
      </c>
    </row>
    <row r="1515" spans="1:1" x14ac:dyDescent="0.25">
      <c r="A1515" t="s">
        <v>1960</v>
      </c>
    </row>
    <row r="1516" spans="1:1" x14ac:dyDescent="0.25">
      <c r="A1516" t="s">
        <v>1961</v>
      </c>
    </row>
    <row r="1517" spans="1:1" x14ac:dyDescent="0.25">
      <c r="A1517" t="s">
        <v>1962</v>
      </c>
    </row>
    <row r="1518" spans="1:1" x14ac:dyDescent="0.25">
      <c r="A1518" t="s">
        <v>4933</v>
      </c>
    </row>
    <row r="1519" spans="1:1" x14ac:dyDescent="0.25">
      <c r="A1519" t="s">
        <v>4934</v>
      </c>
    </row>
    <row r="1520" spans="1:1" x14ac:dyDescent="0.25">
      <c r="A1520" t="s">
        <v>1963</v>
      </c>
    </row>
    <row r="1521" spans="1:1" x14ac:dyDescent="0.25">
      <c r="A1521" t="s">
        <v>1444</v>
      </c>
    </row>
    <row r="1522" spans="1:1" x14ac:dyDescent="0.25">
      <c r="A1522" t="s">
        <v>4935</v>
      </c>
    </row>
    <row r="1523" spans="1:1" x14ac:dyDescent="0.25">
      <c r="A1523" t="s">
        <v>4936</v>
      </c>
    </row>
    <row r="1524" spans="1:1" x14ac:dyDescent="0.25">
      <c r="A1524" t="s">
        <v>1964</v>
      </c>
    </row>
    <row r="1525" spans="1:1" x14ac:dyDescent="0.25">
      <c r="A1525" t="s">
        <v>1965</v>
      </c>
    </row>
    <row r="1526" spans="1:1" x14ac:dyDescent="0.25">
      <c r="A1526" t="s">
        <v>1966</v>
      </c>
    </row>
    <row r="1527" spans="1:1" x14ac:dyDescent="0.25">
      <c r="A1527" t="s">
        <v>4937</v>
      </c>
    </row>
    <row r="1528" spans="1:1" x14ac:dyDescent="0.25">
      <c r="A1528" t="s">
        <v>4938</v>
      </c>
    </row>
    <row r="1529" spans="1:1" x14ac:dyDescent="0.25">
      <c r="A1529" t="s">
        <v>1967</v>
      </c>
    </row>
    <row r="1530" spans="1:1" x14ac:dyDescent="0.25">
      <c r="A1530" t="s">
        <v>1968</v>
      </c>
    </row>
    <row r="1531" spans="1:1" x14ac:dyDescent="0.25">
      <c r="A1531" t="s">
        <v>4939</v>
      </c>
    </row>
    <row r="1532" spans="1:1" x14ac:dyDescent="0.25">
      <c r="A1532" t="s">
        <v>4940</v>
      </c>
    </row>
    <row r="1533" spans="1:1" x14ac:dyDescent="0.25">
      <c r="A1533" t="s">
        <v>4941</v>
      </c>
    </row>
    <row r="1534" spans="1:1" x14ac:dyDescent="0.25">
      <c r="A1534" t="s">
        <v>1969</v>
      </c>
    </row>
    <row r="1535" spans="1:1" x14ac:dyDescent="0.25">
      <c r="A1535" t="s">
        <v>1970</v>
      </c>
    </row>
    <row r="1536" spans="1:1" x14ac:dyDescent="0.25">
      <c r="A1536" t="s">
        <v>1971</v>
      </c>
    </row>
    <row r="1537" spans="1:1" x14ac:dyDescent="0.25">
      <c r="A1537" t="s">
        <v>4942</v>
      </c>
    </row>
    <row r="1538" spans="1:1" x14ac:dyDescent="0.25">
      <c r="A1538" t="s">
        <v>4943</v>
      </c>
    </row>
    <row r="1539" spans="1:1" x14ac:dyDescent="0.25">
      <c r="A1539" t="s">
        <v>1972</v>
      </c>
    </row>
    <row r="1540" spans="1:1" x14ac:dyDescent="0.25">
      <c r="A1540" t="s">
        <v>1973</v>
      </c>
    </row>
    <row r="1541" spans="1:1" x14ac:dyDescent="0.25">
      <c r="A1541" t="s">
        <v>4944</v>
      </c>
    </row>
    <row r="1542" spans="1:1" x14ac:dyDescent="0.25">
      <c r="A1542" t="s">
        <v>1974</v>
      </c>
    </row>
    <row r="1543" spans="1:1" x14ac:dyDescent="0.25">
      <c r="A1543" t="s">
        <v>4945</v>
      </c>
    </row>
    <row r="1544" spans="1:1" x14ac:dyDescent="0.25">
      <c r="A1544" t="s">
        <v>1975</v>
      </c>
    </row>
    <row r="1545" spans="1:1" x14ac:dyDescent="0.25">
      <c r="A1545" t="s">
        <v>1976</v>
      </c>
    </row>
    <row r="1546" spans="1:1" x14ac:dyDescent="0.25">
      <c r="A1546" t="s">
        <v>4946</v>
      </c>
    </row>
    <row r="1547" spans="1:1" x14ac:dyDescent="0.25">
      <c r="A1547" t="s">
        <v>1977</v>
      </c>
    </row>
    <row r="1548" spans="1:1" x14ac:dyDescent="0.25">
      <c r="A1548" t="s">
        <v>1978</v>
      </c>
    </row>
    <row r="1549" spans="1:1" x14ac:dyDescent="0.25">
      <c r="A1549" t="s">
        <v>1979</v>
      </c>
    </row>
    <row r="1550" spans="1:1" x14ac:dyDescent="0.25">
      <c r="A1550" t="s">
        <v>4947</v>
      </c>
    </row>
    <row r="1551" spans="1:1" x14ac:dyDescent="0.25">
      <c r="A1551" t="s">
        <v>1980</v>
      </c>
    </row>
    <row r="1552" spans="1:1" x14ac:dyDescent="0.25">
      <c r="A1552" t="s">
        <v>1981</v>
      </c>
    </row>
    <row r="1553" spans="1:1" x14ac:dyDescent="0.25">
      <c r="A1553" t="s">
        <v>1982</v>
      </c>
    </row>
    <row r="1554" spans="1:1" x14ac:dyDescent="0.25">
      <c r="A1554" t="s">
        <v>1983</v>
      </c>
    </row>
    <row r="1555" spans="1:1" x14ac:dyDescent="0.25">
      <c r="A1555" t="s">
        <v>4948</v>
      </c>
    </row>
    <row r="1556" spans="1:1" x14ac:dyDescent="0.25">
      <c r="A1556" t="s">
        <v>4949</v>
      </c>
    </row>
    <row r="1557" spans="1:1" x14ac:dyDescent="0.25">
      <c r="A1557" t="s">
        <v>1984</v>
      </c>
    </row>
    <row r="1558" spans="1:1" x14ac:dyDescent="0.25">
      <c r="A1558" t="s">
        <v>1985</v>
      </c>
    </row>
    <row r="1559" spans="1:1" x14ac:dyDescent="0.25">
      <c r="A1559" t="s">
        <v>1986</v>
      </c>
    </row>
    <row r="1560" spans="1:1" x14ac:dyDescent="0.25">
      <c r="A1560" t="s">
        <v>1449</v>
      </c>
    </row>
    <row r="1561" spans="1:1" x14ac:dyDescent="0.25">
      <c r="A1561" t="s">
        <v>1987</v>
      </c>
    </row>
    <row r="1562" spans="1:1" x14ac:dyDescent="0.25">
      <c r="A1562" t="s">
        <v>4950</v>
      </c>
    </row>
    <row r="1563" spans="1:1" x14ac:dyDescent="0.25">
      <c r="A1563" t="s">
        <v>4951</v>
      </c>
    </row>
    <row r="1564" spans="1:1" x14ac:dyDescent="0.25">
      <c r="A1564" t="s">
        <v>1988</v>
      </c>
    </row>
    <row r="1565" spans="1:1" x14ac:dyDescent="0.25">
      <c r="A1565" t="s">
        <v>1989</v>
      </c>
    </row>
    <row r="1566" spans="1:1" x14ac:dyDescent="0.25">
      <c r="A1566" t="s">
        <v>1990</v>
      </c>
    </row>
    <row r="1567" spans="1:1" x14ac:dyDescent="0.25">
      <c r="A1567" t="s">
        <v>4952</v>
      </c>
    </row>
    <row r="1568" spans="1:1" x14ac:dyDescent="0.25">
      <c r="A1568" t="s">
        <v>4953</v>
      </c>
    </row>
    <row r="1569" spans="1:1" x14ac:dyDescent="0.25">
      <c r="A1569" t="s">
        <v>4954</v>
      </c>
    </row>
    <row r="1570" spans="1:1" x14ac:dyDescent="0.25">
      <c r="A1570" t="s">
        <v>1991</v>
      </c>
    </row>
    <row r="1571" spans="1:1" x14ac:dyDescent="0.25">
      <c r="A1571" t="s">
        <v>4955</v>
      </c>
    </row>
    <row r="1572" spans="1:1" x14ac:dyDescent="0.25">
      <c r="A1572" t="s">
        <v>1992</v>
      </c>
    </row>
    <row r="1573" spans="1:1" x14ac:dyDescent="0.25">
      <c r="A1573" t="s">
        <v>1993</v>
      </c>
    </row>
    <row r="1574" spans="1:1" x14ac:dyDescent="0.25">
      <c r="A1574" t="s">
        <v>4956</v>
      </c>
    </row>
    <row r="1575" spans="1:1" x14ac:dyDescent="0.25">
      <c r="A1575" t="s">
        <v>1994</v>
      </c>
    </row>
    <row r="1576" spans="1:1" x14ac:dyDescent="0.25">
      <c r="A1576" t="s">
        <v>4957</v>
      </c>
    </row>
    <row r="1577" spans="1:1" x14ac:dyDescent="0.25">
      <c r="A1577" t="s">
        <v>1995</v>
      </c>
    </row>
    <row r="1578" spans="1:1" x14ac:dyDescent="0.25">
      <c r="A1578" t="s">
        <v>4958</v>
      </c>
    </row>
    <row r="1579" spans="1:1" x14ac:dyDescent="0.25">
      <c r="A1579" t="s">
        <v>1996</v>
      </c>
    </row>
    <row r="1580" spans="1:1" x14ac:dyDescent="0.25">
      <c r="A1580" t="s">
        <v>1997</v>
      </c>
    </row>
    <row r="1581" spans="1:1" x14ac:dyDescent="0.25">
      <c r="A1581" t="s">
        <v>1998</v>
      </c>
    </row>
    <row r="1582" spans="1:1" x14ac:dyDescent="0.25">
      <c r="A1582" t="s">
        <v>1999</v>
      </c>
    </row>
    <row r="1583" spans="1:1" x14ac:dyDescent="0.25">
      <c r="A1583" t="s">
        <v>2000</v>
      </c>
    </row>
    <row r="1584" spans="1:1" x14ac:dyDescent="0.25">
      <c r="A1584" t="s">
        <v>2001</v>
      </c>
    </row>
    <row r="1585" spans="1:1" x14ac:dyDescent="0.25">
      <c r="A1585" t="s">
        <v>2002</v>
      </c>
    </row>
    <row r="1586" spans="1:1" x14ac:dyDescent="0.25">
      <c r="A1586" t="s">
        <v>2003</v>
      </c>
    </row>
    <row r="1587" spans="1:1" x14ac:dyDescent="0.25">
      <c r="A1587" t="s">
        <v>2004</v>
      </c>
    </row>
    <row r="1588" spans="1:1" x14ac:dyDescent="0.25">
      <c r="A1588" t="s">
        <v>2005</v>
      </c>
    </row>
    <row r="1589" spans="1:1" x14ac:dyDescent="0.25">
      <c r="A1589" t="s">
        <v>4959</v>
      </c>
    </row>
    <row r="1590" spans="1:1" x14ac:dyDescent="0.25">
      <c r="A1590" t="s">
        <v>4960</v>
      </c>
    </row>
    <row r="1591" spans="1:1" x14ac:dyDescent="0.25">
      <c r="A1591" t="s">
        <v>2006</v>
      </c>
    </row>
    <row r="1592" spans="1:1" x14ac:dyDescent="0.25">
      <c r="A1592" t="s">
        <v>4961</v>
      </c>
    </row>
    <row r="1593" spans="1:1" x14ac:dyDescent="0.25">
      <c r="A1593" t="s">
        <v>4962</v>
      </c>
    </row>
    <row r="1594" spans="1:1" x14ac:dyDescent="0.25">
      <c r="A1594" t="s">
        <v>2007</v>
      </c>
    </row>
    <row r="1595" spans="1:1" x14ac:dyDescent="0.25">
      <c r="A1595" t="s">
        <v>2008</v>
      </c>
    </row>
    <row r="1596" spans="1:1" x14ac:dyDescent="0.25">
      <c r="A1596" t="s">
        <v>2009</v>
      </c>
    </row>
    <row r="1597" spans="1:1" x14ac:dyDescent="0.25">
      <c r="A1597" t="s">
        <v>2010</v>
      </c>
    </row>
    <row r="1598" spans="1:1" x14ac:dyDescent="0.25">
      <c r="A1598" t="s">
        <v>2011</v>
      </c>
    </row>
    <row r="1599" spans="1:1" x14ac:dyDescent="0.25">
      <c r="A1599" t="s">
        <v>2012</v>
      </c>
    </row>
    <row r="1600" spans="1:1" x14ac:dyDescent="0.25">
      <c r="A1600" t="s">
        <v>4963</v>
      </c>
    </row>
    <row r="1601" spans="1:1" x14ac:dyDescent="0.25">
      <c r="A1601" t="s">
        <v>2013</v>
      </c>
    </row>
    <row r="1602" spans="1:1" x14ac:dyDescent="0.25">
      <c r="A1602" t="s">
        <v>4964</v>
      </c>
    </row>
    <row r="1603" spans="1:1" x14ac:dyDescent="0.25">
      <c r="A1603" t="s">
        <v>4965</v>
      </c>
    </row>
    <row r="1604" spans="1:1" x14ac:dyDescent="0.25">
      <c r="A1604" t="s">
        <v>4966</v>
      </c>
    </row>
    <row r="1605" spans="1:1" x14ac:dyDescent="0.25">
      <c r="A1605" t="s">
        <v>2014</v>
      </c>
    </row>
    <row r="1606" spans="1:1" x14ac:dyDescent="0.25">
      <c r="A1606" t="s">
        <v>2015</v>
      </c>
    </row>
    <row r="1607" spans="1:1" x14ac:dyDescent="0.25">
      <c r="A1607" t="s">
        <v>2016</v>
      </c>
    </row>
    <row r="1608" spans="1:1" x14ac:dyDescent="0.25">
      <c r="A1608" t="s">
        <v>4967</v>
      </c>
    </row>
    <row r="1609" spans="1:1" x14ac:dyDescent="0.25">
      <c r="A1609" t="s">
        <v>4968</v>
      </c>
    </row>
    <row r="1610" spans="1:1" x14ac:dyDescent="0.25">
      <c r="A1610" t="s">
        <v>2017</v>
      </c>
    </row>
    <row r="1611" spans="1:1" x14ac:dyDescent="0.25">
      <c r="A1611" t="s">
        <v>4969</v>
      </c>
    </row>
    <row r="1612" spans="1:1" x14ac:dyDescent="0.25">
      <c r="A1612" t="s">
        <v>4970</v>
      </c>
    </row>
    <row r="1613" spans="1:1" x14ac:dyDescent="0.25">
      <c r="A1613" t="s">
        <v>2018</v>
      </c>
    </row>
    <row r="1614" spans="1:1" x14ac:dyDescent="0.25">
      <c r="A1614" t="s">
        <v>4971</v>
      </c>
    </row>
    <row r="1615" spans="1:1" x14ac:dyDescent="0.25">
      <c r="A1615" t="s">
        <v>4972</v>
      </c>
    </row>
    <row r="1616" spans="1:1" x14ac:dyDescent="0.25">
      <c r="A1616" t="s">
        <v>2019</v>
      </c>
    </row>
    <row r="1617" spans="1:1" x14ac:dyDescent="0.25">
      <c r="A1617" t="s">
        <v>4973</v>
      </c>
    </row>
    <row r="1618" spans="1:1" x14ac:dyDescent="0.25">
      <c r="A1618" t="s">
        <v>4974</v>
      </c>
    </row>
    <row r="1619" spans="1:1" x14ac:dyDescent="0.25">
      <c r="A1619" t="s">
        <v>2020</v>
      </c>
    </row>
    <row r="1620" spans="1:1" x14ac:dyDescent="0.25">
      <c r="A1620" t="s">
        <v>2021</v>
      </c>
    </row>
    <row r="1621" spans="1:1" x14ac:dyDescent="0.25">
      <c r="A1621" t="s">
        <v>2022</v>
      </c>
    </row>
    <row r="1622" spans="1:1" x14ac:dyDescent="0.25">
      <c r="A1622" t="s">
        <v>4975</v>
      </c>
    </row>
    <row r="1623" spans="1:1" x14ac:dyDescent="0.25">
      <c r="A1623" t="s">
        <v>2023</v>
      </c>
    </row>
    <row r="1624" spans="1:1" x14ac:dyDescent="0.25">
      <c r="A1624" t="s">
        <v>2024</v>
      </c>
    </row>
    <row r="1625" spans="1:1" x14ac:dyDescent="0.25">
      <c r="A1625" t="s">
        <v>4976</v>
      </c>
    </row>
    <row r="1626" spans="1:1" x14ac:dyDescent="0.25">
      <c r="A1626" t="s">
        <v>2025</v>
      </c>
    </row>
    <row r="1627" spans="1:1" x14ac:dyDescent="0.25">
      <c r="A1627" t="s">
        <v>4977</v>
      </c>
    </row>
    <row r="1628" spans="1:1" x14ac:dyDescent="0.25">
      <c r="A1628" t="s">
        <v>4978</v>
      </c>
    </row>
    <row r="1629" spans="1:1" x14ac:dyDescent="0.25">
      <c r="A1629" t="s">
        <v>2026</v>
      </c>
    </row>
    <row r="1630" spans="1:1" x14ac:dyDescent="0.25">
      <c r="A1630" t="s">
        <v>4979</v>
      </c>
    </row>
    <row r="1631" spans="1:1" x14ac:dyDescent="0.25">
      <c r="A1631" t="s">
        <v>4980</v>
      </c>
    </row>
    <row r="1632" spans="1:1" x14ac:dyDescent="0.25">
      <c r="A1632" t="s">
        <v>4981</v>
      </c>
    </row>
    <row r="1633" spans="1:1" x14ac:dyDescent="0.25">
      <c r="A1633" t="s">
        <v>4982</v>
      </c>
    </row>
    <row r="1634" spans="1:1" x14ac:dyDescent="0.25">
      <c r="A1634" t="s">
        <v>2027</v>
      </c>
    </row>
    <row r="1635" spans="1:1" x14ac:dyDescent="0.25">
      <c r="A1635" t="s">
        <v>4983</v>
      </c>
    </row>
    <row r="1636" spans="1:1" x14ac:dyDescent="0.25">
      <c r="A1636" t="s">
        <v>2028</v>
      </c>
    </row>
    <row r="1637" spans="1:1" x14ac:dyDescent="0.25">
      <c r="A1637" t="s">
        <v>2029</v>
      </c>
    </row>
    <row r="1638" spans="1:1" x14ac:dyDescent="0.25">
      <c r="A1638" t="s">
        <v>4984</v>
      </c>
    </row>
    <row r="1639" spans="1:1" x14ac:dyDescent="0.25">
      <c r="A1639" t="s">
        <v>2030</v>
      </c>
    </row>
    <row r="1640" spans="1:1" x14ac:dyDescent="0.25">
      <c r="A1640" t="s">
        <v>4985</v>
      </c>
    </row>
    <row r="1641" spans="1:1" x14ac:dyDescent="0.25">
      <c r="A1641" t="s">
        <v>2031</v>
      </c>
    </row>
    <row r="1642" spans="1:1" x14ac:dyDescent="0.25">
      <c r="A1642" t="s">
        <v>2032</v>
      </c>
    </row>
    <row r="1643" spans="1:1" x14ac:dyDescent="0.25">
      <c r="A1643" t="s">
        <v>2033</v>
      </c>
    </row>
    <row r="1644" spans="1:1" x14ac:dyDescent="0.25">
      <c r="A1644" t="s">
        <v>2034</v>
      </c>
    </row>
    <row r="1645" spans="1:1" x14ac:dyDescent="0.25">
      <c r="A1645" t="s">
        <v>2035</v>
      </c>
    </row>
    <row r="1646" spans="1:1" x14ac:dyDescent="0.25">
      <c r="A1646" t="s">
        <v>4986</v>
      </c>
    </row>
    <row r="1647" spans="1:1" x14ac:dyDescent="0.25">
      <c r="A1647" t="s">
        <v>2036</v>
      </c>
    </row>
    <row r="1648" spans="1:1" x14ac:dyDescent="0.25">
      <c r="A1648" t="s">
        <v>2037</v>
      </c>
    </row>
    <row r="1649" spans="1:1" x14ac:dyDescent="0.25">
      <c r="A1649" t="s">
        <v>2038</v>
      </c>
    </row>
    <row r="1650" spans="1:1" x14ac:dyDescent="0.25">
      <c r="A1650" t="s">
        <v>4987</v>
      </c>
    </row>
    <row r="1651" spans="1:1" x14ac:dyDescent="0.25">
      <c r="A1651" t="s">
        <v>2039</v>
      </c>
    </row>
    <row r="1652" spans="1:1" x14ac:dyDescent="0.25">
      <c r="A1652" t="s">
        <v>2040</v>
      </c>
    </row>
    <row r="1653" spans="1:1" x14ac:dyDescent="0.25">
      <c r="A1653" t="s">
        <v>2041</v>
      </c>
    </row>
    <row r="1654" spans="1:1" x14ac:dyDescent="0.25">
      <c r="A1654" t="s">
        <v>2042</v>
      </c>
    </row>
    <row r="1655" spans="1:1" x14ac:dyDescent="0.25">
      <c r="A1655" t="s">
        <v>4988</v>
      </c>
    </row>
    <row r="1656" spans="1:1" x14ac:dyDescent="0.25">
      <c r="A1656" t="s">
        <v>2043</v>
      </c>
    </row>
    <row r="1657" spans="1:1" x14ac:dyDescent="0.25">
      <c r="A1657" t="s">
        <v>4989</v>
      </c>
    </row>
    <row r="1658" spans="1:1" x14ac:dyDescent="0.25">
      <c r="A1658" t="s">
        <v>4990</v>
      </c>
    </row>
    <row r="1659" spans="1:1" x14ac:dyDescent="0.25">
      <c r="A1659" t="s">
        <v>4991</v>
      </c>
    </row>
    <row r="1660" spans="1:1" x14ac:dyDescent="0.25">
      <c r="A1660" t="s">
        <v>2044</v>
      </c>
    </row>
    <row r="1661" spans="1:1" x14ac:dyDescent="0.25">
      <c r="A1661" t="s">
        <v>2045</v>
      </c>
    </row>
    <row r="1662" spans="1:1" x14ac:dyDescent="0.25">
      <c r="A1662" t="s">
        <v>2046</v>
      </c>
    </row>
    <row r="1663" spans="1:1" x14ac:dyDescent="0.25">
      <c r="A1663" t="s">
        <v>2047</v>
      </c>
    </row>
    <row r="1664" spans="1:1" x14ac:dyDescent="0.25">
      <c r="A1664" t="s">
        <v>2048</v>
      </c>
    </row>
    <row r="1665" spans="1:1" x14ac:dyDescent="0.25">
      <c r="A1665" t="s">
        <v>2049</v>
      </c>
    </row>
    <row r="1666" spans="1:1" x14ac:dyDescent="0.25">
      <c r="A1666" t="s">
        <v>2050</v>
      </c>
    </row>
    <row r="1667" spans="1:1" x14ac:dyDescent="0.25">
      <c r="A1667" t="s">
        <v>2051</v>
      </c>
    </row>
    <row r="1668" spans="1:1" x14ac:dyDescent="0.25">
      <c r="A1668" t="s">
        <v>2052</v>
      </c>
    </row>
    <row r="1669" spans="1:1" x14ac:dyDescent="0.25">
      <c r="A1669" t="s">
        <v>4992</v>
      </c>
    </row>
    <row r="1670" spans="1:1" x14ac:dyDescent="0.25">
      <c r="A1670" t="s">
        <v>4993</v>
      </c>
    </row>
    <row r="1671" spans="1:1" x14ac:dyDescent="0.25">
      <c r="A1671" t="s">
        <v>2053</v>
      </c>
    </row>
    <row r="1672" spans="1:1" x14ac:dyDescent="0.25">
      <c r="A1672" t="s">
        <v>2054</v>
      </c>
    </row>
    <row r="1673" spans="1:1" x14ac:dyDescent="0.25">
      <c r="A1673" t="s">
        <v>2055</v>
      </c>
    </row>
    <row r="1674" spans="1:1" x14ac:dyDescent="0.25">
      <c r="A1674" t="s">
        <v>2056</v>
      </c>
    </row>
    <row r="1675" spans="1:1" x14ac:dyDescent="0.25">
      <c r="A1675" t="s">
        <v>2057</v>
      </c>
    </row>
    <row r="1676" spans="1:1" x14ac:dyDescent="0.25">
      <c r="A1676" t="s">
        <v>2058</v>
      </c>
    </row>
    <row r="1677" spans="1:1" x14ac:dyDescent="0.25">
      <c r="A1677" t="s">
        <v>2059</v>
      </c>
    </row>
    <row r="1678" spans="1:1" x14ac:dyDescent="0.25">
      <c r="A1678" t="s">
        <v>2060</v>
      </c>
    </row>
    <row r="1679" spans="1:1" x14ac:dyDescent="0.25">
      <c r="A1679" t="s">
        <v>4994</v>
      </c>
    </row>
    <row r="1680" spans="1:1" x14ac:dyDescent="0.25">
      <c r="A1680" t="s">
        <v>2061</v>
      </c>
    </row>
    <row r="1681" spans="1:1" x14ac:dyDescent="0.25">
      <c r="A1681" t="s">
        <v>4995</v>
      </c>
    </row>
    <row r="1682" spans="1:1" x14ac:dyDescent="0.25">
      <c r="A1682" t="s">
        <v>4996</v>
      </c>
    </row>
    <row r="1683" spans="1:1" x14ac:dyDescent="0.25">
      <c r="A1683" t="s">
        <v>2062</v>
      </c>
    </row>
    <row r="1684" spans="1:1" x14ac:dyDescent="0.25">
      <c r="A1684" t="s">
        <v>2063</v>
      </c>
    </row>
    <row r="1685" spans="1:1" x14ac:dyDescent="0.25">
      <c r="A1685" t="s">
        <v>2064</v>
      </c>
    </row>
    <row r="1686" spans="1:1" x14ac:dyDescent="0.25">
      <c r="A1686" t="s">
        <v>2065</v>
      </c>
    </row>
    <row r="1687" spans="1:1" x14ac:dyDescent="0.25">
      <c r="A1687" t="s">
        <v>2066</v>
      </c>
    </row>
    <row r="1688" spans="1:1" x14ac:dyDescent="0.25">
      <c r="A1688" t="s">
        <v>2067</v>
      </c>
    </row>
    <row r="1689" spans="1:1" x14ac:dyDescent="0.25">
      <c r="A1689" t="s">
        <v>2068</v>
      </c>
    </row>
    <row r="1690" spans="1:1" x14ac:dyDescent="0.25">
      <c r="A1690" t="s">
        <v>2069</v>
      </c>
    </row>
    <row r="1691" spans="1:1" x14ac:dyDescent="0.25">
      <c r="A1691" t="s">
        <v>2070</v>
      </c>
    </row>
    <row r="1692" spans="1:1" x14ac:dyDescent="0.25">
      <c r="A1692" t="s">
        <v>2071</v>
      </c>
    </row>
    <row r="1693" spans="1:1" x14ac:dyDescent="0.25">
      <c r="A1693" t="s">
        <v>22</v>
      </c>
    </row>
    <row r="1694" spans="1:1" x14ac:dyDescent="0.25">
      <c r="A1694" t="s">
        <v>2072</v>
      </c>
    </row>
    <row r="1695" spans="1:1" x14ac:dyDescent="0.25">
      <c r="A1695" t="s">
        <v>2073</v>
      </c>
    </row>
    <row r="1696" spans="1:1" x14ac:dyDescent="0.25">
      <c r="A1696" t="s">
        <v>4997</v>
      </c>
    </row>
    <row r="1697" spans="1:1" x14ac:dyDescent="0.25">
      <c r="A1697" t="s">
        <v>4998</v>
      </c>
    </row>
    <row r="1698" spans="1:1" x14ac:dyDescent="0.25">
      <c r="A1698" t="s">
        <v>4999</v>
      </c>
    </row>
    <row r="1699" spans="1:1" x14ac:dyDescent="0.25">
      <c r="A1699" t="s">
        <v>2074</v>
      </c>
    </row>
    <row r="1700" spans="1:1" x14ac:dyDescent="0.25">
      <c r="A1700" t="s">
        <v>2075</v>
      </c>
    </row>
    <row r="1701" spans="1:1" x14ac:dyDescent="0.25">
      <c r="A1701" t="s">
        <v>2076</v>
      </c>
    </row>
    <row r="1702" spans="1:1" x14ac:dyDescent="0.25">
      <c r="A1702" t="s">
        <v>5000</v>
      </c>
    </row>
    <row r="1703" spans="1:1" x14ac:dyDescent="0.25">
      <c r="A1703" t="s">
        <v>2077</v>
      </c>
    </row>
    <row r="1704" spans="1:1" x14ac:dyDescent="0.25">
      <c r="A1704" t="s">
        <v>2078</v>
      </c>
    </row>
    <row r="1705" spans="1:1" x14ac:dyDescent="0.25">
      <c r="A1705" t="s">
        <v>5001</v>
      </c>
    </row>
    <row r="1706" spans="1:1" x14ac:dyDescent="0.25">
      <c r="A1706" t="s">
        <v>2079</v>
      </c>
    </row>
    <row r="1707" spans="1:1" x14ac:dyDescent="0.25">
      <c r="A1707" t="s">
        <v>2080</v>
      </c>
    </row>
    <row r="1708" spans="1:1" x14ac:dyDescent="0.25">
      <c r="A1708" t="s">
        <v>2081</v>
      </c>
    </row>
    <row r="1709" spans="1:1" x14ac:dyDescent="0.25">
      <c r="A1709" t="s">
        <v>2082</v>
      </c>
    </row>
    <row r="1710" spans="1:1" x14ac:dyDescent="0.25">
      <c r="A1710" t="s">
        <v>5002</v>
      </c>
    </row>
    <row r="1711" spans="1:1" x14ac:dyDescent="0.25">
      <c r="A1711" t="s">
        <v>2083</v>
      </c>
    </row>
    <row r="1712" spans="1:1" x14ac:dyDescent="0.25">
      <c r="A1712" t="s">
        <v>2084</v>
      </c>
    </row>
    <row r="1713" spans="1:1" x14ac:dyDescent="0.25">
      <c r="A1713" t="s">
        <v>5003</v>
      </c>
    </row>
    <row r="1714" spans="1:1" x14ac:dyDescent="0.25">
      <c r="A1714" t="s">
        <v>2085</v>
      </c>
    </row>
    <row r="1715" spans="1:1" x14ac:dyDescent="0.25">
      <c r="A1715" t="s">
        <v>2086</v>
      </c>
    </row>
    <row r="1716" spans="1:1" x14ac:dyDescent="0.25">
      <c r="A1716" t="s">
        <v>5004</v>
      </c>
    </row>
    <row r="1717" spans="1:1" x14ac:dyDescent="0.25">
      <c r="A1717" t="s">
        <v>2087</v>
      </c>
    </row>
    <row r="1718" spans="1:1" x14ac:dyDescent="0.25">
      <c r="A1718" t="s">
        <v>2088</v>
      </c>
    </row>
    <row r="1719" spans="1:1" x14ac:dyDescent="0.25">
      <c r="A1719" t="s">
        <v>5005</v>
      </c>
    </row>
    <row r="1720" spans="1:1" x14ac:dyDescent="0.25">
      <c r="A1720" t="s">
        <v>2089</v>
      </c>
    </row>
    <row r="1721" spans="1:1" x14ac:dyDescent="0.25">
      <c r="A1721" t="s">
        <v>2090</v>
      </c>
    </row>
    <row r="1722" spans="1:1" x14ac:dyDescent="0.25">
      <c r="A1722" t="s">
        <v>2091</v>
      </c>
    </row>
    <row r="1723" spans="1:1" x14ac:dyDescent="0.25">
      <c r="A1723" t="s">
        <v>5006</v>
      </c>
    </row>
    <row r="1724" spans="1:1" x14ac:dyDescent="0.25">
      <c r="A1724" t="s">
        <v>2092</v>
      </c>
    </row>
    <row r="1725" spans="1:1" x14ac:dyDescent="0.25">
      <c r="A1725" t="s">
        <v>2093</v>
      </c>
    </row>
    <row r="1726" spans="1:1" x14ac:dyDescent="0.25">
      <c r="A1726" t="s">
        <v>2094</v>
      </c>
    </row>
    <row r="1727" spans="1:1" x14ac:dyDescent="0.25">
      <c r="A1727" t="s">
        <v>2095</v>
      </c>
    </row>
    <row r="1728" spans="1:1" x14ac:dyDescent="0.25">
      <c r="A1728" t="s">
        <v>2096</v>
      </c>
    </row>
    <row r="1729" spans="1:1" x14ac:dyDescent="0.25">
      <c r="A1729" t="s">
        <v>2097</v>
      </c>
    </row>
    <row r="1730" spans="1:1" x14ac:dyDescent="0.25">
      <c r="A1730" t="s">
        <v>2098</v>
      </c>
    </row>
    <row r="1731" spans="1:1" x14ac:dyDescent="0.25">
      <c r="A1731" t="s">
        <v>5007</v>
      </c>
    </row>
    <row r="1732" spans="1:1" x14ac:dyDescent="0.25">
      <c r="A1732" t="s">
        <v>2099</v>
      </c>
    </row>
    <row r="1733" spans="1:1" x14ac:dyDescent="0.25">
      <c r="A1733" t="s">
        <v>5008</v>
      </c>
    </row>
    <row r="1734" spans="1:1" x14ac:dyDescent="0.25">
      <c r="A1734" t="s">
        <v>5009</v>
      </c>
    </row>
    <row r="1735" spans="1:1" x14ac:dyDescent="0.25">
      <c r="A1735" t="s">
        <v>2100</v>
      </c>
    </row>
    <row r="1736" spans="1:1" x14ac:dyDescent="0.25">
      <c r="A1736" t="s">
        <v>2101</v>
      </c>
    </row>
    <row r="1737" spans="1:1" x14ac:dyDescent="0.25">
      <c r="A1737" t="s">
        <v>2102</v>
      </c>
    </row>
    <row r="1738" spans="1:1" x14ac:dyDescent="0.25">
      <c r="A1738" t="s">
        <v>5010</v>
      </c>
    </row>
    <row r="1739" spans="1:1" x14ac:dyDescent="0.25">
      <c r="A1739" t="s">
        <v>2103</v>
      </c>
    </row>
    <row r="1740" spans="1:1" x14ac:dyDescent="0.25">
      <c r="A1740" t="s">
        <v>5011</v>
      </c>
    </row>
    <row r="1741" spans="1:1" x14ac:dyDescent="0.25">
      <c r="A1741" t="s">
        <v>2104</v>
      </c>
    </row>
    <row r="1742" spans="1:1" x14ac:dyDescent="0.25">
      <c r="A1742" t="s">
        <v>5012</v>
      </c>
    </row>
    <row r="1743" spans="1:1" x14ac:dyDescent="0.25">
      <c r="A1743" t="s">
        <v>2105</v>
      </c>
    </row>
    <row r="1744" spans="1:1" x14ac:dyDescent="0.25">
      <c r="A1744" t="s">
        <v>5013</v>
      </c>
    </row>
    <row r="1745" spans="1:1" x14ac:dyDescent="0.25">
      <c r="A1745" t="s">
        <v>5014</v>
      </c>
    </row>
    <row r="1746" spans="1:1" x14ac:dyDescent="0.25">
      <c r="A1746" t="s">
        <v>2106</v>
      </c>
    </row>
    <row r="1747" spans="1:1" x14ac:dyDescent="0.25">
      <c r="A1747" t="s">
        <v>2107</v>
      </c>
    </row>
    <row r="1748" spans="1:1" x14ac:dyDescent="0.25">
      <c r="A1748" t="s">
        <v>2108</v>
      </c>
    </row>
    <row r="1749" spans="1:1" x14ac:dyDescent="0.25">
      <c r="A1749" t="s">
        <v>5015</v>
      </c>
    </row>
    <row r="1750" spans="1:1" x14ac:dyDescent="0.25">
      <c r="A1750" t="s">
        <v>5016</v>
      </c>
    </row>
    <row r="1751" spans="1:1" x14ac:dyDescent="0.25">
      <c r="A1751" t="s">
        <v>2109</v>
      </c>
    </row>
    <row r="1752" spans="1:1" x14ac:dyDescent="0.25">
      <c r="A1752" t="s">
        <v>2110</v>
      </c>
    </row>
    <row r="1753" spans="1:1" x14ac:dyDescent="0.25">
      <c r="A1753" t="s">
        <v>5017</v>
      </c>
    </row>
    <row r="1754" spans="1:1" x14ac:dyDescent="0.25">
      <c r="A1754" t="s">
        <v>2111</v>
      </c>
    </row>
    <row r="1755" spans="1:1" x14ac:dyDescent="0.25">
      <c r="A1755" t="s">
        <v>5018</v>
      </c>
    </row>
    <row r="1756" spans="1:1" x14ac:dyDescent="0.25">
      <c r="A1756" t="s">
        <v>2112</v>
      </c>
    </row>
    <row r="1757" spans="1:1" x14ac:dyDescent="0.25">
      <c r="A1757" t="s">
        <v>2113</v>
      </c>
    </row>
    <row r="1758" spans="1:1" x14ac:dyDescent="0.25">
      <c r="A1758" t="s">
        <v>2114</v>
      </c>
    </row>
    <row r="1759" spans="1:1" x14ac:dyDescent="0.25">
      <c r="A1759" t="s">
        <v>5019</v>
      </c>
    </row>
    <row r="1760" spans="1:1" x14ac:dyDescent="0.25">
      <c r="A1760" t="s">
        <v>2115</v>
      </c>
    </row>
    <row r="1761" spans="1:1" x14ac:dyDescent="0.25">
      <c r="A1761" t="s">
        <v>5020</v>
      </c>
    </row>
    <row r="1762" spans="1:1" x14ac:dyDescent="0.25">
      <c r="A1762" t="s">
        <v>2116</v>
      </c>
    </row>
    <row r="1763" spans="1:1" x14ac:dyDescent="0.25">
      <c r="A1763" t="s">
        <v>5021</v>
      </c>
    </row>
    <row r="1764" spans="1:1" x14ac:dyDescent="0.25">
      <c r="A1764" t="s">
        <v>2117</v>
      </c>
    </row>
    <row r="1765" spans="1:1" x14ac:dyDescent="0.25">
      <c r="A1765" t="s">
        <v>2118</v>
      </c>
    </row>
    <row r="1766" spans="1:1" x14ac:dyDescent="0.25">
      <c r="A1766" t="s">
        <v>2119</v>
      </c>
    </row>
    <row r="1767" spans="1:1" x14ac:dyDescent="0.25">
      <c r="A1767" t="s">
        <v>2120</v>
      </c>
    </row>
    <row r="1768" spans="1:1" x14ac:dyDescent="0.25">
      <c r="A1768" t="s">
        <v>2121</v>
      </c>
    </row>
    <row r="1769" spans="1:1" x14ac:dyDescent="0.25">
      <c r="A1769" t="s">
        <v>2122</v>
      </c>
    </row>
    <row r="1770" spans="1:1" x14ac:dyDescent="0.25">
      <c r="A1770" t="s">
        <v>2123</v>
      </c>
    </row>
    <row r="1771" spans="1:1" x14ac:dyDescent="0.25">
      <c r="A1771" t="s">
        <v>5022</v>
      </c>
    </row>
    <row r="1772" spans="1:1" x14ac:dyDescent="0.25">
      <c r="A1772" t="s">
        <v>2124</v>
      </c>
    </row>
    <row r="1773" spans="1:1" x14ac:dyDescent="0.25">
      <c r="A1773" t="s">
        <v>5023</v>
      </c>
    </row>
    <row r="1774" spans="1:1" x14ac:dyDescent="0.25">
      <c r="A1774" t="s">
        <v>2125</v>
      </c>
    </row>
    <row r="1775" spans="1:1" x14ac:dyDescent="0.25">
      <c r="A1775" t="s">
        <v>5024</v>
      </c>
    </row>
    <row r="1776" spans="1:1" x14ac:dyDescent="0.25">
      <c r="A1776" t="s">
        <v>5025</v>
      </c>
    </row>
    <row r="1777" spans="1:1" x14ac:dyDescent="0.25">
      <c r="A1777" t="s">
        <v>2126</v>
      </c>
    </row>
    <row r="1778" spans="1:1" x14ac:dyDescent="0.25">
      <c r="A1778" t="s">
        <v>5026</v>
      </c>
    </row>
    <row r="1779" spans="1:1" x14ac:dyDescent="0.25">
      <c r="A1779" t="s">
        <v>5027</v>
      </c>
    </row>
    <row r="1780" spans="1:1" x14ac:dyDescent="0.25">
      <c r="A1780" t="s">
        <v>2127</v>
      </c>
    </row>
    <row r="1781" spans="1:1" x14ac:dyDescent="0.25">
      <c r="A1781" t="s">
        <v>5028</v>
      </c>
    </row>
    <row r="1782" spans="1:1" x14ac:dyDescent="0.25">
      <c r="A1782" t="s">
        <v>2128</v>
      </c>
    </row>
    <row r="1783" spans="1:1" x14ac:dyDescent="0.25">
      <c r="A1783" t="s">
        <v>2129</v>
      </c>
    </row>
    <row r="1784" spans="1:1" x14ac:dyDescent="0.25">
      <c r="A1784" t="s">
        <v>2130</v>
      </c>
    </row>
    <row r="1785" spans="1:1" x14ac:dyDescent="0.25">
      <c r="A1785" t="s">
        <v>2131</v>
      </c>
    </row>
    <row r="1786" spans="1:1" x14ac:dyDescent="0.25">
      <c r="A1786" t="s">
        <v>5029</v>
      </c>
    </row>
    <row r="1787" spans="1:1" x14ac:dyDescent="0.25">
      <c r="A1787" t="s">
        <v>2132</v>
      </c>
    </row>
    <row r="1788" spans="1:1" x14ac:dyDescent="0.25">
      <c r="A1788" t="s">
        <v>5030</v>
      </c>
    </row>
    <row r="1789" spans="1:1" x14ac:dyDescent="0.25">
      <c r="A1789" t="s">
        <v>2133</v>
      </c>
    </row>
    <row r="1790" spans="1:1" x14ac:dyDescent="0.25">
      <c r="A1790" t="s">
        <v>5031</v>
      </c>
    </row>
    <row r="1791" spans="1:1" x14ac:dyDescent="0.25">
      <c r="A1791" t="s">
        <v>2134</v>
      </c>
    </row>
    <row r="1792" spans="1:1" x14ac:dyDescent="0.25">
      <c r="A1792" t="s">
        <v>2135</v>
      </c>
    </row>
    <row r="1793" spans="1:1" x14ac:dyDescent="0.25">
      <c r="A1793" t="s">
        <v>2136</v>
      </c>
    </row>
    <row r="1794" spans="1:1" x14ac:dyDescent="0.25">
      <c r="A1794" t="s">
        <v>5032</v>
      </c>
    </row>
    <row r="1795" spans="1:1" x14ac:dyDescent="0.25">
      <c r="A1795" t="s">
        <v>5033</v>
      </c>
    </row>
    <row r="1796" spans="1:1" x14ac:dyDescent="0.25">
      <c r="A1796" t="s">
        <v>2137</v>
      </c>
    </row>
    <row r="1797" spans="1:1" x14ac:dyDescent="0.25">
      <c r="A1797" t="s">
        <v>2138</v>
      </c>
    </row>
    <row r="1798" spans="1:1" x14ac:dyDescent="0.25">
      <c r="A1798" t="s">
        <v>2139</v>
      </c>
    </row>
    <row r="1799" spans="1:1" x14ac:dyDescent="0.25">
      <c r="A1799" t="s">
        <v>2140</v>
      </c>
    </row>
    <row r="1800" spans="1:1" x14ac:dyDescent="0.25">
      <c r="A1800" t="s">
        <v>2141</v>
      </c>
    </row>
    <row r="1801" spans="1:1" x14ac:dyDescent="0.25">
      <c r="A1801" t="s">
        <v>5034</v>
      </c>
    </row>
    <row r="1802" spans="1:1" x14ac:dyDescent="0.25">
      <c r="A1802" t="s">
        <v>5035</v>
      </c>
    </row>
    <row r="1803" spans="1:1" x14ac:dyDescent="0.25">
      <c r="A1803" t="s">
        <v>5036</v>
      </c>
    </row>
    <row r="1804" spans="1:1" x14ac:dyDescent="0.25">
      <c r="A1804" t="s">
        <v>5037</v>
      </c>
    </row>
    <row r="1805" spans="1:1" x14ac:dyDescent="0.25">
      <c r="A1805" t="s">
        <v>2142</v>
      </c>
    </row>
    <row r="1806" spans="1:1" x14ac:dyDescent="0.25">
      <c r="A1806" t="s">
        <v>2143</v>
      </c>
    </row>
    <row r="1807" spans="1:1" x14ac:dyDescent="0.25">
      <c r="A1807" t="s">
        <v>2144</v>
      </c>
    </row>
    <row r="1808" spans="1:1" x14ac:dyDescent="0.25">
      <c r="A1808" t="s">
        <v>2145</v>
      </c>
    </row>
    <row r="1809" spans="1:1" x14ac:dyDescent="0.25">
      <c r="A1809" t="s">
        <v>2146</v>
      </c>
    </row>
    <row r="1810" spans="1:1" x14ac:dyDescent="0.25">
      <c r="A1810" t="s">
        <v>5038</v>
      </c>
    </row>
    <row r="1811" spans="1:1" x14ac:dyDescent="0.25">
      <c r="A1811" t="s">
        <v>5039</v>
      </c>
    </row>
    <row r="1812" spans="1:1" x14ac:dyDescent="0.25">
      <c r="A1812" t="s">
        <v>5040</v>
      </c>
    </row>
    <row r="1813" spans="1:1" x14ac:dyDescent="0.25">
      <c r="A1813" t="s">
        <v>5041</v>
      </c>
    </row>
    <row r="1814" spans="1:1" x14ac:dyDescent="0.25">
      <c r="A1814" t="s">
        <v>5042</v>
      </c>
    </row>
    <row r="1815" spans="1:1" x14ac:dyDescent="0.25">
      <c r="A1815" t="s">
        <v>2147</v>
      </c>
    </row>
    <row r="1816" spans="1:1" x14ac:dyDescent="0.25">
      <c r="A1816" t="s">
        <v>23</v>
      </c>
    </row>
    <row r="1817" spans="1:1" x14ac:dyDescent="0.25">
      <c r="A1817" t="s">
        <v>2148</v>
      </c>
    </row>
  </sheetData>
  <sortState ref="C11:I334">
    <sortCondition ref="G11:G334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8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6.85546875" customWidth="1"/>
    <col min="3" max="3" width="14.42578125" customWidth="1"/>
    <col min="4" max="4" width="33.42578125" customWidth="1"/>
  </cols>
  <sheetData>
    <row r="1" spans="1:9" ht="20.25" x14ac:dyDescent="0.3">
      <c r="A1" s="12" t="s">
        <v>5043</v>
      </c>
    </row>
    <row r="2" spans="1:9" x14ac:dyDescent="0.25">
      <c r="A2" s="5" t="s">
        <v>5044</v>
      </c>
      <c r="B2" s="9">
        <f>286/7100</f>
        <v>4.0281690140845074E-2</v>
      </c>
      <c r="C2" t="s">
        <v>2</v>
      </c>
      <c r="D2">
        <v>233</v>
      </c>
    </row>
    <row r="3" spans="1:9" x14ac:dyDescent="0.25">
      <c r="A3" t="s">
        <v>5045</v>
      </c>
      <c r="C3" t="s">
        <v>4</v>
      </c>
      <c r="D3">
        <v>77079</v>
      </c>
    </row>
    <row r="4" spans="1:9" x14ac:dyDescent="0.25">
      <c r="A4" t="s">
        <v>5046</v>
      </c>
      <c r="C4" t="s">
        <v>6</v>
      </c>
      <c r="D4" t="s">
        <v>7</v>
      </c>
    </row>
    <row r="5" spans="1:9" x14ac:dyDescent="0.25">
      <c r="A5" t="s">
        <v>5047</v>
      </c>
      <c r="C5" t="s">
        <v>9</v>
      </c>
      <c r="D5" t="s">
        <v>10</v>
      </c>
    </row>
    <row r="6" spans="1:9" x14ac:dyDescent="0.25">
      <c r="A6" t="s">
        <v>5048</v>
      </c>
      <c r="C6" t="s">
        <v>12</v>
      </c>
      <c r="D6" t="s">
        <v>13</v>
      </c>
    </row>
    <row r="7" spans="1:9" x14ac:dyDescent="0.25">
      <c r="A7" t="s">
        <v>2149</v>
      </c>
      <c r="C7" t="s">
        <v>15</v>
      </c>
      <c r="D7" t="s">
        <v>16</v>
      </c>
    </row>
    <row r="8" spans="1:9" x14ac:dyDescent="0.25">
      <c r="A8" t="s">
        <v>5049</v>
      </c>
      <c r="C8" t="s">
        <v>18</v>
      </c>
      <c r="D8" t="s">
        <v>19</v>
      </c>
    </row>
    <row r="9" spans="1:9" x14ac:dyDescent="0.25">
      <c r="A9" t="s">
        <v>31</v>
      </c>
      <c r="C9" t="s">
        <v>21</v>
      </c>
      <c r="D9">
        <v>3</v>
      </c>
    </row>
    <row r="10" spans="1:9" x14ac:dyDescent="0.25">
      <c r="A10" t="s">
        <v>5050</v>
      </c>
    </row>
    <row r="11" spans="1:9" x14ac:dyDescent="0.25">
      <c r="A11" t="s">
        <v>5051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5052</v>
      </c>
      <c r="C12" s="3" t="str">
        <f>HYPERLINK("http://amigo.geneontology.org/amigo/term/GO:0004564","GO:0004564")</f>
        <v>GO:0004564</v>
      </c>
      <c r="D12" t="s">
        <v>404</v>
      </c>
      <c r="E12">
        <v>32</v>
      </c>
      <c r="F12">
        <v>10</v>
      </c>
      <c r="G12" s="4">
        <v>3.1907347536361999E-18</v>
      </c>
      <c r="H12" s="4">
        <v>4.8020558042224898E-15</v>
      </c>
      <c r="I12" t="s">
        <v>5053</v>
      </c>
    </row>
    <row r="13" spans="1:9" x14ac:dyDescent="0.25">
      <c r="A13" t="s">
        <v>5054</v>
      </c>
      <c r="C13" s="3" t="str">
        <f>HYPERLINK("http://amigo.geneontology.org/amigo/term/GO:0090599","GO:0090599")</f>
        <v>GO:0090599</v>
      </c>
      <c r="D13" t="s">
        <v>407</v>
      </c>
      <c r="E13">
        <v>32</v>
      </c>
      <c r="F13">
        <v>10</v>
      </c>
      <c r="G13" s="4">
        <v>3.1907347536361999E-18</v>
      </c>
      <c r="H13" s="4">
        <v>7.2014883389569197E-15</v>
      </c>
      <c r="I13" t="s">
        <v>5053</v>
      </c>
    </row>
    <row r="14" spans="1:9" x14ac:dyDescent="0.25">
      <c r="A14" t="s">
        <v>2150</v>
      </c>
      <c r="C14" s="3" t="str">
        <f>HYPERLINK("http://amigo.geneontology.org/amigo/term/GO:0004575","GO:0004575")</f>
        <v>GO:0004575</v>
      </c>
      <c r="D14" t="s">
        <v>409</v>
      </c>
      <c r="E14">
        <v>32</v>
      </c>
      <c r="F14">
        <v>10</v>
      </c>
      <c r="G14" s="4">
        <v>3.1907347536361999E-18</v>
      </c>
      <c r="H14" s="4">
        <v>1.44061674126674E-14</v>
      </c>
      <c r="I14" t="s">
        <v>5053</v>
      </c>
    </row>
    <row r="15" spans="1:9" x14ac:dyDescent="0.25">
      <c r="A15" t="s">
        <v>5055</v>
      </c>
      <c r="C15" s="3" t="str">
        <f>HYPERLINK("http://amigo.geneontology.org/amigo/term/GO:0015926","GO:0015926")</f>
        <v>GO:0015926</v>
      </c>
      <c r="D15" t="s">
        <v>401</v>
      </c>
      <c r="E15">
        <v>59</v>
      </c>
      <c r="F15">
        <v>11</v>
      </c>
      <c r="G15" s="4">
        <v>3.7384109347683401E-17</v>
      </c>
      <c r="H15" s="4">
        <v>4.21692753441868E-14</v>
      </c>
      <c r="I15" t="s">
        <v>5056</v>
      </c>
    </row>
    <row r="16" spans="1:9" x14ac:dyDescent="0.25">
      <c r="A16" t="s">
        <v>2151</v>
      </c>
      <c r="C16" s="3" t="str">
        <f>HYPERLINK("http://amigo.geneontology.org/amigo/term/GO:0004553","GO:0004553")</f>
        <v>GO:0004553</v>
      </c>
      <c r="D16" t="s">
        <v>174</v>
      </c>
      <c r="E16">
        <v>1509</v>
      </c>
      <c r="F16">
        <v>18</v>
      </c>
      <c r="G16" s="4">
        <v>1.0069467904785399E-6</v>
      </c>
      <c r="H16" s="4">
        <v>9.0927295180212402E-4</v>
      </c>
      <c r="I16" t="s">
        <v>5057</v>
      </c>
    </row>
    <row r="17" spans="1:9" x14ac:dyDescent="0.25">
      <c r="A17" t="s">
        <v>34</v>
      </c>
      <c r="C17" s="3" t="str">
        <f>HYPERLINK("http://amigo.geneontology.org/amigo/term/GO:0016798","GO:0016798")</f>
        <v>GO:0016798</v>
      </c>
      <c r="D17" t="s">
        <v>177</v>
      </c>
      <c r="E17">
        <v>1691</v>
      </c>
      <c r="F17">
        <v>19</v>
      </c>
      <c r="G17" s="4">
        <v>1.2059843048334E-6</v>
      </c>
      <c r="H17" s="4">
        <v>9.0690019723471899E-4</v>
      </c>
      <c r="I17" t="s">
        <v>5058</v>
      </c>
    </row>
    <row r="18" spans="1:9" x14ac:dyDescent="0.25">
      <c r="A18" t="s">
        <v>5059</v>
      </c>
      <c r="C18" s="3" t="str">
        <f>HYPERLINK("http://amigo.geneontology.org/amigo/term/GO:0006308","GO:0006308")</f>
        <v>GO:0006308</v>
      </c>
      <c r="D18" t="s">
        <v>5060</v>
      </c>
      <c r="E18">
        <v>62</v>
      </c>
      <c r="F18">
        <v>5</v>
      </c>
      <c r="G18" s="4">
        <v>1.3594709196138199E-6</v>
      </c>
      <c r="H18" s="4">
        <v>8.7685874315091895E-4</v>
      </c>
      <c r="I18" t="s">
        <v>5061</v>
      </c>
    </row>
    <row r="19" spans="1:9" x14ac:dyDescent="0.25">
      <c r="A19" t="s">
        <v>5062</v>
      </c>
      <c r="C19" s="3" t="str">
        <f>HYPERLINK("http://amigo.geneontology.org/amigo/term/GO:0006814","GO:0006814")</f>
        <v>GO:0006814</v>
      </c>
      <c r="D19" t="s">
        <v>811</v>
      </c>
      <c r="E19">
        <v>66</v>
      </c>
      <c r="F19">
        <v>5</v>
      </c>
      <c r="G19" s="4">
        <v>1.85914882168976E-6</v>
      </c>
      <c r="H19">
        <v>1.04855993543302E-3</v>
      </c>
      <c r="I19" t="s">
        <v>5063</v>
      </c>
    </row>
    <row r="20" spans="1:9" x14ac:dyDescent="0.25">
      <c r="A20" t="s">
        <v>5064</v>
      </c>
      <c r="C20" s="3" t="str">
        <f>HYPERLINK("http://amigo.geneontology.org/amigo/term/GO:0070982","GO:0070982")</f>
        <v>GO:0070982</v>
      </c>
      <c r="D20" t="s">
        <v>5065</v>
      </c>
      <c r="E20">
        <v>9</v>
      </c>
      <c r="F20">
        <v>3</v>
      </c>
      <c r="G20" s="4">
        <v>2.2599952233153001E-6</v>
      </c>
      <c r="H20">
        <v>1.0192578457152001E-3</v>
      </c>
      <c r="I20" t="s">
        <v>5066</v>
      </c>
    </row>
    <row r="21" spans="1:9" x14ac:dyDescent="0.25">
      <c r="A21" t="s">
        <v>5067</v>
      </c>
      <c r="C21" s="3" t="str">
        <f>HYPERLINK("http://amigo.geneontology.org/amigo/term/GO:0070981","GO:0070981")</f>
        <v>GO:0070981</v>
      </c>
      <c r="D21" t="s">
        <v>5068</v>
      </c>
      <c r="E21">
        <v>9</v>
      </c>
      <c r="F21">
        <v>3</v>
      </c>
      <c r="G21" s="4">
        <v>2.2599952233153001E-6</v>
      </c>
      <c r="H21">
        <v>1.13225760688096E-3</v>
      </c>
      <c r="I21" t="s">
        <v>5066</v>
      </c>
    </row>
    <row r="22" spans="1:9" x14ac:dyDescent="0.25">
      <c r="A22" t="s">
        <v>5069</v>
      </c>
      <c r="C22" s="3" t="str">
        <f>HYPERLINK("http://amigo.geneontology.org/amigo/term/GO:0016787","GO:0016787")</f>
        <v>GO:0016787</v>
      </c>
      <c r="D22" t="s">
        <v>98</v>
      </c>
      <c r="E22">
        <v>9814</v>
      </c>
      <c r="F22">
        <v>54</v>
      </c>
      <c r="G22" s="4">
        <v>8.1335623948092198E-6</v>
      </c>
      <c r="H22">
        <v>3.3347605818717799E-3</v>
      </c>
      <c r="I22" t="s">
        <v>5070</v>
      </c>
    </row>
    <row r="23" spans="1:9" x14ac:dyDescent="0.25">
      <c r="A23" t="s">
        <v>5071</v>
      </c>
      <c r="C23" s="3" t="str">
        <f>HYPERLINK("http://amigo.geneontology.org/amigo/term/GO:0006629","GO:0006629")</f>
        <v>GO:0006629</v>
      </c>
      <c r="D23" t="s">
        <v>182</v>
      </c>
      <c r="E23">
        <v>2608</v>
      </c>
      <c r="F23">
        <v>22</v>
      </c>
      <c r="G23" s="4">
        <v>1.6834359576476099E-5</v>
      </c>
      <c r="H23">
        <v>6.3297192007550204E-3</v>
      </c>
      <c r="I23" t="s">
        <v>5072</v>
      </c>
    </row>
    <row r="24" spans="1:9" x14ac:dyDescent="0.25">
      <c r="A24" t="s">
        <v>5073</v>
      </c>
      <c r="C24" s="3" t="str">
        <f>HYPERLINK("http://amigo.geneontology.org/amigo/term/GO:0072330","GO:0072330")</f>
        <v>GO:0072330</v>
      </c>
      <c r="D24" t="s">
        <v>302</v>
      </c>
      <c r="E24">
        <v>897</v>
      </c>
      <c r="F24">
        <v>12</v>
      </c>
      <c r="G24" s="4">
        <v>2.21419766789933E-5</v>
      </c>
      <c r="H24">
        <v>7.6832659076106896E-3</v>
      </c>
      <c r="I24" t="s">
        <v>5074</v>
      </c>
    </row>
    <row r="25" spans="1:9" x14ac:dyDescent="0.25">
      <c r="A25" t="s">
        <v>5075</v>
      </c>
      <c r="C25" s="3" t="str">
        <f>HYPERLINK("http://amigo.geneontology.org/amigo/term/GO:0004066","GO:0004066")</f>
        <v>GO:0004066</v>
      </c>
      <c r="D25" t="s">
        <v>5076</v>
      </c>
      <c r="E25">
        <v>20</v>
      </c>
      <c r="F25">
        <v>3</v>
      </c>
      <c r="G25" s="4">
        <v>2.9925806044598399E-5</v>
      </c>
      <c r="H25">
        <v>8.4390773045767507E-3</v>
      </c>
      <c r="I25" t="s">
        <v>5066</v>
      </c>
    </row>
    <row r="26" spans="1:9" x14ac:dyDescent="0.25">
      <c r="A26" t="s">
        <v>5077</v>
      </c>
      <c r="C26" s="3" t="str">
        <f>HYPERLINK("http://amigo.geneontology.org/amigo/term/GO:0006528","GO:0006528")</f>
        <v>GO:0006528</v>
      </c>
      <c r="D26" t="s">
        <v>5078</v>
      </c>
      <c r="E26">
        <v>20</v>
      </c>
      <c r="F26">
        <v>3</v>
      </c>
      <c r="G26" s="4">
        <v>2.9925806044598399E-5</v>
      </c>
      <c r="H26">
        <v>9.0076676194241201E-3</v>
      </c>
      <c r="I26" t="s">
        <v>5066</v>
      </c>
    </row>
    <row r="27" spans="1:9" x14ac:dyDescent="0.25">
      <c r="A27" t="s">
        <v>5079</v>
      </c>
      <c r="C27" s="3" t="str">
        <f>HYPERLINK("http://amigo.geneontology.org/amigo/term/GO:0006529","GO:0006529")</f>
        <v>GO:0006529</v>
      </c>
      <c r="D27" t="s">
        <v>5080</v>
      </c>
      <c r="E27">
        <v>20</v>
      </c>
      <c r="F27">
        <v>3</v>
      </c>
      <c r="G27" s="4">
        <v>2.9925806044598399E-5</v>
      </c>
      <c r="H27">
        <v>9.6361095463606793E-3</v>
      </c>
      <c r="I27" t="s">
        <v>5066</v>
      </c>
    </row>
    <row r="28" spans="1:9" x14ac:dyDescent="0.25">
      <c r="A28" t="s">
        <v>2152</v>
      </c>
      <c r="C28" s="3" t="str">
        <f>HYPERLINK("http://amigo.geneontology.org/amigo/term/GO:0006863","GO:0006863")</f>
        <v>GO:0006863</v>
      </c>
      <c r="D28" t="s">
        <v>5081</v>
      </c>
      <c r="E28">
        <v>31</v>
      </c>
      <c r="F28">
        <v>3</v>
      </c>
      <c r="G28" s="4">
        <v>1.1513305552502599E-4</v>
      </c>
      <c r="H28">
        <v>3.0510259714132099E-2</v>
      </c>
      <c r="I28" t="s">
        <v>5082</v>
      </c>
    </row>
    <row r="29" spans="1:9" x14ac:dyDescent="0.25">
      <c r="A29" t="s">
        <v>36</v>
      </c>
      <c r="C29" s="3" t="str">
        <f>HYPERLINK("http://amigo.geneontology.org/amigo/term/GO:0015851","GO:0015851")</f>
        <v>GO:0015851</v>
      </c>
      <c r="D29" t="s">
        <v>5083</v>
      </c>
      <c r="E29">
        <v>33</v>
      </c>
      <c r="F29">
        <v>3</v>
      </c>
      <c r="G29" s="4">
        <v>1.3912537934965299E-4</v>
      </c>
      <c r="H29">
        <v>3.4781344837413297E-2</v>
      </c>
      <c r="I29" t="s">
        <v>5082</v>
      </c>
    </row>
    <row r="30" spans="1:9" x14ac:dyDescent="0.25">
      <c r="A30" t="s">
        <v>5084</v>
      </c>
      <c r="C30" s="3" t="str">
        <f>HYPERLINK("http://amigo.geneontology.org/amigo/term/GO:0006633","GO:0006633")</f>
        <v>GO:0006633</v>
      </c>
      <c r="D30" t="s">
        <v>287</v>
      </c>
      <c r="E30">
        <v>444</v>
      </c>
      <c r="F30">
        <v>7</v>
      </c>
      <c r="G30" s="4">
        <v>4.4465857771995798E-4</v>
      </c>
      <c r="H30">
        <v>0.10538408291963</v>
      </c>
      <c r="I30" t="s">
        <v>5085</v>
      </c>
    </row>
    <row r="31" spans="1:9" x14ac:dyDescent="0.25">
      <c r="A31" t="s">
        <v>5086</v>
      </c>
      <c r="C31" s="3" t="str">
        <f>HYPERLINK("http://amigo.geneontology.org/amigo/term/GO:0032787","GO:0032787")</f>
        <v>GO:0032787</v>
      </c>
      <c r="D31" t="s">
        <v>532</v>
      </c>
      <c r="E31">
        <v>1450</v>
      </c>
      <c r="F31">
        <v>13</v>
      </c>
      <c r="G31" s="4">
        <v>5.3270594234902798E-4</v>
      </c>
      <c r="H31">
        <v>0.11985883702853101</v>
      </c>
      <c r="I31" t="s">
        <v>5087</v>
      </c>
    </row>
    <row r="32" spans="1:9" x14ac:dyDescent="0.25">
      <c r="A32" t="s">
        <v>5088</v>
      </c>
      <c r="C32" s="3" t="str">
        <f>HYPERLINK("http://amigo.geneontology.org/amigo/term/GO:0046685","GO:0046685")</f>
        <v>GO:0046685</v>
      </c>
      <c r="D32" t="s">
        <v>5089</v>
      </c>
      <c r="E32">
        <v>12</v>
      </c>
      <c r="F32">
        <v>2</v>
      </c>
      <c r="G32" s="4">
        <v>5.8863334781754405E-4</v>
      </c>
      <c r="H32">
        <v>0.126556169780772</v>
      </c>
      <c r="I32" t="s">
        <v>5090</v>
      </c>
    </row>
    <row r="33" spans="1:9" x14ac:dyDescent="0.25">
      <c r="A33" t="s">
        <v>5091</v>
      </c>
      <c r="C33" s="3" t="str">
        <f>HYPERLINK("http://amigo.geneontology.org/amigo/term/GO:0019439","GO:0019439")</f>
        <v>GO:0019439</v>
      </c>
      <c r="D33" t="s">
        <v>5092</v>
      </c>
      <c r="E33">
        <v>775</v>
      </c>
      <c r="F33">
        <v>9</v>
      </c>
      <c r="G33" s="4">
        <v>6.5226169034327897E-4</v>
      </c>
      <c r="H33">
        <v>0.13371364652037199</v>
      </c>
      <c r="I33" t="s">
        <v>5093</v>
      </c>
    </row>
    <row r="34" spans="1:9" x14ac:dyDescent="0.25">
      <c r="A34" t="s">
        <v>38</v>
      </c>
      <c r="C34" s="3" t="str">
        <f>HYPERLINK("http://amigo.geneontology.org/amigo/term/GO:0090305","GO:0090305")</f>
        <v>GO:0090305</v>
      </c>
      <c r="D34" t="s">
        <v>5094</v>
      </c>
      <c r="E34">
        <v>349</v>
      </c>
      <c r="F34">
        <v>6</v>
      </c>
      <c r="G34" s="4">
        <v>7.2714774746570601E-4</v>
      </c>
      <c r="H34">
        <v>0.14252095850327801</v>
      </c>
      <c r="I34" t="s">
        <v>5095</v>
      </c>
    </row>
    <row r="35" spans="1:9" x14ac:dyDescent="0.25">
      <c r="A35" t="s">
        <v>5096</v>
      </c>
      <c r="C35" s="3" t="str">
        <f>HYPERLINK("http://amigo.geneontology.org/amigo/term/GO:0034655","GO:0034655")</f>
        <v>GO:0034655</v>
      </c>
      <c r="D35" t="s">
        <v>5097</v>
      </c>
      <c r="E35">
        <v>485</v>
      </c>
      <c r="F35">
        <v>7</v>
      </c>
      <c r="G35" s="4">
        <v>7.4690244016175603E-4</v>
      </c>
      <c r="H35">
        <v>0.14041765875041001</v>
      </c>
      <c r="I35" t="s">
        <v>5098</v>
      </c>
    </row>
    <row r="36" spans="1:9" x14ac:dyDescent="0.25">
      <c r="A36" t="s">
        <v>5099</v>
      </c>
      <c r="C36" s="3" t="str">
        <f>HYPERLINK("http://amigo.geneontology.org/amigo/term/GO:1901361","GO:1901361")</f>
        <v>GO:1901361</v>
      </c>
      <c r="D36" t="s">
        <v>5100</v>
      </c>
      <c r="E36">
        <v>792</v>
      </c>
      <c r="F36">
        <v>9</v>
      </c>
      <c r="G36" s="4">
        <v>7.5967806518634001E-4</v>
      </c>
      <c r="H36">
        <v>0.13674205173354101</v>
      </c>
      <c r="I36" t="s">
        <v>5093</v>
      </c>
    </row>
    <row r="37" spans="1:9" x14ac:dyDescent="0.25">
      <c r="A37" t="s">
        <v>5101</v>
      </c>
      <c r="C37" s="3" t="str">
        <f>HYPERLINK("http://amigo.geneontology.org/amigo/term/GO:0009706","GO:0009706")</f>
        <v>GO:0009706</v>
      </c>
      <c r="D37" t="s">
        <v>5102</v>
      </c>
      <c r="E37">
        <v>59</v>
      </c>
      <c r="F37">
        <v>3</v>
      </c>
      <c r="G37" s="4">
        <v>7.8232585687875095E-4</v>
      </c>
      <c r="H37">
        <v>0.13534237324002299</v>
      </c>
      <c r="I37" t="s">
        <v>5082</v>
      </c>
    </row>
    <row r="38" spans="1:9" x14ac:dyDescent="0.25">
      <c r="A38" t="s">
        <v>5103</v>
      </c>
      <c r="C38" s="3" t="str">
        <f>HYPERLINK("http://amigo.geneontology.org/amigo/term/GO:0044270","GO:0044270")</f>
        <v>GO:0044270</v>
      </c>
      <c r="D38" t="s">
        <v>5104</v>
      </c>
      <c r="E38">
        <v>641</v>
      </c>
      <c r="F38">
        <v>8</v>
      </c>
      <c r="G38" s="4">
        <v>8.1703152839741704E-4</v>
      </c>
      <c r="H38">
        <v>0.136444265242368</v>
      </c>
      <c r="I38" t="s">
        <v>5105</v>
      </c>
    </row>
    <row r="39" spans="1:9" x14ac:dyDescent="0.25">
      <c r="A39" t="s">
        <v>5106</v>
      </c>
      <c r="C39" s="3" t="str">
        <f>HYPERLINK("http://amigo.geneontology.org/amigo/term/GO:0046700","GO:0046700")</f>
        <v>GO:0046700</v>
      </c>
      <c r="D39" t="s">
        <v>5107</v>
      </c>
      <c r="E39">
        <v>643</v>
      </c>
      <c r="F39">
        <v>8</v>
      </c>
      <c r="G39" s="4">
        <v>8.3349398267294696E-4</v>
      </c>
      <c r="H39">
        <v>0.134192531210344</v>
      </c>
      <c r="I39" t="s">
        <v>5105</v>
      </c>
    </row>
    <row r="40" spans="1:9" x14ac:dyDescent="0.25">
      <c r="A40" t="s">
        <v>5108</v>
      </c>
      <c r="C40" s="3" t="str">
        <f>HYPERLINK("http://amigo.geneontology.org/amigo/term/GO:0005975","GO:0005975")</f>
        <v>GO:0005975</v>
      </c>
      <c r="D40" t="s">
        <v>171</v>
      </c>
      <c r="E40">
        <v>2990</v>
      </c>
      <c r="F40">
        <v>20</v>
      </c>
      <c r="G40" s="4">
        <v>8.3624305064767103E-4</v>
      </c>
      <c r="H40">
        <v>0.129617672850389</v>
      </c>
      <c r="I40" t="s">
        <v>5109</v>
      </c>
    </row>
    <row r="41" spans="1:9" x14ac:dyDescent="0.25">
      <c r="A41" t="s">
        <v>40</v>
      </c>
      <c r="C41" s="3" t="str">
        <f>HYPERLINK("http://amigo.geneontology.org/amigo/term/GO:0006631","GO:0006631")</f>
        <v>GO:0006631</v>
      </c>
      <c r="D41" t="s">
        <v>335</v>
      </c>
      <c r="E41">
        <v>648</v>
      </c>
      <c r="F41">
        <v>8</v>
      </c>
      <c r="G41" s="4">
        <v>8.75818314798114E-4</v>
      </c>
      <c r="H41">
        <v>0.13137274721971701</v>
      </c>
      <c r="I41" t="s">
        <v>5110</v>
      </c>
    </row>
    <row r="42" spans="1:9" x14ac:dyDescent="0.25">
      <c r="A42" t="s">
        <v>5111</v>
      </c>
      <c r="C42" s="3" t="str">
        <f>HYPERLINK("http://amigo.geneontology.org/amigo/term/GO:0009528","GO:0009528")</f>
        <v>GO:0009528</v>
      </c>
      <c r="D42" t="s">
        <v>5112</v>
      </c>
      <c r="E42">
        <v>62</v>
      </c>
      <c r="F42">
        <v>3</v>
      </c>
      <c r="G42" s="4">
        <v>9.0408648439263399E-4</v>
      </c>
      <c r="H42">
        <v>0.13109254023693101</v>
      </c>
      <c r="I42" t="s">
        <v>5082</v>
      </c>
    </row>
    <row r="43" spans="1:9" x14ac:dyDescent="0.25">
      <c r="A43" t="s">
        <v>5113</v>
      </c>
      <c r="C43" s="3" t="str">
        <f>HYPERLINK("http://amigo.geneontology.org/amigo/term/GO:0010155","GO:0010155")</f>
        <v>GO:0010155</v>
      </c>
      <c r="D43" t="s">
        <v>5114</v>
      </c>
      <c r="E43">
        <v>63</v>
      </c>
      <c r="F43">
        <v>3</v>
      </c>
      <c r="G43" s="4">
        <v>9.4718399066275104E-4</v>
      </c>
      <c r="H43">
        <v>0.133552942683447</v>
      </c>
      <c r="I43" t="s">
        <v>5115</v>
      </c>
    </row>
    <row r="44" spans="1:9" x14ac:dyDescent="0.25">
      <c r="A44" t="s">
        <v>5116</v>
      </c>
      <c r="C44" s="3" t="str">
        <f>HYPERLINK("http://amigo.geneontology.org/amigo/term/GO:1904062","GO:1904062")</f>
        <v>GO:1904062</v>
      </c>
      <c r="D44" t="s">
        <v>1243</v>
      </c>
      <c r="E44">
        <v>66</v>
      </c>
      <c r="F44">
        <v>3</v>
      </c>
      <c r="G44">
        <v>1.0842154772335701E-3</v>
      </c>
      <c r="H44">
        <v>0.14745330490376499</v>
      </c>
      <c r="I44" t="s">
        <v>5115</v>
      </c>
    </row>
    <row r="45" spans="1:9" x14ac:dyDescent="0.25">
      <c r="A45" t="s">
        <v>5117</v>
      </c>
      <c r="C45" s="3" t="str">
        <f>HYPERLINK("http://amigo.geneontology.org/amigo/term/GO:0008610","GO:0008610")</f>
        <v>GO:0008610</v>
      </c>
      <c r="D45" t="s">
        <v>564</v>
      </c>
      <c r="E45">
        <v>1402</v>
      </c>
      <c r="F45">
        <v>12</v>
      </c>
      <c r="G45">
        <v>1.2828584293973801E-3</v>
      </c>
      <c r="H45">
        <v>0.16933731268045399</v>
      </c>
      <c r="I45" t="s">
        <v>5118</v>
      </c>
    </row>
    <row r="46" spans="1:9" x14ac:dyDescent="0.25">
      <c r="A46" t="s">
        <v>5119</v>
      </c>
      <c r="C46" s="3" t="str">
        <f>HYPERLINK("http://amigo.geneontology.org/amigo/term/GO:0003913","GO:0003913")</f>
        <v>GO:0003913</v>
      </c>
      <c r="D46" t="s">
        <v>5120</v>
      </c>
      <c r="E46">
        <v>18</v>
      </c>
      <c r="F46">
        <v>2</v>
      </c>
      <c r="G46">
        <v>1.3483310926877799E-3</v>
      </c>
      <c r="H46">
        <v>0.173934710956723</v>
      </c>
      <c r="I46" t="s">
        <v>5121</v>
      </c>
    </row>
    <row r="47" spans="1:9" x14ac:dyDescent="0.25">
      <c r="A47" t="s">
        <v>5122</v>
      </c>
      <c r="C47" s="3" t="str">
        <f>HYPERLINK("http://amigo.geneontology.org/amigo/term/GO:0046777","GO:0046777")</f>
        <v>GO:0046777</v>
      </c>
      <c r="D47" t="s">
        <v>5123</v>
      </c>
      <c r="E47">
        <v>75</v>
      </c>
      <c r="F47">
        <v>3</v>
      </c>
      <c r="G47">
        <v>1.5682668460383299E-3</v>
      </c>
      <c r="H47">
        <v>0.196033355754792</v>
      </c>
      <c r="I47" t="s">
        <v>5115</v>
      </c>
    </row>
    <row r="48" spans="1:9" x14ac:dyDescent="0.25">
      <c r="A48" t="s">
        <v>5124</v>
      </c>
      <c r="C48" s="3" t="str">
        <f>HYPERLINK("http://amigo.geneontology.org/amigo/term/GO:0000156","GO:0000156")</f>
        <v>GO:0000156</v>
      </c>
      <c r="D48" t="s">
        <v>5125</v>
      </c>
      <c r="E48">
        <v>79</v>
      </c>
      <c r="F48">
        <v>3</v>
      </c>
      <c r="G48">
        <v>1.8203923358920001E-3</v>
      </c>
      <c r="H48">
        <v>0.22208786497882399</v>
      </c>
      <c r="I48" t="s">
        <v>5126</v>
      </c>
    </row>
    <row r="49" spans="1:9" x14ac:dyDescent="0.25">
      <c r="A49" t="s">
        <v>5127</v>
      </c>
      <c r="C49" s="3" t="str">
        <f>HYPERLINK("http://amigo.geneontology.org/amigo/term/GO:0044283","GO:0044283")</f>
        <v>GO:0044283</v>
      </c>
      <c r="D49" t="s">
        <v>888</v>
      </c>
      <c r="E49">
        <v>1875</v>
      </c>
      <c r="F49">
        <v>14</v>
      </c>
      <c r="G49">
        <v>1.87477638920607E-3</v>
      </c>
      <c r="H49">
        <v>0.22122361392631701</v>
      </c>
      <c r="I49" t="s">
        <v>5128</v>
      </c>
    </row>
    <row r="50" spans="1:9" x14ac:dyDescent="0.25">
      <c r="A50" t="s">
        <v>2153</v>
      </c>
      <c r="C50" s="3" t="str">
        <f>HYPERLINK("http://amigo.geneontology.org/amigo/term/GO:0043565","GO:0043565")</f>
        <v>GO:0043565</v>
      </c>
      <c r="D50" t="s">
        <v>5129</v>
      </c>
      <c r="E50">
        <v>1091</v>
      </c>
      <c r="F50">
        <v>10</v>
      </c>
      <c r="G50">
        <v>1.9618143360431799E-3</v>
      </c>
      <c r="H50">
        <v>0.22560864864496499</v>
      </c>
      <c r="I50" t="s">
        <v>5130</v>
      </c>
    </row>
    <row r="51" spans="1:9" x14ac:dyDescent="0.25">
      <c r="A51" t="s">
        <v>5131</v>
      </c>
      <c r="C51" s="3" t="str">
        <f>HYPERLINK("http://amigo.geneontology.org/amigo/term/GO:0004519","GO:0004519")</f>
        <v>GO:0004519</v>
      </c>
      <c r="D51" t="s">
        <v>5132</v>
      </c>
      <c r="E51">
        <v>291</v>
      </c>
      <c r="F51">
        <v>5</v>
      </c>
      <c r="G51">
        <v>2.01777875026514E-3</v>
      </c>
      <c r="H51">
        <v>0.22599122002969599</v>
      </c>
      <c r="I51" t="s">
        <v>5061</v>
      </c>
    </row>
    <row r="52" spans="1:9" x14ac:dyDescent="0.25">
      <c r="A52" t="s">
        <v>5133</v>
      </c>
      <c r="C52" s="3" t="str">
        <f>HYPERLINK("http://amigo.geneontology.org/amigo/term/GO:0034762","GO:0034762")</f>
        <v>GO:0034762</v>
      </c>
      <c r="D52" t="s">
        <v>1232</v>
      </c>
      <c r="E52">
        <v>84</v>
      </c>
      <c r="F52">
        <v>3</v>
      </c>
      <c r="G52">
        <v>2.1692648174249101E-3</v>
      </c>
      <c r="H52">
        <v>0.232111335464466</v>
      </c>
      <c r="I52" t="s">
        <v>5115</v>
      </c>
    </row>
    <row r="53" spans="1:9" x14ac:dyDescent="0.25">
      <c r="A53" t="s">
        <v>5134</v>
      </c>
      <c r="C53" s="3" t="str">
        <f>HYPERLINK("http://amigo.geneontology.org/amigo/term/GO:0034765","GO:0034765")</f>
        <v>GO:0034765</v>
      </c>
      <c r="D53" t="s">
        <v>1235</v>
      </c>
      <c r="E53">
        <v>84</v>
      </c>
      <c r="F53">
        <v>3</v>
      </c>
      <c r="G53">
        <v>2.1692648174249101E-3</v>
      </c>
      <c r="H53">
        <v>0.23861912991674</v>
      </c>
      <c r="I53" t="s">
        <v>5115</v>
      </c>
    </row>
    <row r="54" spans="1:9" x14ac:dyDescent="0.25">
      <c r="A54" t="s">
        <v>5135</v>
      </c>
      <c r="C54" s="3" t="str">
        <f>HYPERLINK("http://amigo.geneontology.org/amigo/term/GO:0009066","GO:0009066")</f>
        <v>GO:0009066</v>
      </c>
      <c r="D54" t="s">
        <v>5136</v>
      </c>
      <c r="E54">
        <v>179</v>
      </c>
      <c r="F54">
        <v>4</v>
      </c>
      <c r="G54">
        <v>2.2263978029221799E-3</v>
      </c>
      <c r="H54">
        <v>0.233771769306829</v>
      </c>
      <c r="I54" t="s">
        <v>5137</v>
      </c>
    </row>
    <row r="55" spans="1:9" x14ac:dyDescent="0.25">
      <c r="A55" t="s">
        <v>5138</v>
      </c>
      <c r="C55" s="3" t="str">
        <f>HYPERLINK("http://amigo.geneontology.org/amigo/term/GO:0051261","GO:0051261")</f>
        <v>GO:0051261</v>
      </c>
      <c r="D55" t="s">
        <v>651</v>
      </c>
      <c r="E55">
        <v>24</v>
      </c>
      <c r="F55">
        <v>2</v>
      </c>
      <c r="G55">
        <v>2.4033995372516798E-3</v>
      </c>
      <c r="H55">
        <v>0.240339953725168</v>
      </c>
      <c r="I55" t="s">
        <v>5139</v>
      </c>
    </row>
    <row r="56" spans="1:9" x14ac:dyDescent="0.25">
      <c r="A56" t="s">
        <v>5140</v>
      </c>
      <c r="C56" s="3" t="str">
        <f>HYPERLINK("http://amigo.geneontology.org/amigo/term/GO:0030042","GO:0030042")</f>
        <v>GO:0030042</v>
      </c>
      <c r="D56" t="s">
        <v>654</v>
      </c>
      <c r="E56">
        <v>24</v>
      </c>
      <c r="F56">
        <v>2</v>
      </c>
      <c r="G56">
        <v>2.4033995372516798E-3</v>
      </c>
      <c r="H56">
        <v>0.24514675279967199</v>
      </c>
      <c r="I56" t="s">
        <v>5139</v>
      </c>
    </row>
    <row r="57" spans="1:9" x14ac:dyDescent="0.25">
      <c r="A57" t="s">
        <v>5141</v>
      </c>
      <c r="C57" s="3" t="str">
        <f>HYPERLINK("http://amigo.geneontology.org/amigo/term/GO:0003333","GO:0003333")</f>
        <v>GO:0003333</v>
      </c>
      <c r="D57" t="s">
        <v>5142</v>
      </c>
      <c r="E57">
        <v>89</v>
      </c>
      <c r="F57">
        <v>3</v>
      </c>
      <c r="G57">
        <v>2.5569697217931002E-3</v>
      </c>
      <c r="H57">
        <v>0.25058303273572402</v>
      </c>
      <c r="I57" t="s">
        <v>5082</v>
      </c>
    </row>
    <row r="58" spans="1:9" x14ac:dyDescent="0.25">
      <c r="A58" t="s">
        <v>5143</v>
      </c>
      <c r="C58" s="3" t="str">
        <f>HYPERLINK("http://amigo.geneontology.org/amigo/term/GO:0046394","GO:0046394")</f>
        <v>GO:0046394</v>
      </c>
      <c r="D58" t="s">
        <v>682</v>
      </c>
      <c r="E58">
        <v>1534</v>
      </c>
      <c r="F58">
        <v>12</v>
      </c>
      <c r="G58">
        <v>2.6851640165333999E-3</v>
      </c>
      <c r="H58">
        <v>0.25777574558720701</v>
      </c>
      <c r="I58" t="s">
        <v>5074</v>
      </c>
    </row>
    <row r="59" spans="1:9" x14ac:dyDescent="0.25">
      <c r="A59" t="s">
        <v>5144</v>
      </c>
      <c r="C59" s="3" t="str">
        <f>HYPERLINK("http://amigo.geneontology.org/amigo/term/GO:0016053","GO:0016053")</f>
        <v>GO:0016053</v>
      </c>
      <c r="D59" t="s">
        <v>685</v>
      </c>
      <c r="E59">
        <v>1536</v>
      </c>
      <c r="F59">
        <v>12</v>
      </c>
      <c r="G59">
        <v>2.7134185475110001E-3</v>
      </c>
      <c r="H59">
        <v>0.25506134346603399</v>
      </c>
      <c r="I59" t="s">
        <v>5074</v>
      </c>
    </row>
    <row r="60" spans="1:9" x14ac:dyDescent="0.25">
      <c r="A60" t="s">
        <v>5145</v>
      </c>
      <c r="C60" s="3" t="str">
        <f>HYPERLINK("http://amigo.geneontology.org/amigo/term/GO:0044255","GO:0044255")</f>
        <v>GO:0044255</v>
      </c>
      <c r="D60" t="s">
        <v>258</v>
      </c>
      <c r="E60">
        <v>1757</v>
      </c>
      <c r="F60">
        <v>13</v>
      </c>
      <c r="G60">
        <v>2.9148302639173899E-3</v>
      </c>
      <c r="H60">
        <v>0.26816438428040001</v>
      </c>
      <c r="I60" t="s">
        <v>5146</v>
      </c>
    </row>
    <row r="61" spans="1:9" x14ac:dyDescent="0.25">
      <c r="A61" t="s">
        <v>5147</v>
      </c>
      <c r="C61" s="3" t="str">
        <f>HYPERLINK("http://amigo.geneontology.org/amigo/term/GO:0004753","GO:0004753")</f>
        <v>GO:0004753</v>
      </c>
      <c r="D61" t="s">
        <v>5148</v>
      </c>
      <c r="E61">
        <v>1</v>
      </c>
      <c r="F61">
        <v>1</v>
      </c>
      <c r="G61">
        <v>3.0228726371583701E-3</v>
      </c>
      <c r="H61">
        <v>0.238806938335511</v>
      </c>
      <c r="I61" t="s">
        <v>5149</v>
      </c>
    </row>
    <row r="62" spans="1:9" x14ac:dyDescent="0.25">
      <c r="A62" t="s">
        <v>5150</v>
      </c>
      <c r="C62" s="3" t="str">
        <f>HYPERLINK("http://amigo.geneontology.org/amigo/term/GO:0006554","GO:0006554")</f>
        <v>GO:0006554</v>
      </c>
      <c r="D62" t="s">
        <v>5151</v>
      </c>
      <c r="E62">
        <v>1</v>
      </c>
      <c r="F62">
        <v>1</v>
      </c>
      <c r="G62">
        <v>3.0228726371583701E-3</v>
      </c>
      <c r="H62">
        <v>0.24182981097266901</v>
      </c>
      <c r="I62" t="s">
        <v>5149</v>
      </c>
    </row>
    <row r="63" spans="1:9" x14ac:dyDescent="0.25">
      <c r="A63" t="s">
        <v>43</v>
      </c>
      <c r="C63" s="3" t="str">
        <f>HYPERLINK("http://amigo.geneontology.org/amigo/term/GO:0046440","GO:0046440")</f>
        <v>GO:0046440</v>
      </c>
      <c r="D63" t="s">
        <v>5152</v>
      </c>
      <c r="E63">
        <v>1</v>
      </c>
      <c r="F63">
        <v>1</v>
      </c>
      <c r="G63">
        <v>3.0228726371583701E-3</v>
      </c>
      <c r="H63">
        <v>0.24787555624698601</v>
      </c>
      <c r="I63" t="s">
        <v>5149</v>
      </c>
    </row>
    <row r="64" spans="1:9" x14ac:dyDescent="0.25">
      <c r="A64" t="s">
        <v>5153</v>
      </c>
      <c r="C64" s="3" t="str">
        <f>HYPERLINK("http://amigo.geneontology.org/amigo/term/GO:0019477","GO:0019477")</f>
        <v>GO:0019477</v>
      </c>
      <c r="D64" t="s">
        <v>5154</v>
      </c>
      <c r="E64">
        <v>1</v>
      </c>
      <c r="F64">
        <v>1</v>
      </c>
      <c r="G64">
        <v>3.0228726371583701E-3</v>
      </c>
      <c r="H64">
        <v>0.25089842888414399</v>
      </c>
      <c r="I64" t="s">
        <v>5149</v>
      </c>
    </row>
    <row r="65" spans="1:9" x14ac:dyDescent="0.25">
      <c r="A65" t="s">
        <v>5155</v>
      </c>
      <c r="C65" s="3" t="str">
        <f>HYPERLINK("http://amigo.geneontology.org/amigo/term/GO:0019474","GO:0019474")</f>
        <v>GO:0019474</v>
      </c>
      <c r="D65" t="s">
        <v>5156</v>
      </c>
      <c r="E65">
        <v>1</v>
      </c>
      <c r="F65">
        <v>1</v>
      </c>
      <c r="G65">
        <v>3.0228726371583701E-3</v>
      </c>
      <c r="H65">
        <v>0.25694417415846099</v>
      </c>
      <c r="I65" t="s">
        <v>5149</v>
      </c>
    </row>
    <row r="66" spans="1:9" x14ac:dyDescent="0.25">
      <c r="A66" t="s">
        <v>5157</v>
      </c>
      <c r="C66" s="3" t="str">
        <f>HYPERLINK("http://amigo.geneontology.org/amigo/term/GO:0033512","GO:0033512")</f>
        <v>GO:0033512</v>
      </c>
      <c r="D66" t="s">
        <v>5158</v>
      </c>
      <c r="E66">
        <v>1</v>
      </c>
      <c r="F66">
        <v>1</v>
      </c>
      <c r="G66">
        <v>3.0228726371583701E-3</v>
      </c>
      <c r="H66">
        <v>0.25996704679561999</v>
      </c>
      <c r="I66" t="s">
        <v>5149</v>
      </c>
    </row>
    <row r="67" spans="1:9" x14ac:dyDescent="0.25">
      <c r="A67" t="s">
        <v>5159</v>
      </c>
      <c r="C67" s="3" t="str">
        <f>HYPERLINK("http://amigo.geneontology.org/amigo/term/GO:0047130","GO:0047130")</f>
        <v>GO:0047130</v>
      </c>
      <c r="D67" t="s">
        <v>5160</v>
      </c>
      <c r="E67">
        <v>1</v>
      </c>
      <c r="F67">
        <v>1</v>
      </c>
      <c r="G67">
        <v>3.0228726371583701E-3</v>
      </c>
      <c r="H67">
        <v>0.266012792069936</v>
      </c>
      <c r="I67" t="s">
        <v>5149</v>
      </c>
    </row>
    <row r="68" spans="1:9" x14ac:dyDescent="0.25">
      <c r="A68" t="s">
        <v>5161</v>
      </c>
      <c r="C68" s="3" t="str">
        <f>HYPERLINK("http://amigo.geneontology.org/amigo/term/GO:0047131","GO:0047131")</f>
        <v>GO:0047131</v>
      </c>
      <c r="D68" t="s">
        <v>5162</v>
      </c>
      <c r="E68">
        <v>1</v>
      </c>
      <c r="F68">
        <v>1</v>
      </c>
      <c r="G68">
        <v>3.0228726371583701E-3</v>
      </c>
      <c r="H68">
        <v>0.272058537344253</v>
      </c>
      <c r="I68" t="s">
        <v>5149</v>
      </c>
    </row>
    <row r="69" spans="1:9" x14ac:dyDescent="0.25">
      <c r="A69" t="s">
        <v>5163</v>
      </c>
      <c r="C69" s="3" t="str">
        <f>HYPERLINK("http://amigo.geneontology.org/amigo/term/GO:0016884","GO:0016884")</f>
        <v>GO:0016884</v>
      </c>
      <c r="D69" t="s">
        <v>5164</v>
      </c>
      <c r="E69">
        <v>101</v>
      </c>
      <c r="F69">
        <v>3</v>
      </c>
      <c r="G69">
        <v>3.6539812438383802E-3</v>
      </c>
      <c r="H69">
        <v>0.28135655577555502</v>
      </c>
      <c r="I69" t="s">
        <v>5066</v>
      </c>
    </row>
    <row r="70" spans="1:9" x14ac:dyDescent="0.25">
      <c r="A70" t="s">
        <v>5165</v>
      </c>
      <c r="C70" s="3" t="str">
        <f>HYPERLINK("http://amigo.geneontology.org/amigo/term/GO:0009415","GO:0009415")</f>
        <v>GO:0009415</v>
      </c>
      <c r="D70" t="s">
        <v>89</v>
      </c>
      <c r="E70">
        <v>209</v>
      </c>
      <c r="F70">
        <v>4</v>
      </c>
      <c r="G70">
        <v>3.87648393953095E-3</v>
      </c>
      <c r="H70">
        <v>0.29461277940435199</v>
      </c>
      <c r="I70" t="s">
        <v>5166</v>
      </c>
    </row>
    <row r="71" spans="1:9" x14ac:dyDescent="0.25">
      <c r="A71" t="s">
        <v>5167</v>
      </c>
      <c r="C71" s="3" t="str">
        <f>HYPERLINK("http://amigo.geneontology.org/amigo/term/GO:0016926","GO:0016926")</f>
        <v>GO:0016926</v>
      </c>
      <c r="D71" t="s">
        <v>5168</v>
      </c>
      <c r="E71">
        <v>32</v>
      </c>
      <c r="F71">
        <v>2</v>
      </c>
      <c r="G71">
        <v>4.2510161890681698E-3</v>
      </c>
      <c r="H71">
        <v>0.314575197991045</v>
      </c>
      <c r="I71" t="s">
        <v>5169</v>
      </c>
    </row>
    <row r="72" spans="1:9" x14ac:dyDescent="0.25">
      <c r="A72" t="s">
        <v>5170</v>
      </c>
      <c r="C72" s="3" t="str">
        <f>HYPERLINK("http://amigo.geneontology.org/amigo/term/GO:0050665","GO:0050665")</f>
        <v>GO:0050665</v>
      </c>
      <c r="D72" t="s">
        <v>5171</v>
      </c>
      <c r="E72">
        <v>32</v>
      </c>
      <c r="F72">
        <v>2</v>
      </c>
      <c r="G72">
        <v>4.2510161890681698E-3</v>
      </c>
      <c r="H72">
        <v>0.31882621418011298</v>
      </c>
      <c r="I72" t="s">
        <v>5169</v>
      </c>
    </row>
    <row r="73" spans="1:9" x14ac:dyDescent="0.25">
      <c r="A73" t="s">
        <v>5172</v>
      </c>
      <c r="C73" s="3" t="str">
        <f>HYPERLINK("http://amigo.geneontology.org/amigo/term/GO:0003700","GO:0003700")</f>
        <v>GO:0003700</v>
      </c>
      <c r="D73" t="s">
        <v>5173</v>
      </c>
      <c r="E73">
        <v>2075</v>
      </c>
      <c r="F73">
        <v>14</v>
      </c>
      <c r="G73">
        <v>4.6008313270789998E-3</v>
      </c>
      <c r="H73">
        <v>0.33125985554968801</v>
      </c>
      <c r="I73" t="s">
        <v>5174</v>
      </c>
    </row>
    <row r="74" spans="1:9" x14ac:dyDescent="0.25">
      <c r="A74" t="s">
        <v>5175</v>
      </c>
      <c r="C74" s="3" t="str">
        <f>HYPERLINK("http://amigo.geneontology.org/amigo/term/GO:0008154","GO:0008154")</f>
        <v>GO:0008154</v>
      </c>
      <c r="D74" t="s">
        <v>779</v>
      </c>
      <c r="E74">
        <v>34</v>
      </c>
      <c r="F74">
        <v>2</v>
      </c>
      <c r="G74">
        <v>4.7890526177957402E-3</v>
      </c>
      <c r="H74">
        <v>0.34002273586349702</v>
      </c>
      <c r="I74" t="s">
        <v>5139</v>
      </c>
    </row>
    <row r="75" spans="1:9" x14ac:dyDescent="0.25">
      <c r="A75" t="s">
        <v>5176</v>
      </c>
      <c r="C75" s="3" t="str">
        <f>HYPERLINK("http://amigo.geneontology.org/amigo/term/GO:0016021","GO:0016021")</f>
        <v>GO:0016021</v>
      </c>
      <c r="D75" t="s">
        <v>203</v>
      </c>
      <c r="E75">
        <v>7362</v>
      </c>
      <c r="F75">
        <v>35</v>
      </c>
      <c r="G75">
        <v>4.9647961328676202E-3</v>
      </c>
      <c r="H75">
        <v>0.34753572930073301</v>
      </c>
      <c r="I75" t="s">
        <v>5177</v>
      </c>
    </row>
    <row r="76" spans="1:9" x14ac:dyDescent="0.25">
      <c r="A76" t="s">
        <v>5178</v>
      </c>
      <c r="C76" s="3" t="str">
        <f>HYPERLINK("http://amigo.geneontology.org/amigo/term/GO:0030001","GO:0030001")</f>
        <v>GO:0030001</v>
      </c>
      <c r="D76" t="s">
        <v>326</v>
      </c>
      <c r="E76">
        <v>860</v>
      </c>
      <c r="F76">
        <v>8</v>
      </c>
      <c r="G76">
        <v>4.9672179842681899E-3</v>
      </c>
      <c r="H76">
        <v>0.34273804091450499</v>
      </c>
      <c r="I76" t="s">
        <v>5179</v>
      </c>
    </row>
    <row r="77" spans="1:9" x14ac:dyDescent="0.25">
      <c r="A77" t="s">
        <v>45</v>
      </c>
      <c r="C77" s="3" t="str">
        <f>HYPERLINK("http://amigo.geneontology.org/amigo/term/GO:1903825","GO:1903825")</f>
        <v>GO:1903825</v>
      </c>
      <c r="D77" t="s">
        <v>5180</v>
      </c>
      <c r="E77">
        <v>116</v>
      </c>
      <c r="F77">
        <v>3</v>
      </c>
      <c r="G77">
        <v>5.3764372985306702E-3</v>
      </c>
      <c r="H77">
        <v>0.36022129900155497</v>
      </c>
      <c r="I77" t="s">
        <v>5082</v>
      </c>
    </row>
    <row r="78" spans="1:9" x14ac:dyDescent="0.25">
      <c r="A78" t="s">
        <v>5181</v>
      </c>
      <c r="C78" s="3" t="str">
        <f>HYPERLINK("http://amigo.geneontology.org/amigo/term/GO:1905039","GO:1905039")</f>
        <v>GO:1905039</v>
      </c>
      <c r="D78" t="s">
        <v>5182</v>
      </c>
      <c r="E78">
        <v>116</v>
      </c>
      <c r="F78">
        <v>3</v>
      </c>
      <c r="G78">
        <v>5.3764372985306702E-3</v>
      </c>
      <c r="H78">
        <v>0.36559773630008602</v>
      </c>
      <c r="I78" t="s">
        <v>5082</v>
      </c>
    </row>
    <row r="79" spans="1:9" x14ac:dyDescent="0.25">
      <c r="A79" t="s">
        <v>5183</v>
      </c>
      <c r="C79" s="3" t="str">
        <f>HYPERLINK("http://amigo.geneontology.org/amigo/term/GO:0031224","GO:0031224")</f>
        <v>GO:0031224</v>
      </c>
      <c r="D79" t="s">
        <v>191</v>
      </c>
      <c r="E79">
        <v>7435</v>
      </c>
      <c r="F79">
        <v>35</v>
      </c>
      <c r="G79">
        <v>5.7768900561496802E-3</v>
      </c>
      <c r="H79">
        <v>0.38127474370587899</v>
      </c>
      <c r="I79" t="s">
        <v>5177</v>
      </c>
    </row>
    <row r="80" spans="1:9" x14ac:dyDescent="0.25">
      <c r="A80" t="s">
        <v>5184</v>
      </c>
      <c r="C80" s="3" t="str">
        <f>HYPERLINK("http://amigo.geneontology.org/amigo/term/GO:0050263","GO:0050263")</f>
        <v>GO:0050263</v>
      </c>
      <c r="D80" t="s">
        <v>5185</v>
      </c>
      <c r="E80">
        <v>2</v>
      </c>
      <c r="F80">
        <v>1</v>
      </c>
      <c r="G80">
        <v>6.0366466150742404E-3</v>
      </c>
      <c r="H80">
        <v>0.38030873674967702</v>
      </c>
      <c r="I80" t="s">
        <v>5181</v>
      </c>
    </row>
    <row r="81" spans="1:9" x14ac:dyDescent="0.25">
      <c r="A81" t="s">
        <v>5186</v>
      </c>
      <c r="C81" s="3" t="str">
        <f>HYPERLINK("http://amigo.geneontology.org/amigo/term/GO:0045437","GO:0045437")</f>
        <v>GO:0045437</v>
      </c>
      <c r="D81" t="s">
        <v>5187</v>
      </c>
      <c r="E81">
        <v>2</v>
      </c>
      <c r="F81">
        <v>1</v>
      </c>
      <c r="G81">
        <v>6.0366466150742404E-3</v>
      </c>
      <c r="H81">
        <v>0.38634538336475099</v>
      </c>
      <c r="I81" t="s">
        <v>5181</v>
      </c>
    </row>
    <row r="82" spans="1:9" x14ac:dyDescent="0.25">
      <c r="A82" t="s">
        <v>5188</v>
      </c>
      <c r="C82" s="3" t="str">
        <f>HYPERLINK("http://amigo.geneontology.org/amigo/term/GO:0010295","GO:0010295")</f>
        <v>GO:0010295</v>
      </c>
      <c r="D82" t="s">
        <v>5189</v>
      </c>
      <c r="E82">
        <v>2</v>
      </c>
      <c r="F82">
        <v>1</v>
      </c>
      <c r="G82">
        <v>6.0366466150742404E-3</v>
      </c>
      <c r="H82">
        <v>0.39238202997982502</v>
      </c>
      <c r="I82" t="s">
        <v>5190</v>
      </c>
    </row>
    <row r="83" spans="1:9" x14ac:dyDescent="0.25">
      <c r="A83" t="s">
        <v>5191</v>
      </c>
      <c r="C83" s="3" t="str">
        <f>HYPERLINK("http://amigo.geneontology.org/amigo/term/GO:0046527","GO:0046527")</f>
        <v>GO:0046527</v>
      </c>
      <c r="D83" t="s">
        <v>234</v>
      </c>
      <c r="E83">
        <v>380</v>
      </c>
      <c r="F83">
        <v>5</v>
      </c>
      <c r="G83">
        <v>6.2307505865084401E-3</v>
      </c>
      <c r="H83">
        <v>0.38630653636352302</v>
      </c>
      <c r="I83" t="s">
        <v>5192</v>
      </c>
    </row>
    <row r="84" spans="1:9" x14ac:dyDescent="0.25">
      <c r="A84" t="s">
        <v>5193</v>
      </c>
      <c r="C84" s="3" t="str">
        <f>HYPERLINK("http://amigo.geneontology.org/amigo/term/GO:0080019","GO:0080019")</f>
        <v>GO:0080019</v>
      </c>
      <c r="D84" t="s">
        <v>138</v>
      </c>
      <c r="E84">
        <v>40</v>
      </c>
      <c r="F84">
        <v>2</v>
      </c>
      <c r="G84">
        <v>6.5798112978467998E-3</v>
      </c>
      <c r="H84">
        <v>0.40136848916865497</v>
      </c>
      <c r="I84" t="s">
        <v>5194</v>
      </c>
    </row>
    <row r="85" spans="1:9" x14ac:dyDescent="0.25">
      <c r="A85" t="s">
        <v>47</v>
      </c>
      <c r="C85" s="3" t="str">
        <f>HYPERLINK("http://amigo.geneontology.org/amigo/term/GO:0016491","GO:0016491")</f>
        <v>GO:0016491</v>
      </c>
      <c r="D85" t="s">
        <v>315</v>
      </c>
      <c r="E85">
        <v>6975</v>
      </c>
      <c r="F85">
        <v>33</v>
      </c>
      <c r="G85">
        <v>6.8356564905680496E-3</v>
      </c>
      <c r="H85">
        <v>0.41697504592465101</v>
      </c>
      <c r="I85" t="s">
        <v>5195</v>
      </c>
    </row>
    <row r="86" spans="1:9" x14ac:dyDescent="0.25">
      <c r="A86" t="s">
        <v>49</v>
      </c>
      <c r="C86" s="3" t="str">
        <f>HYPERLINK("http://amigo.geneontology.org/amigo/term/GO:1903409","GO:1903409")</f>
        <v>GO:1903409</v>
      </c>
      <c r="D86" t="s">
        <v>5196</v>
      </c>
      <c r="E86">
        <v>41</v>
      </c>
      <c r="F86">
        <v>2</v>
      </c>
      <c r="G86">
        <v>6.9035442607550497E-3</v>
      </c>
      <c r="H86">
        <v>0.41421265564530302</v>
      </c>
      <c r="I86" t="s">
        <v>5169</v>
      </c>
    </row>
    <row r="87" spans="1:9" x14ac:dyDescent="0.25">
      <c r="A87" t="s">
        <v>5197</v>
      </c>
      <c r="C87" s="3" t="str">
        <f>HYPERLINK("http://amigo.geneontology.org/amigo/term/GO:0016788","GO:0016788")</f>
        <v>GO:0016788</v>
      </c>
      <c r="D87" t="s">
        <v>115</v>
      </c>
      <c r="E87">
        <v>2434</v>
      </c>
      <c r="F87">
        <v>15</v>
      </c>
      <c r="G87">
        <v>7.63318058665004E-3</v>
      </c>
      <c r="H87">
        <v>0.450357654612352</v>
      </c>
      <c r="I87" t="s">
        <v>5198</v>
      </c>
    </row>
    <row r="88" spans="1:9" x14ac:dyDescent="0.25">
      <c r="A88" t="s">
        <v>5199</v>
      </c>
      <c r="C88" s="3" t="str">
        <f>HYPERLINK("http://amigo.geneontology.org/amigo/term/GO:0042743","GO:0042743")</f>
        <v>GO:0042743</v>
      </c>
      <c r="D88" t="s">
        <v>1237</v>
      </c>
      <c r="E88">
        <v>259</v>
      </c>
      <c r="F88">
        <v>4</v>
      </c>
      <c r="G88">
        <v>8.1834555851792792E-3</v>
      </c>
      <c r="H88">
        <v>0.47464042394039802</v>
      </c>
      <c r="I88" t="s">
        <v>5200</v>
      </c>
    </row>
    <row r="89" spans="1:9" x14ac:dyDescent="0.25">
      <c r="A89" t="s">
        <v>5201</v>
      </c>
      <c r="C89" s="3" t="str">
        <f>HYPERLINK("http://amigo.geneontology.org/amigo/term/GO:0009941","GO:0009941")</f>
        <v>GO:0009941</v>
      </c>
      <c r="D89" t="s">
        <v>5202</v>
      </c>
      <c r="E89">
        <v>576</v>
      </c>
      <c r="F89">
        <v>6</v>
      </c>
      <c r="G89">
        <v>8.5296075765445498E-3</v>
      </c>
      <c r="H89">
        <v>0.48618763186303898</v>
      </c>
      <c r="I89" t="s">
        <v>5203</v>
      </c>
    </row>
    <row r="90" spans="1:9" x14ac:dyDescent="0.25">
      <c r="A90" t="s">
        <v>5204</v>
      </c>
      <c r="C90" s="3" t="str">
        <f>HYPERLINK("http://amigo.geneontology.org/amigo/term/GO:0043269","GO:0043269")</f>
        <v>GO:0043269</v>
      </c>
      <c r="D90" t="s">
        <v>1155</v>
      </c>
      <c r="E90">
        <v>140</v>
      </c>
      <c r="F90">
        <v>3</v>
      </c>
      <c r="G90">
        <v>9.0057989518589794E-3</v>
      </c>
      <c r="H90">
        <v>0.51333054025596103</v>
      </c>
      <c r="I90" t="s">
        <v>5115</v>
      </c>
    </row>
    <row r="91" spans="1:9" x14ac:dyDescent="0.25">
      <c r="A91" t="s">
        <v>5205</v>
      </c>
      <c r="C91" s="3" t="str">
        <f>HYPERLINK("http://amigo.geneontology.org/amigo/term/GO:0042972","GO:0042972")</f>
        <v>GO:0042972</v>
      </c>
      <c r="D91" t="s">
        <v>618</v>
      </c>
      <c r="E91">
        <v>3</v>
      </c>
      <c r="F91">
        <v>1</v>
      </c>
      <c r="G91">
        <v>9.0413492018888604E-3</v>
      </c>
      <c r="H91">
        <v>0.43398476169066502</v>
      </c>
      <c r="I91" t="s">
        <v>2149</v>
      </c>
    </row>
    <row r="92" spans="1:9" x14ac:dyDescent="0.25">
      <c r="A92" t="s">
        <v>5206</v>
      </c>
      <c r="C92" s="3" t="str">
        <f>HYPERLINK("http://amigo.geneontology.org/amigo/term/GO:0046102","GO:0046102")</f>
        <v>GO:0046102</v>
      </c>
      <c r="D92" t="s">
        <v>5207</v>
      </c>
      <c r="E92">
        <v>3</v>
      </c>
      <c r="F92">
        <v>1</v>
      </c>
      <c r="G92">
        <v>9.0413492018888604E-3</v>
      </c>
      <c r="H92">
        <v>0.43398476169066502</v>
      </c>
      <c r="I92" t="s">
        <v>5181</v>
      </c>
    </row>
    <row r="93" spans="1:9" x14ac:dyDescent="0.25">
      <c r="A93" t="s">
        <v>5208</v>
      </c>
      <c r="C93" s="3" t="str">
        <f>HYPERLINK("http://amigo.geneontology.org/amigo/term/GO:0006148","GO:0006148")</f>
        <v>GO:0006148</v>
      </c>
      <c r="D93" t="s">
        <v>5209</v>
      </c>
      <c r="E93">
        <v>3</v>
      </c>
      <c r="F93">
        <v>1</v>
      </c>
      <c r="G93">
        <v>9.0413492018888604E-3</v>
      </c>
      <c r="H93">
        <v>0.443026110892554</v>
      </c>
      <c r="I93" t="s">
        <v>5181</v>
      </c>
    </row>
    <row r="94" spans="1:9" x14ac:dyDescent="0.25">
      <c r="A94" t="s">
        <v>5210</v>
      </c>
      <c r="C94" s="3" t="str">
        <f>HYPERLINK("http://amigo.geneontology.org/amigo/term/GO:0008477","GO:0008477")</f>
        <v>GO:0008477</v>
      </c>
      <c r="D94" t="s">
        <v>5211</v>
      </c>
      <c r="E94">
        <v>3</v>
      </c>
      <c r="F94">
        <v>1</v>
      </c>
      <c r="G94">
        <v>9.0413492018888604E-3</v>
      </c>
      <c r="H94">
        <v>0.443026110892554</v>
      </c>
      <c r="I94" t="s">
        <v>5181</v>
      </c>
    </row>
    <row r="95" spans="1:9" x14ac:dyDescent="0.25">
      <c r="A95" t="s">
        <v>5212</v>
      </c>
      <c r="C95" s="3" t="str">
        <f>HYPERLINK("http://amigo.geneontology.org/amigo/term/GO:0047724","GO:0047724")</f>
        <v>GO:0047724</v>
      </c>
      <c r="D95" t="s">
        <v>5213</v>
      </c>
      <c r="E95">
        <v>3</v>
      </c>
      <c r="F95">
        <v>1</v>
      </c>
      <c r="G95">
        <v>9.0413492018888604E-3</v>
      </c>
      <c r="H95">
        <v>0.45206746009444299</v>
      </c>
      <c r="I95" t="s">
        <v>5181</v>
      </c>
    </row>
    <row r="96" spans="1:9" x14ac:dyDescent="0.25">
      <c r="A96" t="s">
        <v>5214</v>
      </c>
      <c r="C96" s="3" t="str">
        <f>HYPERLINK("http://amigo.geneontology.org/amigo/term/GO:0106019","GO:0106019")</f>
        <v>GO:0106019</v>
      </c>
      <c r="D96" t="s">
        <v>52</v>
      </c>
      <c r="E96">
        <v>3</v>
      </c>
      <c r="F96">
        <v>1</v>
      </c>
      <c r="G96">
        <v>9.0413492018888604E-3</v>
      </c>
      <c r="H96">
        <v>0.45206746009444299</v>
      </c>
      <c r="I96" t="s">
        <v>53</v>
      </c>
    </row>
    <row r="97" spans="1:9" x14ac:dyDescent="0.25">
      <c r="A97" t="s">
        <v>51</v>
      </c>
      <c r="C97" s="3" t="str">
        <f>HYPERLINK("http://amigo.geneontology.org/amigo/term/GO:0004439","GO:0004439")</f>
        <v>GO:0004439</v>
      </c>
      <c r="D97" t="s">
        <v>55</v>
      </c>
      <c r="E97">
        <v>3</v>
      </c>
      <c r="F97">
        <v>1</v>
      </c>
      <c r="G97">
        <v>9.0413492018888604E-3</v>
      </c>
      <c r="H97">
        <v>0.46110880929633102</v>
      </c>
      <c r="I97" t="s">
        <v>53</v>
      </c>
    </row>
    <row r="98" spans="1:9" x14ac:dyDescent="0.25">
      <c r="A98" t="s">
        <v>54</v>
      </c>
      <c r="C98" s="3" t="str">
        <f>HYPERLINK("http://amigo.geneontology.org/amigo/term/GO:0046030","GO:0046030")</f>
        <v>GO:0046030</v>
      </c>
      <c r="D98" t="s">
        <v>57</v>
      </c>
      <c r="E98">
        <v>3</v>
      </c>
      <c r="F98">
        <v>1</v>
      </c>
      <c r="G98">
        <v>9.0413492018888604E-3</v>
      </c>
      <c r="H98">
        <v>0.46110880929633102</v>
      </c>
      <c r="I98" t="s">
        <v>53</v>
      </c>
    </row>
    <row r="99" spans="1:9" x14ac:dyDescent="0.25">
      <c r="A99" t="s">
        <v>5215</v>
      </c>
      <c r="C99" s="3" t="str">
        <f>HYPERLINK("http://amigo.geneontology.org/amigo/term/GO:0004445","GO:0004445")</f>
        <v>GO:0004445</v>
      </c>
      <c r="D99" t="s">
        <v>59</v>
      </c>
      <c r="E99">
        <v>3</v>
      </c>
      <c r="F99">
        <v>1</v>
      </c>
      <c r="G99">
        <v>9.0413492018888604E-3</v>
      </c>
      <c r="H99">
        <v>0.47015015849822001</v>
      </c>
      <c r="I99" t="s">
        <v>53</v>
      </c>
    </row>
    <row r="100" spans="1:9" x14ac:dyDescent="0.25">
      <c r="A100" t="s">
        <v>5216</v>
      </c>
      <c r="C100" s="3" t="str">
        <f>HYPERLINK("http://amigo.geneontology.org/amigo/term/GO:0034594","GO:0034594")</f>
        <v>GO:0034594</v>
      </c>
      <c r="D100" t="s">
        <v>60</v>
      </c>
      <c r="E100">
        <v>3</v>
      </c>
      <c r="F100">
        <v>1</v>
      </c>
      <c r="G100">
        <v>9.0413492018888604E-3</v>
      </c>
      <c r="H100">
        <v>0.47919150770010899</v>
      </c>
      <c r="I100" t="s">
        <v>53</v>
      </c>
    </row>
    <row r="101" spans="1:9" x14ac:dyDescent="0.25">
      <c r="A101" t="s">
        <v>5217</v>
      </c>
      <c r="C101" s="3" t="str">
        <f>HYPERLINK("http://amigo.geneontology.org/amigo/term/GO:0034485","GO:0034485")</f>
        <v>GO:0034485</v>
      </c>
      <c r="D101" t="s">
        <v>62</v>
      </c>
      <c r="E101">
        <v>3</v>
      </c>
      <c r="F101">
        <v>1</v>
      </c>
      <c r="G101">
        <v>9.0413492018888604E-3</v>
      </c>
      <c r="H101">
        <v>0.47919150770010899</v>
      </c>
      <c r="I101" t="s">
        <v>53</v>
      </c>
    </row>
    <row r="102" spans="1:9" x14ac:dyDescent="0.25">
      <c r="A102" t="s">
        <v>5218</v>
      </c>
      <c r="C102" s="3" t="str">
        <f>HYPERLINK("http://amigo.geneontology.org/amigo/term/GO:0052658","GO:0052658")</f>
        <v>GO:0052658</v>
      </c>
      <c r="D102" t="s">
        <v>64</v>
      </c>
      <c r="E102">
        <v>3</v>
      </c>
      <c r="F102">
        <v>1</v>
      </c>
      <c r="G102">
        <v>9.0413492018888604E-3</v>
      </c>
      <c r="H102">
        <v>0.48823285690199802</v>
      </c>
      <c r="I102" t="s">
        <v>53</v>
      </c>
    </row>
    <row r="103" spans="1:9" x14ac:dyDescent="0.25">
      <c r="A103" t="s">
        <v>5219</v>
      </c>
      <c r="C103" s="3" t="str">
        <f>HYPERLINK("http://amigo.geneontology.org/amigo/term/GO:0052743","GO:0052743")</f>
        <v>GO:0052743</v>
      </c>
      <c r="D103" t="s">
        <v>66</v>
      </c>
      <c r="E103">
        <v>3</v>
      </c>
      <c r="F103">
        <v>1</v>
      </c>
      <c r="G103">
        <v>9.0413492018888604E-3</v>
      </c>
      <c r="H103">
        <v>0.49727420610388701</v>
      </c>
      <c r="I103" t="s">
        <v>53</v>
      </c>
    </row>
    <row r="104" spans="1:9" x14ac:dyDescent="0.25">
      <c r="A104" t="s">
        <v>5220</v>
      </c>
      <c r="C104" s="3" t="str">
        <f>HYPERLINK("http://amigo.geneontology.org/amigo/term/GO:0052659","GO:0052659")</f>
        <v>GO:0052659</v>
      </c>
      <c r="D104" t="s">
        <v>68</v>
      </c>
      <c r="E104">
        <v>3</v>
      </c>
      <c r="F104">
        <v>1</v>
      </c>
      <c r="G104">
        <v>9.0413492018888604E-3</v>
      </c>
      <c r="H104">
        <v>0.49727420610388701</v>
      </c>
      <c r="I104" t="s">
        <v>53</v>
      </c>
    </row>
    <row r="105" spans="1:9" x14ac:dyDescent="0.25">
      <c r="A105" t="s">
        <v>5221</v>
      </c>
      <c r="C105" s="3" t="str">
        <f>HYPERLINK("http://amigo.geneontology.org/amigo/term/GO:0015140","GO:0015140")</f>
        <v>GO:0015140</v>
      </c>
      <c r="D105" t="s">
        <v>5222</v>
      </c>
      <c r="E105">
        <v>3</v>
      </c>
      <c r="F105">
        <v>1</v>
      </c>
      <c r="G105">
        <v>9.0413492018888604E-3</v>
      </c>
      <c r="H105">
        <v>0.50631555530577599</v>
      </c>
      <c r="I105" t="s">
        <v>5223</v>
      </c>
    </row>
    <row r="106" spans="1:9" x14ac:dyDescent="0.25">
      <c r="A106" t="s">
        <v>5224</v>
      </c>
      <c r="C106" s="3" t="str">
        <f>HYPERLINK("http://amigo.geneontology.org/amigo/term/GO:0016762","GO:0016762")</f>
        <v>GO:0016762</v>
      </c>
      <c r="D106" t="s">
        <v>332</v>
      </c>
      <c r="E106">
        <v>142</v>
      </c>
      <c r="F106">
        <v>3</v>
      </c>
      <c r="G106">
        <v>9.3589791466553093E-3</v>
      </c>
      <c r="H106">
        <v>0.439872019892799</v>
      </c>
      <c r="I106" t="s">
        <v>5225</v>
      </c>
    </row>
    <row r="107" spans="1:9" x14ac:dyDescent="0.25">
      <c r="A107" t="s">
        <v>56</v>
      </c>
      <c r="C107" s="3" t="str">
        <f>HYPERLINK("http://amigo.geneontology.org/amigo/term/GO:0009526","GO:0009526")</f>
        <v>GO:0009526</v>
      </c>
      <c r="D107" t="s">
        <v>5226</v>
      </c>
      <c r="E107">
        <v>590</v>
      </c>
      <c r="F107">
        <v>6</v>
      </c>
      <c r="G107">
        <v>9.5247211872433804E-3</v>
      </c>
      <c r="H107">
        <v>0.44766189580043902</v>
      </c>
      <c r="I107" t="s">
        <v>5203</v>
      </c>
    </row>
    <row r="108" spans="1:9" x14ac:dyDescent="0.25">
      <c r="A108" t="s">
        <v>58</v>
      </c>
      <c r="C108" s="3" t="str">
        <f>HYPERLINK("http://amigo.geneontology.org/amigo/term/GO:0051049","GO:0051049")</f>
        <v>GO:0051049</v>
      </c>
      <c r="D108" t="s">
        <v>1230</v>
      </c>
      <c r="E108">
        <v>145</v>
      </c>
      <c r="F108">
        <v>3</v>
      </c>
      <c r="G108">
        <v>9.9037486896886295E-3</v>
      </c>
      <c r="H108">
        <v>0.45557243972567701</v>
      </c>
      <c r="I108" t="s">
        <v>5115</v>
      </c>
    </row>
    <row r="109" spans="1:9" x14ac:dyDescent="0.25">
      <c r="A109" t="s">
        <v>5227</v>
      </c>
      <c r="C109" s="3" t="str">
        <f>HYPERLINK("http://amigo.geneontology.org/amigo/term/GO:0010228","GO:0010228")</f>
        <v>GO:0010228</v>
      </c>
      <c r="D109" t="s">
        <v>5228</v>
      </c>
      <c r="E109">
        <v>275</v>
      </c>
      <c r="F109">
        <v>4</v>
      </c>
      <c r="G109">
        <v>1.00355254152085E-2</v>
      </c>
      <c r="H109">
        <v>0.46163416909959398</v>
      </c>
      <c r="I109" t="s">
        <v>5229</v>
      </c>
    </row>
    <row r="110" spans="1:9" x14ac:dyDescent="0.25">
      <c r="A110" t="s">
        <v>5230</v>
      </c>
      <c r="C110" s="3" t="str">
        <f>HYPERLINK("http://amigo.geneontology.org/amigo/term/GO:0010411","GO:0010411")</f>
        <v>GO:0010411</v>
      </c>
      <c r="D110" t="s">
        <v>416</v>
      </c>
      <c r="E110">
        <v>147</v>
      </c>
      <c r="F110">
        <v>3</v>
      </c>
      <c r="G110">
        <v>1.02769774114957E-2</v>
      </c>
      <c r="H110">
        <v>0.462463983517306</v>
      </c>
      <c r="I110" t="s">
        <v>5225</v>
      </c>
    </row>
    <row r="111" spans="1:9" x14ac:dyDescent="0.25">
      <c r="A111" t="s">
        <v>5231</v>
      </c>
      <c r="C111" s="3" t="str">
        <f>HYPERLINK("http://amigo.geneontology.org/amigo/term/GO:0006865","GO:0006865")</f>
        <v>GO:0006865</v>
      </c>
      <c r="D111" t="s">
        <v>5232</v>
      </c>
      <c r="E111">
        <v>151</v>
      </c>
      <c r="F111">
        <v>3</v>
      </c>
      <c r="G111">
        <v>1.10476958256619E-2</v>
      </c>
      <c r="H111">
        <v>0.49714631215478799</v>
      </c>
      <c r="I111" t="s">
        <v>5082</v>
      </c>
    </row>
    <row r="112" spans="1:9" x14ac:dyDescent="0.25">
      <c r="A112" t="s">
        <v>5233</v>
      </c>
      <c r="C112" s="3" t="str">
        <f>HYPERLINK("http://amigo.geneontology.org/amigo/term/GO:0032958","GO:0032958")</f>
        <v>GO:0032958</v>
      </c>
      <c r="D112" t="s">
        <v>41</v>
      </c>
      <c r="E112">
        <v>53</v>
      </c>
      <c r="F112">
        <v>2</v>
      </c>
      <c r="G112">
        <v>1.13291467911613E-2</v>
      </c>
      <c r="H112">
        <v>0.487153312019938</v>
      </c>
      <c r="I112" t="s">
        <v>42</v>
      </c>
    </row>
    <row r="113" spans="1:9" x14ac:dyDescent="0.25">
      <c r="A113" t="s">
        <v>2154</v>
      </c>
      <c r="C113" s="3" t="str">
        <f>HYPERLINK("http://amigo.geneontology.org/amigo/term/GO:0033517","GO:0033517")</f>
        <v>GO:0033517</v>
      </c>
      <c r="D113" t="s">
        <v>44</v>
      </c>
      <c r="E113">
        <v>53</v>
      </c>
      <c r="F113">
        <v>2</v>
      </c>
      <c r="G113">
        <v>1.13291467911613E-2</v>
      </c>
      <c r="H113">
        <v>0.49848245881109898</v>
      </c>
      <c r="I113" t="s">
        <v>42</v>
      </c>
    </row>
    <row r="114" spans="1:9" x14ac:dyDescent="0.25">
      <c r="A114" t="s">
        <v>5234</v>
      </c>
      <c r="C114" s="3" t="str">
        <f>HYPERLINK("http://amigo.geneontology.org/amigo/term/GO:0010264","GO:0010264")</f>
        <v>GO:0010264</v>
      </c>
      <c r="D114" t="s">
        <v>46</v>
      </c>
      <c r="E114">
        <v>53</v>
      </c>
      <c r="F114">
        <v>2</v>
      </c>
      <c r="G114">
        <v>1.13291467911613E-2</v>
      </c>
      <c r="H114">
        <v>0.49848245881109898</v>
      </c>
      <c r="I114" t="s">
        <v>42</v>
      </c>
    </row>
    <row r="115" spans="1:9" x14ac:dyDescent="0.25">
      <c r="A115" t="s">
        <v>5235</v>
      </c>
      <c r="C115" s="3" t="str">
        <f>HYPERLINK("http://amigo.geneontology.org/amigo/term/GO:0055114","GO:0055114")</f>
        <v>GO:0055114</v>
      </c>
      <c r="D115" t="s">
        <v>454</v>
      </c>
      <c r="E115">
        <v>6698</v>
      </c>
      <c r="F115">
        <v>31</v>
      </c>
      <c r="G115">
        <v>1.17044371444118E-2</v>
      </c>
      <c r="H115">
        <v>0.50329079720971004</v>
      </c>
      <c r="I115" t="s">
        <v>5236</v>
      </c>
    </row>
    <row r="116" spans="1:9" x14ac:dyDescent="0.25">
      <c r="A116" t="s">
        <v>5237</v>
      </c>
      <c r="C116" s="3" t="str">
        <f>HYPERLINK("http://amigo.geneontology.org/amigo/term/GO:0034595","GO:0034595")</f>
        <v>GO:0034595</v>
      </c>
      <c r="D116" t="s">
        <v>72</v>
      </c>
      <c r="E116">
        <v>4</v>
      </c>
      <c r="F116">
        <v>1</v>
      </c>
      <c r="G116">
        <v>1.20370075857806E-2</v>
      </c>
      <c r="H116">
        <v>0.49351731101700502</v>
      </c>
      <c r="I116" t="s">
        <v>53</v>
      </c>
    </row>
    <row r="117" spans="1:9" x14ac:dyDescent="0.25">
      <c r="A117" t="s">
        <v>5238</v>
      </c>
      <c r="C117" s="3" t="str">
        <f>HYPERLINK("http://amigo.geneontology.org/amigo/term/GO:0034593","GO:0034593")</f>
        <v>GO:0034593</v>
      </c>
      <c r="D117" t="s">
        <v>74</v>
      </c>
      <c r="E117">
        <v>4</v>
      </c>
      <c r="F117">
        <v>1</v>
      </c>
      <c r="G117">
        <v>1.20370075857806E-2</v>
      </c>
      <c r="H117">
        <v>0.50555431860278599</v>
      </c>
      <c r="I117" t="s">
        <v>53</v>
      </c>
    </row>
    <row r="118" spans="1:9" x14ac:dyDescent="0.25">
      <c r="A118" t="s">
        <v>5239</v>
      </c>
      <c r="C118" s="3" t="str">
        <f>HYPERLINK("http://amigo.geneontology.org/amigo/term/GO:0106018","GO:0106018")</f>
        <v>GO:0106018</v>
      </c>
      <c r="D118" t="s">
        <v>76</v>
      </c>
      <c r="E118">
        <v>4</v>
      </c>
      <c r="F118">
        <v>1</v>
      </c>
      <c r="G118">
        <v>1.20370075857806E-2</v>
      </c>
      <c r="H118">
        <v>0.50555431860278599</v>
      </c>
      <c r="I118" t="s">
        <v>53</v>
      </c>
    </row>
    <row r="119" spans="1:9" x14ac:dyDescent="0.25">
      <c r="A119" t="s">
        <v>5240</v>
      </c>
      <c r="C119" s="3" t="str">
        <f>HYPERLINK("http://amigo.geneontology.org/amigo/term/GO:0043813","GO:0043813")</f>
        <v>GO:0043813</v>
      </c>
      <c r="D119" t="s">
        <v>78</v>
      </c>
      <c r="E119">
        <v>4</v>
      </c>
      <c r="F119">
        <v>1</v>
      </c>
      <c r="G119">
        <v>1.20370075857806E-2</v>
      </c>
      <c r="H119">
        <v>0.51759132618856596</v>
      </c>
      <c r="I119" t="s">
        <v>53</v>
      </c>
    </row>
    <row r="120" spans="1:9" x14ac:dyDescent="0.25">
      <c r="A120" t="s">
        <v>5241</v>
      </c>
      <c r="C120" s="3" t="str">
        <f>HYPERLINK("http://amigo.geneontology.org/amigo/term/GO:0006413","GO:0006413")</f>
        <v>GO:0006413</v>
      </c>
      <c r="D120" t="s">
        <v>5242</v>
      </c>
      <c r="E120">
        <v>156</v>
      </c>
      <c r="F120">
        <v>3</v>
      </c>
      <c r="G120">
        <v>1.2056884429235399E-2</v>
      </c>
      <c r="H120">
        <v>0.49433226159865301</v>
      </c>
      <c r="I120" t="s">
        <v>5115</v>
      </c>
    </row>
    <row r="121" spans="1:9" x14ac:dyDescent="0.25">
      <c r="A121" t="s">
        <v>2155</v>
      </c>
      <c r="C121" s="3" t="str">
        <f>HYPERLINK("http://amigo.geneontology.org/amigo/term/GO:0032879","GO:0032879")</f>
        <v>GO:0032879</v>
      </c>
      <c r="D121" t="s">
        <v>1375</v>
      </c>
      <c r="E121">
        <v>160</v>
      </c>
      <c r="F121">
        <v>3</v>
      </c>
      <c r="G121">
        <v>1.2901125847409401E-2</v>
      </c>
      <c r="H121">
        <v>0.528946159743786</v>
      </c>
      <c r="I121" t="s">
        <v>5115</v>
      </c>
    </row>
    <row r="122" spans="1:9" x14ac:dyDescent="0.25">
      <c r="A122" t="s">
        <v>5243</v>
      </c>
      <c r="C122" s="3" t="str">
        <f>HYPERLINK("http://amigo.geneontology.org/amigo/term/GO:0044248","GO:0044248")</f>
        <v>GO:0044248</v>
      </c>
      <c r="D122" t="s">
        <v>5244</v>
      </c>
      <c r="E122">
        <v>2352</v>
      </c>
      <c r="F122">
        <v>14</v>
      </c>
      <c r="G122">
        <v>1.2932046894139E-2</v>
      </c>
      <c r="H122">
        <v>0.51728187576556095</v>
      </c>
      <c r="I122" t="s">
        <v>5245</v>
      </c>
    </row>
    <row r="123" spans="1:9" x14ac:dyDescent="0.25">
      <c r="A123" t="s">
        <v>5246</v>
      </c>
      <c r="C123" s="3" t="str">
        <f>HYPERLINK("http://amigo.geneontology.org/amigo/term/GO:0009067","GO:0009067")</f>
        <v>GO:0009067</v>
      </c>
      <c r="D123" t="s">
        <v>5247</v>
      </c>
      <c r="E123">
        <v>163</v>
      </c>
      <c r="F123">
        <v>3</v>
      </c>
      <c r="G123">
        <v>1.35559503769586E-2</v>
      </c>
      <c r="H123">
        <v>0.54223801507834601</v>
      </c>
      <c r="I123" t="s">
        <v>5066</v>
      </c>
    </row>
    <row r="124" spans="1:9" x14ac:dyDescent="0.25">
      <c r="A124" t="s">
        <v>5248</v>
      </c>
      <c r="C124" s="3" t="str">
        <f>HYPERLINK("http://amigo.geneontology.org/amigo/term/GO:0071704","GO:0071704")</f>
        <v>GO:0071704</v>
      </c>
      <c r="D124" t="s">
        <v>472</v>
      </c>
      <c r="E124">
        <v>24369</v>
      </c>
      <c r="F124">
        <v>90</v>
      </c>
      <c r="G124">
        <v>1.3733614271271601E-2</v>
      </c>
      <c r="H124">
        <v>0.53561095657959301</v>
      </c>
      <c r="I124" t="s">
        <v>5249</v>
      </c>
    </row>
    <row r="125" spans="1:9" x14ac:dyDescent="0.25">
      <c r="A125" t="s">
        <v>5250</v>
      </c>
      <c r="C125" s="3" t="str">
        <f>HYPERLINK("http://amigo.geneontology.org/amigo/term/GO:0032984","GO:0032984")</f>
        <v>GO:0032984</v>
      </c>
      <c r="D125" t="s">
        <v>1136</v>
      </c>
      <c r="E125">
        <v>59</v>
      </c>
      <c r="F125">
        <v>2</v>
      </c>
      <c r="G125">
        <v>1.39012674388023E-2</v>
      </c>
      <c r="H125">
        <v>0.54214943011328998</v>
      </c>
      <c r="I125" t="s">
        <v>5139</v>
      </c>
    </row>
    <row r="126" spans="1:9" x14ac:dyDescent="0.25">
      <c r="A126" t="s">
        <v>5251</v>
      </c>
      <c r="C126" s="3" t="str">
        <f>HYPERLINK("http://amigo.geneontology.org/amigo/term/GO:0043624","GO:0043624")</f>
        <v>GO:0043624</v>
      </c>
      <c r="D126" t="s">
        <v>1138</v>
      </c>
      <c r="E126">
        <v>59</v>
      </c>
      <c r="F126">
        <v>2</v>
      </c>
      <c r="G126">
        <v>1.39012674388023E-2</v>
      </c>
      <c r="H126">
        <v>0.54214943011328998</v>
      </c>
      <c r="I126" t="s">
        <v>5139</v>
      </c>
    </row>
    <row r="127" spans="1:9" x14ac:dyDescent="0.25">
      <c r="A127" t="s">
        <v>5252</v>
      </c>
      <c r="C127" s="3" t="str">
        <f>HYPERLINK("http://amigo.geneontology.org/amigo/term/GO:0031969","GO:0031969")</f>
        <v>GO:0031969</v>
      </c>
      <c r="D127" t="s">
        <v>5253</v>
      </c>
      <c r="E127">
        <v>166</v>
      </c>
      <c r="F127">
        <v>3</v>
      </c>
      <c r="G127">
        <v>1.42294052588755E-2</v>
      </c>
      <c r="H127">
        <v>0.54071739983727096</v>
      </c>
      <c r="I127" t="s">
        <v>5082</v>
      </c>
    </row>
    <row r="128" spans="1:9" x14ac:dyDescent="0.25">
      <c r="A128" t="s">
        <v>5254</v>
      </c>
      <c r="C128" s="3" t="str">
        <f>HYPERLINK("http://amigo.geneontology.org/amigo/term/GO:0072593","GO:0072593")</f>
        <v>GO:0072593</v>
      </c>
      <c r="D128" t="s">
        <v>4212</v>
      </c>
      <c r="E128">
        <v>311</v>
      </c>
      <c r="F128">
        <v>4</v>
      </c>
      <c r="G128">
        <v>1.51422535613233E-2</v>
      </c>
      <c r="H128">
        <v>0.57540563533028499</v>
      </c>
      <c r="I128" t="s">
        <v>5200</v>
      </c>
    </row>
    <row r="129" spans="1:9" x14ac:dyDescent="0.25">
      <c r="A129" t="s">
        <v>5255</v>
      </c>
      <c r="C129" s="3" t="str">
        <f>HYPERLINK("http://amigo.geneontology.org/amigo/term/GO:0098656","GO:0098656")</f>
        <v>GO:0098656</v>
      </c>
      <c r="D129" t="s">
        <v>5256</v>
      </c>
      <c r="E129">
        <v>170</v>
      </c>
      <c r="F129">
        <v>3</v>
      </c>
      <c r="G129">
        <v>1.5156434490164201E-2</v>
      </c>
      <c r="H129">
        <v>0.57594451062624197</v>
      </c>
      <c r="I129" t="s">
        <v>5082</v>
      </c>
    </row>
    <row r="130" spans="1:9" x14ac:dyDescent="0.25">
      <c r="A130" t="s">
        <v>5257</v>
      </c>
      <c r="C130" s="3" t="str">
        <f>HYPERLINK("http://amigo.geneontology.org/amigo/term/GO:0022411","GO:0022411")</f>
        <v>GO:0022411</v>
      </c>
      <c r="D130" t="s">
        <v>1158</v>
      </c>
      <c r="E130">
        <v>62</v>
      </c>
      <c r="F130">
        <v>2</v>
      </c>
      <c r="G130">
        <v>1.52730935899678E-2</v>
      </c>
      <c r="H130">
        <v>0.56510446282880999</v>
      </c>
      <c r="I130" t="s">
        <v>5139</v>
      </c>
    </row>
    <row r="131" spans="1:9" x14ac:dyDescent="0.25">
      <c r="A131" t="s">
        <v>53</v>
      </c>
      <c r="C131" s="3" t="str">
        <f>HYPERLINK("http://amigo.geneontology.org/amigo/term/GO:0042170","GO:0042170")</f>
        <v>GO:0042170</v>
      </c>
      <c r="D131" t="s">
        <v>5258</v>
      </c>
      <c r="E131">
        <v>174</v>
      </c>
      <c r="F131">
        <v>3</v>
      </c>
      <c r="G131">
        <v>1.61168287295551E-2</v>
      </c>
      <c r="H131">
        <v>0.59632266299353998</v>
      </c>
      <c r="I131" t="s">
        <v>5082</v>
      </c>
    </row>
    <row r="132" spans="1:9" x14ac:dyDescent="0.25">
      <c r="A132" t="s">
        <v>5259</v>
      </c>
      <c r="C132" s="3" t="str">
        <f>HYPERLINK("http://amigo.geneontology.org/amigo/term/GO:0016645","GO:0016645")</f>
        <v>GO:0016645</v>
      </c>
      <c r="D132" t="s">
        <v>5260</v>
      </c>
      <c r="E132">
        <v>64</v>
      </c>
      <c r="F132">
        <v>2</v>
      </c>
      <c r="G132">
        <v>1.6218641799936099E-2</v>
      </c>
      <c r="H132">
        <v>0.60008974659763803</v>
      </c>
      <c r="I132" t="s">
        <v>5261</v>
      </c>
    </row>
    <row r="133" spans="1:9" x14ac:dyDescent="0.25">
      <c r="A133" t="s">
        <v>5262</v>
      </c>
      <c r="C133" s="3" t="str">
        <f>HYPERLINK("http://amigo.geneontology.org/amigo/term/GO:0005506","GO:0005506")</f>
        <v>GO:0005506</v>
      </c>
      <c r="D133" t="s">
        <v>1214</v>
      </c>
      <c r="E133">
        <v>1961</v>
      </c>
      <c r="F133">
        <v>12</v>
      </c>
      <c r="G133">
        <v>1.7000394743905099E-2</v>
      </c>
      <c r="H133">
        <v>0.62901460552448796</v>
      </c>
      <c r="I133" t="s">
        <v>5263</v>
      </c>
    </row>
    <row r="134" spans="1:9" x14ac:dyDescent="0.25">
      <c r="A134" t="s">
        <v>5264</v>
      </c>
      <c r="C134" s="3" t="str">
        <f>HYPERLINK("http://amigo.geneontology.org/amigo/term/GO:0004802","GO:0004802")</f>
        <v>GO:0004802</v>
      </c>
      <c r="D134" t="s">
        <v>5265</v>
      </c>
      <c r="E134">
        <v>6</v>
      </c>
      <c r="F134">
        <v>1</v>
      </c>
      <c r="G134">
        <v>1.8001300088688801E-2</v>
      </c>
      <c r="H134">
        <v>0.64804680319279895</v>
      </c>
      <c r="I134" t="s">
        <v>5099</v>
      </c>
    </row>
    <row r="135" spans="1:9" x14ac:dyDescent="0.25">
      <c r="A135" t="s">
        <v>5266</v>
      </c>
      <c r="C135" s="3" t="str">
        <f>HYPERLINK("http://amigo.geneontology.org/amigo/term/GO:0009068","GO:0009068")</f>
        <v>GO:0009068</v>
      </c>
      <c r="D135" t="s">
        <v>5267</v>
      </c>
      <c r="E135">
        <v>6</v>
      </c>
      <c r="F135">
        <v>1</v>
      </c>
      <c r="G135">
        <v>1.8001300088688801E-2</v>
      </c>
      <c r="H135">
        <v>0.64804680319279895</v>
      </c>
      <c r="I135" t="s">
        <v>5149</v>
      </c>
    </row>
    <row r="136" spans="1:9" x14ac:dyDescent="0.25">
      <c r="A136" t="s">
        <v>5268</v>
      </c>
      <c r="C136" s="3" t="str">
        <f>HYPERLINK("http://amigo.geneontology.org/amigo/term/GO:0015556","GO:0015556")</f>
        <v>GO:0015556</v>
      </c>
      <c r="D136" t="s">
        <v>5269</v>
      </c>
      <c r="E136">
        <v>6</v>
      </c>
      <c r="F136">
        <v>1</v>
      </c>
      <c r="G136">
        <v>1.8001300088688801E-2</v>
      </c>
      <c r="H136">
        <v>0.64804680319279895</v>
      </c>
      <c r="I136" t="s">
        <v>5223</v>
      </c>
    </row>
    <row r="137" spans="1:9" x14ac:dyDescent="0.25">
      <c r="A137" t="s">
        <v>5270</v>
      </c>
      <c r="C137" s="3" t="str">
        <f>HYPERLINK("http://amigo.geneontology.org/amigo/term/GO:0046173","GO:0046173")</f>
        <v>GO:0046173</v>
      </c>
      <c r="D137" t="s">
        <v>48</v>
      </c>
      <c r="E137">
        <v>69</v>
      </c>
      <c r="F137">
        <v>2</v>
      </c>
      <c r="G137">
        <v>1.8688605673403101E-2</v>
      </c>
      <c r="H137">
        <v>0.65410119856911098</v>
      </c>
      <c r="I137" t="s">
        <v>42</v>
      </c>
    </row>
    <row r="138" spans="1:9" x14ac:dyDescent="0.25">
      <c r="A138" t="s">
        <v>5271</v>
      </c>
      <c r="C138" s="3" t="str">
        <f>HYPERLINK("http://amigo.geneontology.org/amigo/term/GO:0043647","GO:0043647")</f>
        <v>GO:0043647</v>
      </c>
      <c r="D138" t="s">
        <v>50</v>
      </c>
      <c r="E138">
        <v>73</v>
      </c>
      <c r="F138">
        <v>2</v>
      </c>
      <c r="G138">
        <v>2.0771032279181399E-2</v>
      </c>
      <c r="H138">
        <v>0.72698612977134902</v>
      </c>
      <c r="I138" t="s">
        <v>42</v>
      </c>
    </row>
    <row r="139" spans="1:9" x14ac:dyDescent="0.25">
      <c r="A139" t="s">
        <v>5272</v>
      </c>
      <c r="C139" s="3" t="str">
        <f>HYPERLINK("http://amigo.geneontology.org/amigo/term/GO:0044425","GO:0044425")</f>
        <v>GO:0044425</v>
      </c>
      <c r="D139" t="s">
        <v>215</v>
      </c>
      <c r="E139">
        <v>8465</v>
      </c>
      <c r="F139">
        <v>36</v>
      </c>
      <c r="G139">
        <v>2.2528520729984802E-2</v>
      </c>
      <c r="H139">
        <v>0.78849822554947002</v>
      </c>
      <c r="I139" t="s">
        <v>5273</v>
      </c>
    </row>
    <row r="140" spans="1:9" x14ac:dyDescent="0.25">
      <c r="A140" t="s">
        <v>5274</v>
      </c>
      <c r="C140" s="3" t="str">
        <f>HYPERLINK("http://amigo.geneontology.org/amigo/term/GO:0048046","GO:0048046")</f>
        <v>GO:0048046</v>
      </c>
      <c r="D140" t="s">
        <v>413</v>
      </c>
      <c r="E140">
        <v>357</v>
      </c>
      <c r="F140">
        <v>4</v>
      </c>
      <c r="G140">
        <v>2.3708551291781201E-2</v>
      </c>
      <c r="H140">
        <v>0.82979929521234297</v>
      </c>
      <c r="I140" t="s">
        <v>5275</v>
      </c>
    </row>
    <row r="141" spans="1:9" x14ac:dyDescent="0.25">
      <c r="A141" t="s">
        <v>5276</v>
      </c>
      <c r="C141" s="3" t="str">
        <f>HYPERLINK("http://amigo.geneontology.org/amigo/term/GO:0044238","GO:0044238")</f>
        <v>GO:0044238</v>
      </c>
      <c r="D141" t="s">
        <v>612</v>
      </c>
      <c r="E141">
        <v>23308</v>
      </c>
      <c r="F141">
        <v>85</v>
      </c>
      <c r="G141">
        <v>2.37844110269812E-2</v>
      </c>
      <c r="H141">
        <v>0.80866997491736303</v>
      </c>
      <c r="I141" t="s">
        <v>5277</v>
      </c>
    </row>
    <row r="142" spans="1:9" x14ac:dyDescent="0.25">
      <c r="A142" t="s">
        <v>2156</v>
      </c>
      <c r="C142" s="3" t="str">
        <f>HYPERLINK("http://amigo.geneontology.org/amigo/term/GO:0017144","GO:0017144")</f>
        <v>GO:0017144</v>
      </c>
      <c r="D142" t="s">
        <v>4310</v>
      </c>
      <c r="E142">
        <v>1595</v>
      </c>
      <c r="F142">
        <v>10</v>
      </c>
      <c r="G142">
        <v>2.42645306350983E-2</v>
      </c>
      <c r="H142">
        <v>0.824994041593343</v>
      </c>
      <c r="I142" t="s">
        <v>5278</v>
      </c>
    </row>
    <row r="143" spans="1:9" x14ac:dyDescent="0.25">
      <c r="A143" t="s">
        <v>5279</v>
      </c>
      <c r="C143" s="3" t="str">
        <f>HYPERLINK("http://amigo.geneontology.org/amigo/term/GO:0015672","GO:0015672")</f>
        <v>GO:0015672</v>
      </c>
      <c r="D143" t="s">
        <v>427</v>
      </c>
      <c r="E143">
        <v>537</v>
      </c>
      <c r="F143">
        <v>5</v>
      </c>
      <c r="G143">
        <v>2.4312486584215001E-2</v>
      </c>
      <c r="H143">
        <v>0.82662454386330997</v>
      </c>
      <c r="I143" t="s">
        <v>5063</v>
      </c>
    </row>
    <row r="144" spans="1:9" x14ac:dyDescent="0.25">
      <c r="A144" t="s">
        <v>61</v>
      </c>
      <c r="C144" s="3" t="str">
        <f>HYPERLINK("http://amigo.geneontology.org/amigo/term/GO:0044282","GO:0044282")</f>
        <v>GO:0044282</v>
      </c>
      <c r="D144" t="s">
        <v>5280</v>
      </c>
      <c r="E144">
        <v>546</v>
      </c>
      <c r="F144">
        <v>5</v>
      </c>
      <c r="G144">
        <v>2.5868660893356599E-2</v>
      </c>
      <c r="H144">
        <v>0.85366580948076998</v>
      </c>
      <c r="I144" t="s">
        <v>5281</v>
      </c>
    </row>
    <row r="145" spans="1:9" x14ac:dyDescent="0.25">
      <c r="A145" t="s">
        <v>5282</v>
      </c>
      <c r="C145" s="3" t="str">
        <f>HYPERLINK("http://amigo.geneontology.org/amigo/term/GO:0006811","GO:0006811")</f>
        <v>GO:0006811</v>
      </c>
      <c r="D145" t="s">
        <v>299</v>
      </c>
      <c r="E145">
        <v>1855</v>
      </c>
      <c r="F145">
        <v>11</v>
      </c>
      <c r="G145">
        <v>2.6609395583896699E-2</v>
      </c>
      <c r="H145">
        <v>0.87811005426859201</v>
      </c>
      <c r="I145" t="s">
        <v>5283</v>
      </c>
    </row>
    <row r="146" spans="1:9" x14ac:dyDescent="0.25">
      <c r="A146" t="s">
        <v>5284</v>
      </c>
      <c r="C146" s="3" t="str">
        <f>HYPERLINK("http://amigo.geneontology.org/amigo/term/GO:0006152","GO:0006152")</f>
        <v>GO:0006152</v>
      </c>
      <c r="D146" t="s">
        <v>5285</v>
      </c>
      <c r="E146">
        <v>9</v>
      </c>
      <c r="F146">
        <v>1</v>
      </c>
      <c r="G146">
        <v>2.6880582348773201E-2</v>
      </c>
      <c r="H146">
        <v>0.860178635160742</v>
      </c>
      <c r="I146" t="s">
        <v>5181</v>
      </c>
    </row>
    <row r="147" spans="1:9" x14ac:dyDescent="0.25">
      <c r="A147" t="s">
        <v>5286</v>
      </c>
      <c r="C147" s="3" t="str">
        <f>HYPERLINK("http://amigo.geneontology.org/amigo/term/GO:0046130","GO:0046130")</f>
        <v>GO:0046130</v>
      </c>
      <c r="D147" t="s">
        <v>5287</v>
      </c>
      <c r="E147">
        <v>9</v>
      </c>
      <c r="F147">
        <v>1</v>
      </c>
      <c r="G147">
        <v>2.6880582348773201E-2</v>
      </c>
      <c r="H147">
        <v>0.860178635160742</v>
      </c>
      <c r="I147" t="s">
        <v>5181</v>
      </c>
    </row>
    <row r="148" spans="1:9" x14ac:dyDescent="0.25">
      <c r="A148" t="s">
        <v>5288</v>
      </c>
      <c r="C148" s="3" t="str">
        <f>HYPERLINK("http://amigo.geneontology.org/amigo/term/GO:0052745","GO:0052745")</f>
        <v>GO:0052745</v>
      </c>
      <c r="D148" t="s">
        <v>85</v>
      </c>
      <c r="E148">
        <v>9</v>
      </c>
      <c r="F148">
        <v>1</v>
      </c>
      <c r="G148">
        <v>2.6880582348773201E-2</v>
      </c>
      <c r="H148">
        <v>0.887059217509515</v>
      </c>
      <c r="I148" t="s">
        <v>53</v>
      </c>
    </row>
    <row r="149" spans="1:9" x14ac:dyDescent="0.25">
      <c r="A149" t="s">
        <v>5289</v>
      </c>
      <c r="C149" s="3" t="str">
        <f>HYPERLINK("http://amigo.geneontology.org/amigo/term/GO:0004420","GO:0004420")</f>
        <v>GO:0004420</v>
      </c>
      <c r="D149" t="s">
        <v>882</v>
      </c>
      <c r="E149">
        <v>9</v>
      </c>
      <c r="F149">
        <v>1</v>
      </c>
      <c r="G149">
        <v>2.6880582348773201E-2</v>
      </c>
      <c r="H149">
        <v>0.887059217509515</v>
      </c>
      <c r="I149" t="s">
        <v>5290</v>
      </c>
    </row>
    <row r="150" spans="1:9" x14ac:dyDescent="0.25">
      <c r="A150" t="s">
        <v>5291</v>
      </c>
      <c r="C150" s="3" t="str">
        <f>HYPERLINK("http://amigo.geneontology.org/amigo/term/GO:0016054","GO:0016054")</f>
        <v>GO:0016054</v>
      </c>
      <c r="D150" t="s">
        <v>5292</v>
      </c>
      <c r="E150">
        <v>381</v>
      </c>
      <c r="F150">
        <v>4</v>
      </c>
      <c r="G150">
        <v>2.9139846300566902E-2</v>
      </c>
      <c r="H150">
        <v>0.93247508161813997</v>
      </c>
      <c r="I150" t="s">
        <v>5293</v>
      </c>
    </row>
    <row r="151" spans="1:9" x14ac:dyDescent="0.25">
      <c r="A151" t="s">
        <v>2157</v>
      </c>
      <c r="C151" s="3" t="str">
        <f>HYPERLINK("http://amigo.geneontology.org/amigo/term/GO:0046395","GO:0046395")</f>
        <v>GO:0046395</v>
      </c>
      <c r="D151" t="s">
        <v>5294</v>
      </c>
      <c r="E151">
        <v>381</v>
      </c>
      <c r="F151">
        <v>4</v>
      </c>
      <c r="G151">
        <v>2.9139846300566902E-2</v>
      </c>
      <c r="H151">
        <v>0.93247508161813997</v>
      </c>
      <c r="I151" t="s">
        <v>5293</v>
      </c>
    </row>
    <row r="152" spans="1:9" x14ac:dyDescent="0.25">
      <c r="A152" t="s">
        <v>5295</v>
      </c>
      <c r="C152" s="3" t="str">
        <f>HYPERLINK("http://amigo.geneontology.org/amigo/term/GO:0005310","GO:0005310")</f>
        <v>GO:0005310</v>
      </c>
      <c r="D152" t="s">
        <v>5296</v>
      </c>
      <c r="E152">
        <v>10</v>
      </c>
      <c r="F152">
        <v>1</v>
      </c>
      <c r="G152">
        <v>2.98225419209074E-2</v>
      </c>
      <c r="H152">
        <v>0.95432134146903602</v>
      </c>
      <c r="I152" t="s">
        <v>5223</v>
      </c>
    </row>
    <row r="153" spans="1:9" x14ac:dyDescent="0.25">
      <c r="A153" t="s">
        <v>5297</v>
      </c>
      <c r="C153" s="3" t="str">
        <f>HYPERLINK("http://amigo.geneontology.org/amigo/term/GO:0004722","GO:0004722")</f>
        <v>GO:0004722</v>
      </c>
      <c r="D153" t="s">
        <v>5298</v>
      </c>
      <c r="E153">
        <v>221</v>
      </c>
      <c r="F153">
        <v>3</v>
      </c>
      <c r="G153">
        <v>2.9921821106937401E-2</v>
      </c>
      <c r="H153">
        <v>0.92757645431505997</v>
      </c>
      <c r="I153" t="s">
        <v>5299</v>
      </c>
    </row>
    <row r="154" spans="1:9" x14ac:dyDescent="0.25">
      <c r="A154" t="s">
        <v>5300</v>
      </c>
      <c r="C154" s="3" t="str">
        <f>HYPERLINK("http://amigo.geneontology.org/amigo/term/GO:0017000","GO:0017000")</f>
        <v>GO:0017000</v>
      </c>
      <c r="D154" t="s">
        <v>1303</v>
      </c>
      <c r="E154">
        <v>90</v>
      </c>
      <c r="F154">
        <v>2</v>
      </c>
      <c r="G154">
        <v>3.06164679451447E-2</v>
      </c>
      <c r="H154">
        <v>0.94911050629948701</v>
      </c>
      <c r="I154" t="s">
        <v>5169</v>
      </c>
    </row>
    <row r="155" spans="1:9" x14ac:dyDescent="0.25">
      <c r="A155" t="s">
        <v>5301</v>
      </c>
      <c r="C155" s="3" t="str">
        <f>HYPERLINK("http://amigo.geneontology.org/amigo/term/GO:0004518","GO:0004518")</f>
        <v>GO:0004518</v>
      </c>
      <c r="D155" t="s">
        <v>5302</v>
      </c>
      <c r="E155">
        <v>578</v>
      </c>
      <c r="F155">
        <v>5</v>
      </c>
      <c r="G155">
        <v>3.1911797832940902E-2</v>
      </c>
      <c r="H155">
        <v>0.98926573282116803</v>
      </c>
      <c r="I155" t="s">
        <v>5061</v>
      </c>
    </row>
    <row r="156" spans="1:9" x14ac:dyDescent="0.25">
      <c r="A156" t="s">
        <v>5303</v>
      </c>
      <c r="C156" s="3" t="str">
        <f>HYPERLINK("http://amigo.geneontology.org/amigo/term/GO:0055085","GO:0055085")</f>
        <v>GO:0055085</v>
      </c>
      <c r="D156" t="s">
        <v>240</v>
      </c>
      <c r="E156">
        <v>2653</v>
      </c>
      <c r="F156">
        <v>14</v>
      </c>
      <c r="G156">
        <v>3.1974794405451298E-2</v>
      </c>
      <c r="H156">
        <v>0.99121862656899196</v>
      </c>
      <c r="I156" t="s">
        <v>5304</v>
      </c>
    </row>
    <row r="157" spans="1:9" x14ac:dyDescent="0.25">
      <c r="A157" t="s">
        <v>5305</v>
      </c>
      <c r="C157" s="3" t="str">
        <f>HYPERLINK("http://amigo.geneontology.org/amigo/term/GO:0009063","GO:0009063")</f>
        <v>GO:0009063</v>
      </c>
      <c r="D157" t="s">
        <v>5306</v>
      </c>
      <c r="E157">
        <v>227</v>
      </c>
      <c r="F157">
        <v>3</v>
      </c>
      <c r="G157">
        <v>3.2018310298862401E-2</v>
      </c>
      <c r="H157">
        <v>0.96054930896587398</v>
      </c>
      <c r="I157" t="s">
        <v>5307</v>
      </c>
    </row>
    <row r="158" spans="1:9" x14ac:dyDescent="0.25">
      <c r="A158" t="s">
        <v>5308</v>
      </c>
      <c r="C158" s="3" t="str">
        <f>HYPERLINK("http://amigo.geneontology.org/amigo/term/GO:0009056","GO:0009056")</f>
        <v>GO:0009056</v>
      </c>
      <c r="D158" t="s">
        <v>5309</v>
      </c>
      <c r="E158">
        <v>2670</v>
      </c>
      <c r="F158">
        <v>14</v>
      </c>
      <c r="G158">
        <v>3.3461054619730299E-2</v>
      </c>
      <c r="H158">
        <v>1</v>
      </c>
      <c r="I158" t="s">
        <v>5245</v>
      </c>
    </row>
    <row r="159" spans="1:9" x14ac:dyDescent="0.25">
      <c r="A159" t="s">
        <v>5310</v>
      </c>
      <c r="C159" s="3" t="str">
        <f>HYPERLINK("http://amigo.geneontology.org/amigo/term/GO:0042546","GO:0042546")</f>
        <v>GO:0042546</v>
      </c>
      <c r="D159" t="s">
        <v>648</v>
      </c>
      <c r="E159">
        <v>399</v>
      </c>
      <c r="F159">
        <v>4</v>
      </c>
      <c r="G159">
        <v>3.3659059694803199E-2</v>
      </c>
      <c r="H159">
        <v>1</v>
      </c>
      <c r="I159" t="s">
        <v>5311</v>
      </c>
    </row>
    <row r="160" spans="1:9" x14ac:dyDescent="0.25">
      <c r="A160" t="s">
        <v>5312</v>
      </c>
      <c r="C160" s="3" t="str">
        <f>HYPERLINK("http://amigo.geneontology.org/amigo/term/GO:0034656","GO:0034656")</f>
        <v>GO:0034656</v>
      </c>
      <c r="D160" t="s">
        <v>5313</v>
      </c>
      <c r="E160">
        <v>12</v>
      </c>
      <c r="F160">
        <v>1</v>
      </c>
      <c r="G160">
        <v>3.5679919162381502E-2</v>
      </c>
      <c r="H160">
        <v>1</v>
      </c>
      <c r="I160" t="s">
        <v>5181</v>
      </c>
    </row>
    <row r="161" spans="1:9" x14ac:dyDescent="0.25">
      <c r="A161" t="s">
        <v>5314</v>
      </c>
      <c r="C161" s="3" t="str">
        <f>HYPERLINK("http://amigo.geneontology.org/amigo/term/GO:1901658","GO:1901658")</f>
        <v>GO:1901658</v>
      </c>
      <c r="D161" t="s">
        <v>5315</v>
      </c>
      <c r="E161">
        <v>12</v>
      </c>
      <c r="F161">
        <v>1</v>
      </c>
      <c r="G161">
        <v>3.5679919162381502E-2</v>
      </c>
      <c r="H161">
        <v>1</v>
      </c>
      <c r="I161" t="s">
        <v>5181</v>
      </c>
    </row>
    <row r="162" spans="1:9" x14ac:dyDescent="0.25">
      <c r="A162" t="s">
        <v>63</v>
      </c>
      <c r="C162" s="3" t="str">
        <f>HYPERLINK("http://amigo.geneontology.org/amigo/term/GO:0009164","GO:0009164")</f>
        <v>GO:0009164</v>
      </c>
      <c r="D162" t="s">
        <v>5316</v>
      </c>
      <c r="E162">
        <v>12</v>
      </c>
      <c r="F162">
        <v>1</v>
      </c>
      <c r="G162">
        <v>3.5679919162381502E-2</v>
      </c>
      <c r="H162">
        <v>1</v>
      </c>
      <c r="I162" t="s">
        <v>5181</v>
      </c>
    </row>
    <row r="163" spans="1:9" x14ac:dyDescent="0.25">
      <c r="A163" t="s">
        <v>2158</v>
      </c>
      <c r="C163" s="3" t="str">
        <f>HYPERLINK("http://amigo.geneontology.org/amigo/term/GO:0042454","GO:0042454")</f>
        <v>GO:0042454</v>
      </c>
      <c r="D163" t="s">
        <v>5317</v>
      </c>
      <c r="E163">
        <v>12</v>
      </c>
      <c r="F163">
        <v>1</v>
      </c>
      <c r="G163">
        <v>3.5679919162381502E-2</v>
      </c>
      <c r="H163">
        <v>1</v>
      </c>
      <c r="I163" t="s">
        <v>5181</v>
      </c>
    </row>
    <row r="164" spans="1:9" x14ac:dyDescent="0.25">
      <c r="A164" t="s">
        <v>5318</v>
      </c>
      <c r="C164" s="3" t="str">
        <f>HYPERLINK("http://amigo.geneontology.org/amigo/term/GO:0015629","GO:0015629")</f>
        <v>GO:0015629</v>
      </c>
      <c r="D164" t="s">
        <v>513</v>
      </c>
      <c r="E164">
        <v>100</v>
      </c>
      <c r="F164">
        <v>2</v>
      </c>
      <c r="G164">
        <v>3.7108152745736901E-2</v>
      </c>
      <c r="H164">
        <v>1</v>
      </c>
      <c r="I164" t="s">
        <v>5139</v>
      </c>
    </row>
    <row r="165" spans="1:9" x14ac:dyDescent="0.25">
      <c r="A165" t="s">
        <v>5319</v>
      </c>
      <c r="C165" s="3" t="str">
        <f>HYPERLINK("http://amigo.geneontology.org/amigo/term/GO:0015849","GO:0015849")</f>
        <v>GO:0015849</v>
      </c>
      <c r="D165" t="s">
        <v>5320</v>
      </c>
      <c r="E165">
        <v>244</v>
      </c>
      <c r="F165">
        <v>3</v>
      </c>
      <c r="G165">
        <v>3.8363858230638898E-2</v>
      </c>
      <c r="H165">
        <v>1</v>
      </c>
      <c r="I165" t="s">
        <v>5082</v>
      </c>
    </row>
    <row r="166" spans="1:9" x14ac:dyDescent="0.25">
      <c r="A166" t="s">
        <v>5321</v>
      </c>
      <c r="C166" s="3" t="str">
        <f>HYPERLINK("http://amigo.geneontology.org/amigo/term/GO:0046942","GO:0046942")</f>
        <v>GO:0046942</v>
      </c>
      <c r="D166" t="s">
        <v>5322</v>
      </c>
      <c r="E166">
        <v>244</v>
      </c>
      <c r="F166">
        <v>3</v>
      </c>
      <c r="G166">
        <v>3.8363858230638898E-2</v>
      </c>
      <c r="H166">
        <v>1</v>
      </c>
      <c r="I166" t="s">
        <v>5082</v>
      </c>
    </row>
    <row r="167" spans="1:9" x14ac:dyDescent="0.25">
      <c r="A167" t="s">
        <v>5323</v>
      </c>
      <c r="C167" s="3" t="str">
        <f>HYPERLINK("http://amigo.geneontology.org/amigo/term/GO:0004557","GO:0004557")</f>
        <v>GO:0004557</v>
      </c>
      <c r="D167" t="s">
        <v>5324</v>
      </c>
      <c r="E167">
        <v>13</v>
      </c>
      <c r="F167">
        <v>1</v>
      </c>
      <c r="G167">
        <v>3.8595389838583002E-2</v>
      </c>
      <c r="H167">
        <v>1</v>
      </c>
      <c r="I167" t="s">
        <v>2162</v>
      </c>
    </row>
    <row r="168" spans="1:9" x14ac:dyDescent="0.25">
      <c r="A168" t="s">
        <v>5325</v>
      </c>
      <c r="C168" s="3" t="str">
        <f>HYPERLINK("http://amigo.geneontology.org/amigo/term/GO:0052692","GO:0052692")</f>
        <v>GO:0052692</v>
      </c>
      <c r="D168" t="s">
        <v>5326</v>
      </c>
      <c r="E168">
        <v>13</v>
      </c>
      <c r="F168">
        <v>1</v>
      </c>
      <c r="G168">
        <v>3.8595389838583002E-2</v>
      </c>
      <c r="H168">
        <v>1</v>
      </c>
      <c r="I168" t="s">
        <v>2162</v>
      </c>
    </row>
    <row r="169" spans="1:9" x14ac:dyDescent="0.25">
      <c r="A169" t="s">
        <v>5327</v>
      </c>
      <c r="C169" s="3" t="str">
        <f>HYPERLINK("http://amigo.geneontology.org/amigo/term/GO:0033865","GO:0033865")</f>
        <v>GO:0033865</v>
      </c>
      <c r="D169" t="s">
        <v>5328</v>
      </c>
      <c r="E169">
        <v>106</v>
      </c>
      <c r="F169">
        <v>2</v>
      </c>
      <c r="G169">
        <v>4.1233169146384599E-2</v>
      </c>
      <c r="H169">
        <v>1</v>
      </c>
      <c r="I169" t="s">
        <v>5329</v>
      </c>
    </row>
    <row r="170" spans="1:9" x14ac:dyDescent="0.25">
      <c r="A170" t="s">
        <v>5330</v>
      </c>
      <c r="C170" s="3" t="str">
        <f>HYPERLINK("http://amigo.geneontology.org/amigo/term/GO:0033875","GO:0033875")</f>
        <v>GO:0033875</v>
      </c>
      <c r="D170" t="s">
        <v>5331</v>
      </c>
      <c r="E170">
        <v>106</v>
      </c>
      <c r="F170">
        <v>2</v>
      </c>
      <c r="G170">
        <v>4.1233169146384599E-2</v>
      </c>
      <c r="H170">
        <v>1</v>
      </c>
      <c r="I170" t="s">
        <v>5329</v>
      </c>
    </row>
    <row r="171" spans="1:9" x14ac:dyDescent="0.25">
      <c r="A171" t="s">
        <v>5332</v>
      </c>
      <c r="C171" s="3" t="str">
        <f>HYPERLINK("http://amigo.geneontology.org/amigo/term/GO:0034032","GO:0034032")</f>
        <v>GO:0034032</v>
      </c>
      <c r="D171" t="s">
        <v>5333</v>
      </c>
      <c r="E171">
        <v>106</v>
      </c>
      <c r="F171">
        <v>2</v>
      </c>
      <c r="G171">
        <v>4.1233169146384599E-2</v>
      </c>
      <c r="H171">
        <v>1</v>
      </c>
      <c r="I171" t="s">
        <v>5329</v>
      </c>
    </row>
    <row r="172" spans="1:9" x14ac:dyDescent="0.25">
      <c r="A172" t="s">
        <v>5334</v>
      </c>
      <c r="C172" s="3" t="str">
        <f>HYPERLINK("http://amigo.geneontology.org/amigo/term/GO:0016999","GO:0016999")</f>
        <v>GO:0016999</v>
      </c>
      <c r="D172" t="s">
        <v>764</v>
      </c>
      <c r="E172">
        <v>427</v>
      </c>
      <c r="F172">
        <v>4</v>
      </c>
      <c r="G172">
        <v>4.1457442265723003E-2</v>
      </c>
      <c r="H172">
        <v>1</v>
      </c>
      <c r="I172" t="s">
        <v>5200</v>
      </c>
    </row>
    <row r="173" spans="1:9" x14ac:dyDescent="0.25">
      <c r="A173" t="s">
        <v>5335</v>
      </c>
      <c r="C173" s="3" t="str">
        <f>HYPERLINK("http://amigo.geneontology.org/amigo/term/GO:0004792","GO:0004792")</f>
        <v>GO:0004792</v>
      </c>
      <c r="D173" t="s">
        <v>5336</v>
      </c>
      <c r="E173">
        <v>14</v>
      </c>
      <c r="F173">
        <v>1</v>
      </c>
      <c r="G173">
        <v>4.1502083769431201E-2</v>
      </c>
      <c r="H173">
        <v>1</v>
      </c>
      <c r="I173" t="s">
        <v>2168</v>
      </c>
    </row>
    <row r="174" spans="1:9" x14ac:dyDescent="0.25">
      <c r="A174" t="s">
        <v>65</v>
      </c>
      <c r="C174" s="3" t="str">
        <f>HYPERLINK("http://amigo.geneontology.org/amigo/term/GO:0048573","GO:0048573")</f>
        <v>GO:0048573</v>
      </c>
      <c r="D174" t="s">
        <v>5337</v>
      </c>
      <c r="E174">
        <v>109</v>
      </c>
      <c r="F174">
        <v>2</v>
      </c>
      <c r="G174">
        <v>4.3357423016166102E-2</v>
      </c>
      <c r="H174">
        <v>1</v>
      </c>
      <c r="I174" t="s">
        <v>5090</v>
      </c>
    </row>
    <row r="175" spans="1:9" x14ac:dyDescent="0.25">
      <c r="A175" t="s">
        <v>2159</v>
      </c>
      <c r="C175" s="3" t="str">
        <f>HYPERLINK("http://amigo.geneontology.org/amigo/term/GO:0052866","GO:0052866")</f>
        <v>GO:0052866</v>
      </c>
      <c r="D175" t="s">
        <v>101</v>
      </c>
      <c r="E175">
        <v>15</v>
      </c>
      <c r="F175">
        <v>1</v>
      </c>
      <c r="G175">
        <v>4.44000272493437E-2</v>
      </c>
      <c r="H175">
        <v>1</v>
      </c>
      <c r="I175" t="s">
        <v>53</v>
      </c>
    </row>
    <row r="176" spans="1:9" x14ac:dyDescent="0.25">
      <c r="A176" t="s">
        <v>5338</v>
      </c>
      <c r="C176" s="3" t="str">
        <f>HYPERLINK("http://amigo.geneontology.org/amigo/term/GO:0036092","GO:0036092")</f>
        <v>GO:0036092</v>
      </c>
      <c r="D176" t="s">
        <v>103</v>
      </c>
      <c r="E176">
        <v>15</v>
      </c>
      <c r="F176">
        <v>1</v>
      </c>
      <c r="G176">
        <v>4.44000272493437E-2</v>
      </c>
      <c r="H176">
        <v>1</v>
      </c>
      <c r="I176" t="s">
        <v>53</v>
      </c>
    </row>
    <row r="177" spans="1:9" x14ac:dyDescent="0.25">
      <c r="A177" t="s">
        <v>5339</v>
      </c>
      <c r="C177" s="3" t="str">
        <f>HYPERLINK("http://amigo.geneontology.org/amigo/term/GO:0009646","GO:0009646")</f>
        <v>GO:0009646</v>
      </c>
      <c r="D177" t="s">
        <v>5340</v>
      </c>
      <c r="E177">
        <v>15</v>
      </c>
      <c r="F177">
        <v>1</v>
      </c>
      <c r="G177">
        <v>4.44000272493437E-2</v>
      </c>
      <c r="H177">
        <v>1</v>
      </c>
      <c r="I177" t="s">
        <v>5319</v>
      </c>
    </row>
    <row r="178" spans="1:9" x14ac:dyDescent="0.25">
      <c r="A178" t="s">
        <v>5341</v>
      </c>
      <c r="C178" s="3" t="str">
        <f>HYPERLINK("http://amigo.geneontology.org/amigo/term/GO:0034754","GO:0034754")</f>
        <v>GO:0034754</v>
      </c>
      <c r="D178" t="s">
        <v>5342</v>
      </c>
      <c r="E178">
        <v>111</v>
      </c>
      <c r="F178">
        <v>2</v>
      </c>
      <c r="G178">
        <v>4.4795845536717997E-2</v>
      </c>
      <c r="H178">
        <v>1</v>
      </c>
      <c r="I178" t="s">
        <v>5343</v>
      </c>
    </row>
    <row r="179" spans="1:9" x14ac:dyDescent="0.25">
      <c r="A179" t="s">
        <v>5344</v>
      </c>
      <c r="C179" s="3" t="str">
        <f>HYPERLINK("http://amigo.geneontology.org/amigo/term/GO:0009648","GO:0009648")</f>
        <v>GO:0009648</v>
      </c>
      <c r="D179" t="s">
        <v>5345</v>
      </c>
      <c r="E179">
        <v>112</v>
      </c>
      <c r="F179">
        <v>2</v>
      </c>
      <c r="G179">
        <v>4.5521633495058798E-2</v>
      </c>
      <c r="H179">
        <v>1</v>
      </c>
      <c r="I179" t="s">
        <v>5090</v>
      </c>
    </row>
    <row r="180" spans="1:9" x14ac:dyDescent="0.25">
      <c r="A180" t="s">
        <v>5190</v>
      </c>
      <c r="C180" s="3" t="str">
        <f>HYPERLINK("http://amigo.geneontology.org/amigo/term/GO:0046165","GO:0046165")</f>
        <v>GO:0046165</v>
      </c>
      <c r="D180" t="s">
        <v>70</v>
      </c>
      <c r="E180">
        <v>112</v>
      </c>
      <c r="F180">
        <v>2</v>
      </c>
      <c r="G180">
        <v>4.5521633495058798E-2</v>
      </c>
      <c r="H180">
        <v>1</v>
      </c>
      <c r="I180" t="s">
        <v>42</v>
      </c>
    </row>
    <row r="181" spans="1:9" x14ac:dyDescent="0.25">
      <c r="A181" t="s">
        <v>5346</v>
      </c>
      <c r="C181" s="3" t="str">
        <f>HYPERLINK("http://amigo.geneontology.org/amigo/term/GO:0007165","GO:0007165")</f>
        <v>GO:0007165</v>
      </c>
      <c r="D181" t="s">
        <v>5347</v>
      </c>
      <c r="E181">
        <v>1544</v>
      </c>
      <c r="F181">
        <v>9</v>
      </c>
      <c r="G181">
        <v>4.6497637618856599E-2</v>
      </c>
      <c r="H181">
        <v>1</v>
      </c>
      <c r="I181" t="s">
        <v>5348</v>
      </c>
    </row>
    <row r="182" spans="1:9" x14ac:dyDescent="0.25">
      <c r="A182" t="s">
        <v>5349</v>
      </c>
      <c r="C182" s="3" t="str">
        <f>HYPERLINK("http://amigo.geneontology.org/amigo/term/GO:0005618","GO:0005618")</f>
        <v>GO:0005618</v>
      </c>
      <c r="D182" t="s">
        <v>218</v>
      </c>
      <c r="E182">
        <v>446</v>
      </c>
      <c r="F182">
        <v>4</v>
      </c>
      <c r="G182">
        <v>4.7283957462038798E-2</v>
      </c>
      <c r="H182">
        <v>1</v>
      </c>
      <c r="I182" t="s">
        <v>5350</v>
      </c>
    </row>
    <row r="183" spans="1:9" x14ac:dyDescent="0.25">
      <c r="A183" t="s">
        <v>5351</v>
      </c>
      <c r="C183" s="3" t="str">
        <f>HYPERLINK("http://amigo.geneontology.org/amigo/term/GO:0009504","GO:0009504")</f>
        <v>GO:0009504</v>
      </c>
      <c r="D183" t="s">
        <v>5352</v>
      </c>
      <c r="E183">
        <v>16</v>
      </c>
      <c r="F183">
        <v>1</v>
      </c>
      <c r="G183">
        <v>4.7289246517291397E-2</v>
      </c>
      <c r="H183">
        <v>1</v>
      </c>
      <c r="I183" t="s">
        <v>5308</v>
      </c>
    </row>
    <row r="184" spans="1:9" x14ac:dyDescent="0.25">
      <c r="A184" t="s">
        <v>5353</v>
      </c>
      <c r="C184" s="3" t="str">
        <f>HYPERLINK("http://amigo.geneontology.org/amigo/term/GO:0010410","GO:0010410")</f>
        <v>GO:0010410</v>
      </c>
      <c r="D184" t="s">
        <v>624</v>
      </c>
      <c r="E184">
        <v>267</v>
      </c>
      <c r="F184">
        <v>3</v>
      </c>
      <c r="G184">
        <v>4.7886528860946499E-2</v>
      </c>
      <c r="H184">
        <v>1</v>
      </c>
      <c r="I184" t="s">
        <v>5225</v>
      </c>
    </row>
    <row r="185" spans="1:9" x14ac:dyDescent="0.25">
      <c r="A185" t="s">
        <v>5354</v>
      </c>
      <c r="C185" s="3" t="str">
        <f>HYPERLINK("http://amigo.geneontology.org/amigo/term/GO:0009628","GO:0009628")</f>
        <v>GO:0009628</v>
      </c>
      <c r="D185" t="s">
        <v>5355</v>
      </c>
      <c r="E185">
        <v>1316</v>
      </c>
      <c r="F185">
        <v>8</v>
      </c>
      <c r="G185">
        <v>4.8056544584281102E-2</v>
      </c>
      <c r="H185">
        <v>1</v>
      </c>
      <c r="I185" t="s">
        <v>5356</v>
      </c>
    </row>
    <row r="186" spans="1:9" x14ac:dyDescent="0.25">
      <c r="A186" t="s">
        <v>5357</v>
      </c>
      <c r="C186" s="3" t="str">
        <f>HYPERLINK("http://amigo.geneontology.org/amigo/term/GO:0030312","GO:0030312")</f>
        <v>GO:0030312</v>
      </c>
      <c r="D186" t="s">
        <v>209</v>
      </c>
      <c r="E186">
        <v>450</v>
      </c>
      <c r="F186">
        <v>4</v>
      </c>
      <c r="G186">
        <v>4.8565608331819103E-2</v>
      </c>
      <c r="H186">
        <v>1</v>
      </c>
      <c r="I186" t="s">
        <v>5350</v>
      </c>
    </row>
    <row r="187" spans="1:9" x14ac:dyDescent="0.25">
      <c r="A187" t="s">
        <v>5358</v>
      </c>
      <c r="C187" s="3" t="str">
        <f>HYPERLINK("http://amigo.geneontology.org/amigo/term/GO:0006812","GO:0006812")</f>
        <v>GO:0006812</v>
      </c>
      <c r="D187" t="s">
        <v>341</v>
      </c>
      <c r="E187">
        <v>1323</v>
      </c>
      <c r="F187">
        <v>8</v>
      </c>
      <c r="G187">
        <v>4.9281101125397297E-2</v>
      </c>
      <c r="H187">
        <v>1</v>
      </c>
      <c r="I187" t="s">
        <v>5179</v>
      </c>
    </row>
    <row r="188" spans="1:9" x14ac:dyDescent="0.25">
      <c r="A188" t="s">
        <v>2160</v>
      </c>
      <c r="C188" s="3" t="str">
        <f>HYPERLINK("http://amigo.geneontology.org/amigo/term/GO:0006259","GO:0006259")</f>
        <v>GO:0006259</v>
      </c>
      <c r="D188" t="s">
        <v>5359</v>
      </c>
      <c r="E188">
        <v>1327</v>
      </c>
      <c r="F188">
        <v>8</v>
      </c>
      <c r="G188">
        <v>4.9989885388453399E-2</v>
      </c>
      <c r="H188">
        <v>1</v>
      </c>
      <c r="I188" t="s">
        <v>5360</v>
      </c>
    </row>
    <row r="189" spans="1:9" x14ac:dyDescent="0.25">
      <c r="A189" t="s">
        <v>5361</v>
      </c>
    </row>
    <row r="190" spans="1:9" x14ac:dyDescent="0.25">
      <c r="A190" t="s">
        <v>2161</v>
      </c>
    </row>
    <row r="191" spans="1:9" x14ac:dyDescent="0.25">
      <c r="A191" t="s">
        <v>5362</v>
      </c>
    </row>
    <row r="192" spans="1:9" x14ac:dyDescent="0.25">
      <c r="A192" t="s">
        <v>5363</v>
      </c>
    </row>
    <row r="193" spans="1:1" x14ac:dyDescent="0.25">
      <c r="A193" t="s">
        <v>5364</v>
      </c>
    </row>
    <row r="194" spans="1:1" x14ac:dyDescent="0.25">
      <c r="A194" t="s">
        <v>2162</v>
      </c>
    </row>
    <row r="195" spans="1:1" x14ac:dyDescent="0.25">
      <c r="A195" t="s">
        <v>5365</v>
      </c>
    </row>
    <row r="196" spans="1:1" x14ac:dyDescent="0.25">
      <c r="A196" t="s">
        <v>5366</v>
      </c>
    </row>
    <row r="197" spans="1:1" x14ac:dyDescent="0.25">
      <c r="A197" t="s">
        <v>5367</v>
      </c>
    </row>
    <row r="198" spans="1:1" x14ac:dyDescent="0.25">
      <c r="A198" t="s">
        <v>5149</v>
      </c>
    </row>
    <row r="199" spans="1:1" x14ac:dyDescent="0.25">
      <c r="A199" t="s">
        <v>2163</v>
      </c>
    </row>
    <row r="200" spans="1:1" x14ac:dyDescent="0.25">
      <c r="A200" t="s">
        <v>2164</v>
      </c>
    </row>
    <row r="201" spans="1:1" x14ac:dyDescent="0.25">
      <c r="A201" t="s">
        <v>5368</v>
      </c>
    </row>
    <row r="202" spans="1:1" x14ac:dyDescent="0.25">
      <c r="A202" t="s">
        <v>5369</v>
      </c>
    </row>
    <row r="203" spans="1:1" x14ac:dyDescent="0.25">
      <c r="A203" t="s">
        <v>5370</v>
      </c>
    </row>
    <row r="204" spans="1:1" x14ac:dyDescent="0.25">
      <c r="A204" t="s">
        <v>5371</v>
      </c>
    </row>
    <row r="205" spans="1:1" x14ac:dyDescent="0.25">
      <c r="A205" t="s">
        <v>5372</v>
      </c>
    </row>
    <row r="206" spans="1:1" x14ac:dyDescent="0.25">
      <c r="A206" t="s">
        <v>5373</v>
      </c>
    </row>
    <row r="207" spans="1:1" x14ac:dyDescent="0.25">
      <c r="A207" t="s">
        <v>5374</v>
      </c>
    </row>
    <row r="208" spans="1:1" x14ac:dyDescent="0.25">
      <c r="A208" t="s">
        <v>5375</v>
      </c>
    </row>
    <row r="209" spans="1:1" x14ac:dyDescent="0.25">
      <c r="A209" t="s">
        <v>5376</v>
      </c>
    </row>
    <row r="210" spans="1:1" x14ac:dyDescent="0.25">
      <c r="A210" t="s">
        <v>5377</v>
      </c>
    </row>
    <row r="211" spans="1:1" x14ac:dyDescent="0.25">
      <c r="A211" t="s">
        <v>5378</v>
      </c>
    </row>
    <row r="212" spans="1:1" x14ac:dyDescent="0.25">
      <c r="A212" t="s">
        <v>67</v>
      </c>
    </row>
    <row r="213" spans="1:1" x14ac:dyDescent="0.25">
      <c r="A213" t="s">
        <v>5379</v>
      </c>
    </row>
    <row r="214" spans="1:1" x14ac:dyDescent="0.25">
      <c r="A214" t="s">
        <v>5380</v>
      </c>
    </row>
    <row r="215" spans="1:1" x14ac:dyDescent="0.25">
      <c r="A215" t="s">
        <v>5381</v>
      </c>
    </row>
    <row r="216" spans="1:1" x14ac:dyDescent="0.25">
      <c r="A216" t="s">
        <v>2165</v>
      </c>
    </row>
    <row r="217" spans="1:1" x14ac:dyDescent="0.25">
      <c r="A217" t="s">
        <v>2166</v>
      </c>
    </row>
    <row r="218" spans="1:1" x14ac:dyDescent="0.25">
      <c r="A218" t="s">
        <v>5382</v>
      </c>
    </row>
    <row r="219" spans="1:1" x14ac:dyDescent="0.25">
      <c r="A219" t="s">
        <v>5383</v>
      </c>
    </row>
    <row r="220" spans="1:1" x14ac:dyDescent="0.25">
      <c r="A220" t="s">
        <v>5384</v>
      </c>
    </row>
    <row r="221" spans="1:1" x14ac:dyDescent="0.25">
      <c r="A221" t="s">
        <v>5385</v>
      </c>
    </row>
    <row r="222" spans="1:1" x14ac:dyDescent="0.25">
      <c r="A222" t="s">
        <v>5386</v>
      </c>
    </row>
    <row r="223" spans="1:1" x14ac:dyDescent="0.25">
      <c r="A223" t="s">
        <v>5387</v>
      </c>
    </row>
    <row r="224" spans="1:1" x14ac:dyDescent="0.25">
      <c r="A224" t="s">
        <v>5388</v>
      </c>
    </row>
    <row r="225" spans="1:1" x14ac:dyDescent="0.25">
      <c r="A225" t="s">
        <v>5389</v>
      </c>
    </row>
    <row r="226" spans="1:1" x14ac:dyDescent="0.25">
      <c r="A226" t="s">
        <v>69</v>
      </c>
    </row>
    <row r="227" spans="1:1" x14ac:dyDescent="0.25">
      <c r="A227" t="s">
        <v>5390</v>
      </c>
    </row>
    <row r="228" spans="1:1" x14ac:dyDescent="0.25">
      <c r="A228" t="s">
        <v>71</v>
      </c>
    </row>
    <row r="229" spans="1:1" x14ac:dyDescent="0.25">
      <c r="A229" t="s">
        <v>5391</v>
      </c>
    </row>
    <row r="230" spans="1:1" x14ac:dyDescent="0.25">
      <c r="A230" t="s">
        <v>5392</v>
      </c>
    </row>
    <row r="231" spans="1:1" x14ac:dyDescent="0.25">
      <c r="A231" t="s">
        <v>5393</v>
      </c>
    </row>
    <row r="232" spans="1:1" x14ac:dyDescent="0.25">
      <c r="A232" t="s">
        <v>5394</v>
      </c>
    </row>
    <row r="233" spans="1:1" x14ac:dyDescent="0.25">
      <c r="A233" t="s">
        <v>5395</v>
      </c>
    </row>
    <row r="234" spans="1:1" x14ac:dyDescent="0.25">
      <c r="A234" t="s">
        <v>5396</v>
      </c>
    </row>
    <row r="235" spans="1:1" x14ac:dyDescent="0.25">
      <c r="A235" t="s">
        <v>5397</v>
      </c>
    </row>
    <row r="236" spans="1:1" x14ac:dyDescent="0.25">
      <c r="A236" t="s">
        <v>5223</v>
      </c>
    </row>
    <row r="237" spans="1:1" x14ac:dyDescent="0.25">
      <c r="A237" t="s">
        <v>5290</v>
      </c>
    </row>
    <row r="238" spans="1:1" x14ac:dyDescent="0.25">
      <c r="A238" t="s">
        <v>5398</v>
      </c>
    </row>
    <row r="239" spans="1:1" x14ac:dyDescent="0.25">
      <c r="A239" t="s">
        <v>5399</v>
      </c>
    </row>
    <row r="240" spans="1:1" x14ac:dyDescent="0.25">
      <c r="A240" t="s">
        <v>5400</v>
      </c>
    </row>
    <row r="241" spans="1:1" x14ac:dyDescent="0.25">
      <c r="A241" t="s">
        <v>5401</v>
      </c>
    </row>
    <row r="242" spans="1:1" x14ac:dyDescent="0.25">
      <c r="A242" t="s">
        <v>73</v>
      </c>
    </row>
    <row r="243" spans="1:1" x14ac:dyDescent="0.25">
      <c r="A243" t="s">
        <v>5402</v>
      </c>
    </row>
    <row r="244" spans="1:1" x14ac:dyDescent="0.25">
      <c r="A244" t="s">
        <v>5403</v>
      </c>
    </row>
    <row r="245" spans="1:1" x14ac:dyDescent="0.25">
      <c r="A245" t="s">
        <v>2167</v>
      </c>
    </row>
    <row r="246" spans="1:1" x14ac:dyDescent="0.25">
      <c r="A246" t="s">
        <v>2168</v>
      </c>
    </row>
    <row r="247" spans="1:1" x14ac:dyDescent="0.25">
      <c r="A247" t="s">
        <v>5404</v>
      </c>
    </row>
    <row r="248" spans="1:1" x14ac:dyDescent="0.25">
      <c r="A248" t="s">
        <v>5405</v>
      </c>
    </row>
    <row r="249" spans="1:1" x14ac:dyDescent="0.25">
      <c r="A249" t="s">
        <v>5406</v>
      </c>
    </row>
    <row r="250" spans="1:1" x14ac:dyDescent="0.25">
      <c r="A250" t="s">
        <v>5407</v>
      </c>
    </row>
    <row r="251" spans="1:1" x14ac:dyDescent="0.25">
      <c r="A251" t="s">
        <v>75</v>
      </c>
    </row>
    <row r="252" spans="1:1" x14ac:dyDescent="0.25">
      <c r="A252" t="s">
        <v>2169</v>
      </c>
    </row>
    <row r="253" spans="1:1" x14ac:dyDescent="0.25">
      <c r="A253" t="s">
        <v>5408</v>
      </c>
    </row>
    <row r="254" spans="1:1" x14ac:dyDescent="0.25">
      <c r="A254" t="s">
        <v>5409</v>
      </c>
    </row>
    <row r="255" spans="1:1" x14ac:dyDescent="0.25">
      <c r="A255" t="s">
        <v>5410</v>
      </c>
    </row>
    <row r="256" spans="1:1" x14ac:dyDescent="0.25">
      <c r="A256" t="s">
        <v>5411</v>
      </c>
    </row>
    <row r="257" spans="1:1" x14ac:dyDescent="0.25">
      <c r="A257" t="s">
        <v>5412</v>
      </c>
    </row>
    <row r="258" spans="1:1" x14ac:dyDescent="0.25">
      <c r="A258" t="s">
        <v>5413</v>
      </c>
    </row>
    <row r="259" spans="1:1" x14ac:dyDescent="0.25">
      <c r="A259" t="s">
        <v>5414</v>
      </c>
    </row>
    <row r="260" spans="1:1" x14ac:dyDescent="0.25">
      <c r="A260" t="s">
        <v>5415</v>
      </c>
    </row>
    <row r="261" spans="1:1" x14ac:dyDescent="0.25">
      <c r="A261" t="s">
        <v>5416</v>
      </c>
    </row>
    <row r="262" spans="1:1" x14ac:dyDescent="0.25">
      <c r="A262" t="s">
        <v>5417</v>
      </c>
    </row>
    <row r="263" spans="1:1" x14ac:dyDescent="0.25">
      <c r="A263" t="s">
        <v>5418</v>
      </c>
    </row>
    <row r="264" spans="1:1" x14ac:dyDescent="0.25">
      <c r="A264" t="s">
        <v>5419</v>
      </c>
    </row>
    <row r="265" spans="1:1" x14ac:dyDescent="0.25">
      <c r="A265" t="s">
        <v>5420</v>
      </c>
    </row>
    <row r="266" spans="1:1" x14ac:dyDescent="0.25">
      <c r="A266" t="s">
        <v>77</v>
      </c>
    </row>
    <row r="267" spans="1:1" x14ac:dyDescent="0.25">
      <c r="A267" t="s">
        <v>5421</v>
      </c>
    </row>
    <row r="268" spans="1:1" x14ac:dyDescent="0.25">
      <c r="A268" t="s">
        <v>5422</v>
      </c>
    </row>
    <row r="269" spans="1:1" x14ac:dyDescent="0.25">
      <c r="A269" t="s">
        <v>5423</v>
      </c>
    </row>
    <row r="270" spans="1:1" x14ac:dyDescent="0.25">
      <c r="A270" t="s">
        <v>5424</v>
      </c>
    </row>
    <row r="271" spans="1:1" x14ac:dyDescent="0.25">
      <c r="A271" t="s">
        <v>5425</v>
      </c>
    </row>
    <row r="272" spans="1:1" x14ac:dyDescent="0.25">
      <c r="A272" t="s">
        <v>5426</v>
      </c>
    </row>
    <row r="273" spans="1:1" x14ac:dyDescent="0.25">
      <c r="A273" t="s">
        <v>5427</v>
      </c>
    </row>
    <row r="274" spans="1:1" x14ac:dyDescent="0.25">
      <c r="A274" t="s">
        <v>5428</v>
      </c>
    </row>
    <row r="275" spans="1:1" x14ac:dyDescent="0.25">
      <c r="A275" t="s">
        <v>5429</v>
      </c>
    </row>
    <row r="276" spans="1:1" x14ac:dyDescent="0.25">
      <c r="A276" t="s">
        <v>5430</v>
      </c>
    </row>
    <row r="277" spans="1:1" x14ac:dyDescent="0.25">
      <c r="A277" t="s">
        <v>5431</v>
      </c>
    </row>
    <row r="278" spans="1:1" x14ac:dyDescent="0.25">
      <c r="A278" t="s">
        <v>5432</v>
      </c>
    </row>
    <row r="279" spans="1:1" x14ac:dyDescent="0.25">
      <c r="A279" t="s">
        <v>5433</v>
      </c>
    </row>
    <row r="280" spans="1:1" x14ac:dyDescent="0.25">
      <c r="A280" t="s">
        <v>2170</v>
      </c>
    </row>
    <row r="281" spans="1:1" x14ac:dyDescent="0.25">
      <c r="A281" t="s">
        <v>5434</v>
      </c>
    </row>
    <row r="282" spans="1:1" x14ac:dyDescent="0.25">
      <c r="A282" t="s">
        <v>5435</v>
      </c>
    </row>
    <row r="283" spans="1:1" x14ac:dyDescent="0.25">
      <c r="A283" t="s">
        <v>2171</v>
      </c>
    </row>
    <row r="284" spans="1:1" x14ac:dyDescent="0.25">
      <c r="A284" t="s">
        <v>5436</v>
      </c>
    </row>
    <row r="285" spans="1:1" x14ac:dyDescent="0.25">
      <c r="A285" t="s">
        <v>5437</v>
      </c>
    </row>
    <row r="286" spans="1:1" x14ac:dyDescent="0.25">
      <c r="A286" t="s">
        <v>5438</v>
      </c>
    </row>
    <row r="287" spans="1:1" x14ac:dyDescent="0.25">
      <c r="A287" t="s">
        <v>5439</v>
      </c>
    </row>
    <row r="288" spans="1:1" x14ac:dyDescent="0.25">
      <c r="A288" t="s">
        <v>5440</v>
      </c>
    </row>
  </sheetData>
  <sortState ref="C11:I187">
    <sortCondition ref="G11:G187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4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2.28515625" customWidth="1"/>
    <col min="3" max="3" width="14.42578125" customWidth="1"/>
    <col min="4" max="4" width="37" customWidth="1"/>
  </cols>
  <sheetData>
    <row r="1" spans="1:9" s="11" customFormat="1" ht="20.25" x14ac:dyDescent="0.3">
      <c r="A1" s="12" t="s">
        <v>5441</v>
      </c>
    </row>
    <row r="2" spans="1:9" x14ac:dyDescent="0.25">
      <c r="A2" s="6" t="s">
        <v>5442</v>
      </c>
      <c r="B2" s="8">
        <f>572/7100</f>
        <v>8.0563380281690147E-2</v>
      </c>
      <c r="C2" t="s">
        <v>2</v>
      </c>
      <c r="D2">
        <v>438</v>
      </c>
    </row>
    <row r="3" spans="1:9" x14ac:dyDescent="0.25">
      <c r="A3" t="s">
        <v>5443</v>
      </c>
      <c r="C3" t="s">
        <v>4</v>
      </c>
      <c r="D3">
        <v>77079</v>
      </c>
    </row>
    <row r="4" spans="1:9" x14ac:dyDescent="0.25">
      <c r="A4" t="s">
        <v>5045</v>
      </c>
      <c r="C4" t="s">
        <v>6</v>
      </c>
      <c r="D4" t="s">
        <v>7</v>
      </c>
    </row>
    <row r="5" spans="1:9" x14ac:dyDescent="0.25">
      <c r="A5" t="s">
        <v>5444</v>
      </c>
      <c r="C5" t="s">
        <v>9</v>
      </c>
      <c r="D5" t="s">
        <v>10</v>
      </c>
    </row>
    <row r="6" spans="1:9" x14ac:dyDescent="0.25">
      <c r="A6" t="s">
        <v>5046</v>
      </c>
      <c r="C6" t="s">
        <v>12</v>
      </c>
      <c r="D6" t="s">
        <v>13</v>
      </c>
    </row>
    <row r="7" spans="1:9" x14ac:dyDescent="0.25">
      <c r="A7" t="s">
        <v>5047</v>
      </c>
      <c r="C7" t="s">
        <v>15</v>
      </c>
      <c r="D7" t="s">
        <v>16</v>
      </c>
    </row>
    <row r="8" spans="1:9" x14ac:dyDescent="0.25">
      <c r="A8" t="s">
        <v>5445</v>
      </c>
      <c r="C8" t="s">
        <v>18</v>
      </c>
      <c r="D8" t="s">
        <v>19</v>
      </c>
    </row>
    <row r="9" spans="1:9" x14ac:dyDescent="0.25">
      <c r="A9" t="s">
        <v>5446</v>
      </c>
      <c r="C9" t="s">
        <v>21</v>
      </c>
      <c r="D9">
        <v>3</v>
      </c>
    </row>
    <row r="10" spans="1:9" x14ac:dyDescent="0.25">
      <c r="A10" t="s">
        <v>5447</v>
      </c>
    </row>
    <row r="11" spans="1:9" x14ac:dyDescent="0.25">
      <c r="A11" t="s">
        <v>5048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2149</v>
      </c>
      <c r="C12" s="3" t="str">
        <f>HYPERLINK("http://amigo.geneontology.org/amigo/term/GO:0004564","GO:0004564")</f>
        <v>GO:0004564</v>
      </c>
      <c r="D12" t="s">
        <v>404</v>
      </c>
      <c r="E12">
        <v>32</v>
      </c>
      <c r="F12">
        <v>13</v>
      </c>
      <c r="G12" s="4">
        <v>1.69740755645469E-21</v>
      </c>
      <c r="H12" s="4">
        <v>2.5545983724643099E-18</v>
      </c>
      <c r="I12" t="s">
        <v>5448</v>
      </c>
    </row>
    <row r="13" spans="1:9" x14ac:dyDescent="0.25">
      <c r="A13" t="s">
        <v>2204</v>
      </c>
      <c r="C13" s="3" t="str">
        <f>HYPERLINK("http://amigo.geneontology.org/amigo/term/GO:0090599","GO:0090599")</f>
        <v>GO:0090599</v>
      </c>
      <c r="D13" t="s">
        <v>407</v>
      </c>
      <c r="E13">
        <v>32</v>
      </c>
      <c r="F13">
        <v>13</v>
      </c>
      <c r="G13" s="4">
        <v>1.69740755645469E-21</v>
      </c>
      <c r="H13" s="4">
        <v>3.8310488549182404E-18</v>
      </c>
      <c r="I13" t="s">
        <v>5448</v>
      </c>
    </row>
    <row r="14" spans="1:9" x14ac:dyDescent="0.25">
      <c r="A14" t="s">
        <v>5049</v>
      </c>
      <c r="C14" s="3" t="str">
        <f>HYPERLINK("http://amigo.geneontology.org/amigo/term/GO:0004575","GO:0004575")</f>
        <v>GO:0004575</v>
      </c>
      <c r="D14" t="s">
        <v>409</v>
      </c>
      <c r="E14">
        <v>32</v>
      </c>
      <c r="F14">
        <v>13</v>
      </c>
      <c r="G14" s="4">
        <v>1.69740755645469E-21</v>
      </c>
      <c r="H14" s="4">
        <v>7.6637951173929306E-18</v>
      </c>
      <c r="I14" t="s">
        <v>5448</v>
      </c>
    </row>
    <row r="15" spans="1:9" x14ac:dyDescent="0.25">
      <c r="A15" t="s">
        <v>31</v>
      </c>
      <c r="C15" s="3" t="str">
        <f>HYPERLINK("http://amigo.geneontology.org/amigo/term/GO:0015926","GO:0015926")</f>
        <v>GO:0015926</v>
      </c>
      <c r="D15" t="s">
        <v>401</v>
      </c>
      <c r="E15">
        <v>59</v>
      </c>
      <c r="F15">
        <v>14</v>
      </c>
      <c r="G15" s="4">
        <v>3.13391565508447E-19</v>
      </c>
      <c r="H15" s="4">
        <v>3.5350568589352898E-16</v>
      </c>
      <c r="I15" t="s">
        <v>5449</v>
      </c>
    </row>
    <row r="16" spans="1:9" x14ac:dyDescent="0.25">
      <c r="A16" t="s">
        <v>5050</v>
      </c>
      <c r="C16" s="3" t="str">
        <f>HYPERLINK("http://amigo.geneontology.org/amigo/term/GO:0004553","GO:0004553")</f>
        <v>GO:0004553</v>
      </c>
      <c r="D16" t="s">
        <v>174</v>
      </c>
      <c r="E16">
        <v>1509</v>
      </c>
      <c r="F16">
        <v>43</v>
      </c>
      <c r="G16" s="4">
        <v>8.7719819598363198E-18</v>
      </c>
      <c r="H16" s="4">
        <v>7.9210997097322008E-15</v>
      </c>
      <c r="I16" t="s">
        <v>5450</v>
      </c>
    </row>
    <row r="17" spans="1:9" x14ac:dyDescent="0.25">
      <c r="A17" t="s">
        <v>5051</v>
      </c>
      <c r="C17" s="3" t="str">
        <f>HYPERLINK("http://amigo.geneontology.org/amigo/term/GO:0016798","GO:0016798")</f>
        <v>GO:0016798</v>
      </c>
      <c r="D17" t="s">
        <v>177</v>
      </c>
      <c r="E17">
        <v>1691</v>
      </c>
      <c r="F17">
        <v>45</v>
      </c>
      <c r="G17" s="4">
        <v>1.8575617177026899E-17</v>
      </c>
      <c r="H17" s="4">
        <v>1.3968864117124299E-14</v>
      </c>
      <c r="I17" t="s">
        <v>5451</v>
      </c>
    </row>
    <row r="18" spans="1:9" x14ac:dyDescent="0.25">
      <c r="A18" t="s">
        <v>2208</v>
      </c>
      <c r="C18" s="3" t="str">
        <f>HYPERLINK("http://amigo.geneontology.org/amigo/term/GO:0005975","GO:0005975")</f>
        <v>GO:0005975</v>
      </c>
      <c r="D18" t="s">
        <v>171</v>
      </c>
      <c r="E18">
        <v>2990</v>
      </c>
      <c r="F18">
        <v>54</v>
      </c>
      <c r="G18" s="4">
        <v>1.06925034258215E-13</v>
      </c>
      <c r="H18" s="4">
        <v>6.8966647096548798E-11</v>
      </c>
      <c r="I18" t="s">
        <v>5452</v>
      </c>
    </row>
    <row r="19" spans="1:9" x14ac:dyDescent="0.25">
      <c r="A19" t="s">
        <v>2209</v>
      </c>
      <c r="C19" s="3" t="str">
        <f>HYPERLINK("http://amigo.geneontology.org/amigo/term/GO:0006814","GO:0006814")</f>
        <v>GO:0006814</v>
      </c>
      <c r="D19" t="s">
        <v>811</v>
      </c>
      <c r="E19">
        <v>66</v>
      </c>
      <c r="F19">
        <v>11</v>
      </c>
      <c r="G19" s="4">
        <v>1.4280600741159901E-13</v>
      </c>
      <c r="H19" s="4">
        <v>8.0542588180141799E-11</v>
      </c>
      <c r="I19" t="s">
        <v>5453</v>
      </c>
    </row>
    <row r="20" spans="1:9" x14ac:dyDescent="0.25">
      <c r="A20" t="s">
        <v>5454</v>
      </c>
      <c r="C20" s="3" t="str">
        <f>HYPERLINK("http://amigo.geneontology.org/amigo/term/GO:0008509","GO:0008509")</f>
        <v>GO:0008509</v>
      </c>
      <c r="D20" t="s">
        <v>1140</v>
      </c>
      <c r="E20">
        <v>292</v>
      </c>
      <c r="F20">
        <v>16</v>
      </c>
      <c r="G20" s="4">
        <v>1.89607358208177E-11</v>
      </c>
      <c r="H20" s="4">
        <v>9.4993286462296902E-9</v>
      </c>
      <c r="I20" t="s">
        <v>5455</v>
      </c>
    </row>
    <row r="21" spans="1:9" x14ac:dyDescent="0.25">
      <c r="A21" t="s">
        <v>5456</v>
      </c>
      <c r="C21" s="3" t="str">
        <f>HYPERLINK("http://amigo.geneontology.org/amigo/term/GO:0016491","GO:0016491")</f>
        <v>GO:0016491</v>
      </c>
      <c r="D21" t="s">
        <v>315</v>
      </c>
      <c r="E21">
        <v>6975</v>
      </c>
      <c r="F21">
        <v>84</v>
      </c>
      <c r="G21" s="4">
        <v>3.9641148580516997E-11</v>
      </c>
      <c r="H21" s="4">
        <v>1.7878158009813099E-8</v>
      </c>
      <c r="I21" t="s">
        <v>5457</v>
      </c>
    </row>
    <row r="22" spans="1:9" x14ac:dyDescent="0.25">
      <c r="A22" t="s">
        <v>5458</v>
      </c>
      <c r="C22" s="3" t="str">
        <f>HYPERLINK("http://amigo.geneontology.org/amigo/term/GO:0015103","GO:0015103")</f>
        <v>GO:0015103</v>
      </c>
      <c r="D22" t="s">
        <v>1258</v>
      </c>
      <c r="E22">
        <v>149</v>
      </c>
      <c r="F22">
        <v>12</v>
      </c>
      <c r="G22" s="4">
        <v>7.6775455494774101E-11</v>
      </c>
      <c r="H22" s="4">
        <v>3.1477936752857301E-8</v>
      </c>
      <c r="I22" t="s">
        <v>5459</v>
      </c>
    </row>
    <row r="23" spans="1:9" x14ac:dyDescent="0.25">
      <c r="A23" t="s">
        <v>2228</v>
      </c>
      <c r="C23" s="3" t="str">
        <f>HYPERLINK("http://amigo.geneontology.org/amigo/term/GO:0046527","GO:0046527")</f>
        <v>GO:0046527</v>
      </c>
      <c r="D23" t="s">
        <v>234</v>
      </c>
      <c r="E23">
        <v>380</v>
      </c>
      <c r="F23">
        <v>17</v>
      </c>
      <c r="G23" s="4">
        <v>1.05697804591027E-10</v>
      </c>
      <c r="H23" s="4">
        <v>3.9742374526226299E-8</v>
      </c>
      <c r="I23" t="s">
        <v>5460</v>
      </c>
    </row>
    <row r="24" spans="1:9" x14ac:dyDescent="0.25">
      <c r="A24" t="s">
        <v>5461</v>
      </c>
      <c r="C24" s="3" t="str">
        <f>HYPERLINK("http://amigo.geneontology.org/amigo/term/GO:0048046","GO:0048046")</f>
        <v>GO:0048046</v>
      </c>
      <c r="D24" t="s">
        <v>413</v>
      </c>
      <c r="E24">
        <v>357</v>
      </c>
      <c r="F24">
        <v>15</v>
      </c>
      <c r="G24" s="4">
        <v>3.1072043476742501E-9</v>
      </c>
      <c r="H24" s="4">
        <v>1.07819990864296E-6</v>
      </c>
      <c r="I24" t="s">
        <v>5462</v>
      </c>
    </row>
    <row r="25" spans="1:9" x14ac:dyDescent="0.25">
      <c r="A25" t="s">
        <v>2150</v>
      </c>
      <c r="C25" s="3" t="str">
        <f>HYPERLINK("http://amigo.geneontology.org/amigo/term/GO:0009690","GO:0009690")</f>
        <v>GO:0009690</v>
      </c>
      <c r="D25" t="s">
        <v>1568</v>
      </c>
      <c r="E25">
        <v>65</v>
      </c>
      <c r="F25">
        <v>8</v>
      </c>
      <c r="G25" s="4">
        <v>3.87891667863965E-9</v>
      </c>
      <c r="H25" s="4">
        <v>1.24901117052196E-6</v>
      </c>
      <c r="I25" t="s">
        <v>5463</v>
      </c>
    </row>
    <row r="26" spans="1:9" x14ac:dyDescent="0.25">
      <c r="A26" t="s">
        <v>2151</v>
      </c>
      <c r="C26" s="3" t="str">
        <f>HYPERLINK("http://amigo.geneontology.org/amigo/term/GO:0016762","GO:0016762")</f>
        <v>GO:0016762</v>
      </c>
      <c r="D26" t="s">
        <v>332</v>
      </c>
      <c r="E26">
        <v>142</v>
      </c>
      <c r="F26">
        <v>10</v>
      </c>
      <c r="G26" s="4">
        <v>1.08008348242215E-8</v>
      </c>
      <c r="H26" s="4">
        <v>3.25105128209067E-6</v>
      </c>
      <c r="I26" t="s">
        <v>5464</v>
      </c>
    </row>
    <row r="27" spans="1:9" x14ac:dyDescent="0.25">
      <c r="A27" t="s">
        <v>5465</v>
      </c>
      <c r="C27" s="3" t="str">
        <f>HYPERLINK("http://amigo.geneontology.org/amigo/term/GO:0055114","GO:0055114")</f>
        <v>GO:0055114</v>
      </c>
      <c r="D27" t="s">
        <v>454</v>
      </c>
      <c r="E27">
        <v>6698</v>
      </c>
      <c r="F27">
        <v>75</v>
      </c>
      <c r="G27" s="4">
        <v>1.2532403452654E-8</v>
      </c>
      <c r="H27" s="4">
        <v>3.53413777364844E-6</v>
      </c>
      <c r="I27" t="s">
        <v>5466</v>
      </c>
    </row>
    <row r="28" spans="1:9" x14ac:dyDescent="0.25">
      <c r="A28" t="s">
        <v>34</v>
      </c>
      <c r="C28" s="3" t="str">
        <f>HYPERLINK("http://amigo.geneontology.org/amigo/term/GO:0010411","GO:0010411")</f>
        <v>GO:0010411</v>
      </c>
      <c r="D28" t="s">
        <v>416</v>
      </c>
      <c r="E28">
        <v>147</v>
      </c>
      <c r="F28">
        <v>10</v>
      </c>
      <c r="G28" s="4">
        <v>1.50557315097113E-8</v>
      </c>
      <c r="H28" s="4">
        <v>3.9897688500735104E-6</v>
      </c>
      <c r="I28" t="s">
        <v>5464</v>
      </c>
    </row>
    <row r="29" spans="1:9" x14ac:dyDescent="0.25">
      <c r="A29" t="s">
        <v>5467</v>
      </c>
      <c r="C29" s="3" t="str">
        <f>HYPERLINK("http://amigo.geneontology.org/amigo/term/GO:0034754","GO:0034754")</f>
        <v>GO:0034754</v>
      </c>
      <c r="D29" t="s">
        <v>5342</v>
      </c>
      <c r="E29">
        <v>111</v>
      </c>
      <c r="F29">
        <v>9</v>
      </c>
      <c r="G29" s="4">
        <v>1.72443069551563E-8</v>
      </c>
      <c r="H29" s="4">
        <v>4.31107673878908E-6</v>
      </c>
      <c r="I29" t="s">
        <v>5468</v>
      </c>
    </row>
    <row r="30" spans="1:9" x14ac:dyDescent="0.25">
      <c r="A30" t="s">
        <v>5469</v>
      </c>
      <c r="C30" s="3" t="str">
        <f>HYPERLINK("http://amigo.geneontology.org/amigo/term/GO:0006811","GO:0006811")</f>
        <v>GO:0006811</v>
      </c>
      <c r="D30" t="s">
        <v>299</v>
      </c>
      <c r="E30">
        <v>1855</v>
      </c>
      <c r="F30">
        <v>32</v>
      </c>
      <c r="G30" s="4">
        <v>4.1017431020409197E-8</v>
      </c>
      <c r="H30" s="4">
        <v>9.7211311518369804E-6</v>
      </c>
      <c r="I30" t="s">
        <v>5470</v>
      </c>
    </row>
    <row r="31" spans="1:9" x14ac:dyDescent="0.25">
      <c r="A31" t="s">
        <v>5062</v>
      </c>
      <c r="C31" s="3" t="str">
        <f>HYPERLINK("http://amigo.geneontology.org/amigo/term/GO:0019139","GO:0019139")</f>
        <v>GO:0019139</v>
      </c>
      <c r="D31" t="s">
        <v>1345</v>
      </c>
      <c r="E31">
        <v>36</v>
      </c>
      <c r="F31">
        <v>6</v>
      </c>
      <c r="G31" s="4">
        <v>5.4860005521066798E-8</v>
      </c>
      <c r="H31" s="4">
        <v>1.2343501242240001E-5</v>
      </c>
      <c r="I31" t="s">
        <v>5471</v>
      </c>
    </row>
    <row r="32" spans="1:9" x14ac:dyDescent="0.25">
      <c r="A32" t="s">
        <v>307</v>
      </c>
      <c r="C32" s="3" t="str">
        <f>HYPERLINK("http://amigo.geneontology.org/amigo/term/GO:0072330","GO:0072330")</f>
        <v>GO:0072330</v>
      </c>
      <c r="D32" t="s">
        <v>302</v>
      </c>
      <c r="E32">
        <v>897</v>
      </c>
      <c r="F32">
        <v>21</v>
      </c>
      <c r="G32" s="4">
        <v>7.2859702775071195E-8</v>
      </c>
      <c r="H32" s="4">
        <v>1.5664836096640301E-5</v>
      </c>
      <c r="I32" t="s">
        <v>5472</v>
      </c>
    </row>
    <row r="33" spans="1:9" x14ac:dyDescent="0.25">
      <c r="A33" t="s">
        <v>5067</v>
      </c>
      <c r="C33" s="3" t="str">
        <f>HYPERLINK("http://amigo.geneontology.org/amigo/term/GO:0016645","GO:0016645")</f>
        <v>GO:0016645</v>
      </c>
      <c r="D33" t="s">
        <v>5260</v>
      </c>
      <c r="E33">
        <v>64</v>
      </c>
      <c r="F33">
        <v>7</v>
      </c>
      <c r="G33" s="4">
        <v>8.5705008268516606E-8</v>
      </c>
      <c r="H33" s="4">
        <v>1.7569526695045902E-5</v>
      </c>
      <c r="I33" t="s">
        <v>5473</v>
      </c>
    </row>
    <row r="34" spans="1:9" x14ac:dyDescent="0.25">
      <c r="A34" t="s">
        <v>5474</v>
      </c>
      <c r="C34" s="3" t="str">
        <f>HYPERLINK("http://amigo.geneontology.org/amigo/term/GO:0005506","GO:0005506")</f>
        <v>GO:0005506</v>
      </c>
      <c r="D34" t="s">
        <v>1214</v>
      </c>
      <c r="E34">
        <v>1961</v>
      </c>
      <c r="F34">
        <v>32</v>
      </c>
      <c r="G34" s="4">
        <v>1.42264214221874E-7</v>
      </c>
      <c r="H34" s="4">
        <v>2.78837859874874E-5</v>
      </c>
      <c r="I34" t="s">
        <v>5475</v>
      </c>
    </row>
    <row r="35" spans="1:9" x14ac:dyDescent="0.25">
      <c r="A35" t="s">
        <v>2279</v>
      </c>
      <c r="C35" s="3" t="str">
        <f>HYPERLINK("http://amigo.geneontology.org/amigo/term/GO:0042972","GO:0042972")</f>
        <v>GO:0042972</v>
      </c>
      <c r="D35" t="s">
        <v>618</v>
      </c>
      <c r="E35">
        <v>3</v>
      </c>
      <c r="F35">
        <v>3</v>
      </c>
      <c r="G35" s="4">
        <v>1.8224294517097401E-7</v>
      </c>
      <c r="H35" s="4">
        <v>3.4261673692143199E-5</v>
      </c>
      <c r="I35" t="s">
        <v>619</v>
      </c>
    </row>
    <row r="36" spans="1:9" x14ac:dyDescent="0.25">
      <c r="A36" t="s">
        <v>5069</v>
      </c>
      <c r="C36" s="3" t="str">
        <f>HYPERLINK("http://amigo.geneontology.org/amigo/term/GO:0006633","GO:0006633")</f>
        <v>GO:0006633</v>
      </c>
      <c r="D36" t="s">
        <v>287</v>
      </c>
      <c r="E36">
        <v>444</v>
      </c>
      <c r="F36">
        <v>14</v>
      </c>
      <c r="G36" s="4">
        <v>3.5251985272764299E-7</v>
      </c>
      <c r="H36" s="4">
        <v>6.34535734909757E-5</v>
      </c>
      <c r="I36" t="s">
        <v>5476</v>
      </c>
    </row>
    <row r="37" spans="1:9" x14ac:dyDescent="0.25">
      <c r="A37" t="s">
        <v>2286</v>
      </c>
      <c r="C37" s="3" t="str">
        <f>HYPERLINK("http://amigo.geneontology.org/amigo/term/GO:0006631","GO:0006631")</f>
        <v>GO:0006631</v>
      </c>
      <c r="D37" t="s">
        <v>335</v>
      </c>
      <c r="E37">
        <v>648</v>
      </c>
      <c r="F37">
        <v>16</v>
      </c>
      <c r="G37" s="4">
        <v>1.3235958950131E-6</v>
      </c>
      <c r="H37" s="4">
        <v>2.2898208983726699E-4</v>
      </c>
      <c r="I37" t="s">
        <v>5477</v>
      </c>
    </row>
    <row r="38" spans="1:9" x14ac:dyDescent="0.25">
      <c r="A38" t="s">
        <v>5478</v>
      </c>
      <c r="C38" s="3" t="str">
        <f>HYPERLINK("http://amigo.geneontology.org/amigo/term/GO:0005254","GO:0005254")</f>
        <v>GO:0005254</v>
      </c>
      <c r="D38" t="s">
        <v>4391</v>
      </c>
      <c r="E38">
        <v>34</v>
      </c>
      <c r="F38">
        <v>5</v>
      </c>
      <c r="G38" s="4">
        <v>1.4068349197136199E-6</v>
      </c>
      <c r="H38" s="4">
        <v>2.2650042207389301E-4</v>
      </c>
      <c r="I38" t="s">
        <v>5479</v>
      </c>
    </row>
    <row r="39" spans="1:9" x14ac:dyDescent="0.25">
      <c r="A39" t="s">
        <v>5071</v>
      </c>
      <c r="C39" s="3" t="str">
        <f>HYPERLINK("http://amigo.geneontology.org/amigo/term/GO:0005247","GO:0005247")</f>
        <v>GO:0005247</v>
      </c>
      <c r="D39" t="s">
        <v>4393</v>
      </c>
      <c r="E39">
        <v>34</v>
      </c>
      <c r="F39">
        <v>5</v>
      </c>
      <c r="G39" s="4">
        <v>1.4068349197136199E-6</v>
      </c>
      <c r="H39" s="4">
        <v>2.3494143159217499E-4</v>
      </c>
      <c r="I39" t="s">
        <v>5479</v>
      </c>
    </row>
    <row r="40" spans="1:9" x14ac:dyDescent="0.25">
      <c r="A40" t="s">
        <v>4213</v>
      </c>
      <c r="C40" s="3" t="str">
        <f>HYPERLINK("http://amigo.geneontology.org/amigo/term/GO:0016787","GO:0016787")</f>
        <v>GO:0016787</v>
      </c>
      <c r="D40" t="s">
        <v>98</v>
      </c>
      <c r="E40">
        <v>9814</v>
      </c>
      <c r="F40">
        <v>91</v>
      </c>
      <c r="G40" s="4">
        <v>1.58517944269229E-6</v>
      </c>
      <c r="H40" s="4">
        <v>2.4570281361730503E-4</v>
      </c>
      <c r="I40" t="s">
        <v>5480</v>
      </c>
    </row>
    <row r="41" spans="1:9" x14ac:dyDescent="0.25">
      <c r="A41" t="s">
        <v>2297</v>
      </c>
      <c r="C41" s="3" t="str">
        <f>HYPERLINK("http://amigo.geneontology.org/amigo/term/GO:0055085","GO:0055085")</f>
        <v>GO:0055085</v>
      </c>
      <c r="D41" t="s">
        <v>240</v>
      </c>
      <c r="E41">
        <v>2653</v>
      </c>
      <c r="F41">
        <v>36</v>
      </c>
      <c r="G41" s="4">
        <v>1.8263823522083899E-6</v>
      </c>
      <c r="H41" s="4">
        <v>2.7395735283125902E-4</v>
      </c>
      <c r="I41" t="s">
        <v>5481</v>
      </c>
    </row>
    <row r="42" spans="1:9" x14ac:dyDescent="0.25">
      <c r="A42" t="s">
        <v>2301</v>
      </c>
      <c r="C42" s="3" t="str">
        <f>HYPERLINK("http://amigo.geneontology.org/amigo/term/GO:0006820","GO:0006820")</f>
        <v>GO:0006820</v>
      </c>
      <c r="D42" t="s">
        <v>5482</v>
      </c>
      <c r="E42">
        <v>514</v>
      </c>
      <c r="F42">
        <v>14</v>
      </c>
      <c r="G42" s="4">
        <v>1.9688741336899998E-6</v>
      </c>
      <c r="H42" s="4">
        <v>2.8548674938505103E-4</v>
      </c>
      <c r="I42" t="s">
        <v>5483</v>
      </c>
    </row>
    <row r="43" spans="1:9" x14ac:dyDescent="0.25">
      <c r="A43" t="s">
        <v>5073</v>
      </c>
      <c r="C43" s="3" t="str">
        <f>HYPERLINK("http://amigo.geneontology.org/amigo/term/GO:0015698","GO:0015698")</f>
        <v>GO:0015698</v>
      </c>
      <c r="D43" t="s">
        <v>5484</v>
      </c>
      <c r="E43">
        <v>199</v>
      </c>
      <c r="F43">
        <v>9</v>
      </c>
      <c r="G43" s="4">
        <v>2.4691061706761402E-6</v>
      </c>
      <c r="H43" s="4">
        <v>3.4814397006533598E-4</v>
      </c>
      <c r="I43" t="s">
        <v>5485</v>
      </c>
    </row>
    <row r="44" spans="1:9" x14ac:dyDescent="0.25">
      <c r="A44" t="s">
        <v>5486</v>
      </c>
      <c r="C44" s="3" t="str">
        <f>HYPERLINK("http://amigo.geneontology.org/amigo/term/GO:0044042","GO:0044042")</f>
        <v>GO:0044042</v>
      </c>
      <c r="D44" t="s">
        <v>365</v>
      </c>
      <c r="E44">
        <v>620</v>
      </c>
      <c r="F44">
        <v>15</v>
      </c>
      <c r="G44" s="4">
        <v>3.6098926770709898E-6</v>
      </c>
      <c r="H44" s="4">
        <v>4.7650583337337102E-4</v>
      </c>
      <c r="I44" t="s">
        <v>5487</v>
      </c>
    </row>
    <row r="45" spans="1:9" x14ac:dyDescent="0.25">
      <c r="A45" t="s">
        <v>5488</v>
      </c>
      <c r="C45" s="3" t="str">
        <f>HYPERLINK("http://amigo.geneontology.org/amigo/term/GO:0006073","GO:0006073")</f>
        <v>GO:0006073</v>
      </c>
      <c r="D45" t="s">
        <v>368</v>
      </c>
      <c r="E45">
        <v>620</v>
      </c>
      <c r="F45">
        <v>15</v>
      </c>
      <c r="G45" s="4">
        <v>3.6098926770709898E-6</v>
      </c>
      <c r="H45" s="4">
        <v>4.9094540408165497E-4</v>
      </c>
      <c r="I45" t="s">
        <v>5487</v>
      </c>
    </row>
    <row r="46" spans="1:9" x14ac:dyDescent="0.25">
      <c r="A46" t="s">
        <v>5077</v>
      </c>
      <c r="C46" s="3" t="str">
        <f>HYPERLINK("http://amigo.geneontology.org/amigo/term/GO:0006821","GO:0006821")</f>
        <v>GO:0006821</v>
      </c>
      <c r="D46" t="s">
        <v>4457</v>
      </c>
      <c r="E46">
        <v>41</v>
      </c>
      <c r="F46">
        <v>5</v>
      </c>
      <c r="G46" s="4">
        <v>3.66692971642444E-6</v>
      </c>
      <c r="H46" s="4">
        <v>4.7303393341875303E-4</v>
      </c>
      <c r="I46" t="s">
        <v>5479</v>
      </c>
    </row>
    <row r="47" spans="1:9" x14ac:dyDescent="0.25">
      <c r="A47" t="s">
        <v>5489</v>
      </c>
      <c r="C47" s="3" t="str">
        <f>HYPERLINK("http://amigo.geneontology.org/amigo/term/GO:0010410","GO:0010410")</f>
        <v>GO:0010410</v>
      </c>
      <c r="D47" t="s">
        <v>624</v>
      </c>
      <c r="E47">
        <v>267</v>
      </c>
      <c r="F47">
        <v>10</v>
      </c>
      <c r="G47" s="4">
        <v>3.7106650339567199E-6</v>
      </c>
      <c r="H47" s="4">
        <v>4.6383312924458999E-4</v>
      </c>
      <c r="I47" t="s">
        <v>5464</v>
      </c>
    </row>
    <row r="48" spans="1:9" x14ac:dyDescent="0.25">
      <c r="A48" t="s">
        <v>5079</v>
      </c>
      <c r="C48" s="3" t="str">
        <f>HYPERLINK("http://amigo.geneontology.org/amigo/term/GO:0015108","GO:0015108")</f>
        <v>GO:0015108</v>
      </c>
      <c r="D48" t="s">
        <v>1520</v>
      </c>
      <c r="E48">
        <v>42</v>
      </c>
      <c r="F48">
        <v>5</v>
      </c>
      <c r="G48" s="4">
        <v>4.1430617283706704E-6</v>
      </c>
      <c r="H48" s="4">
        <v>5.0545353086122195E-4</v>
      </c>
      <c r="I48" t="s">
        <v>5479</v>
      </c>
    </row>
    <row r="49" spans="1:9" x14ac:dyDescent="0.25">
      <c r="A49" t="s">
        <v>5490</v>
      </c>
      <c r="C49" s="3" t="str">
        <f>HYPERLINK("http://amigo.geneontology.org/amigo/term/GO:0010383","GO:0010383")</f>
        <v>GO:0010383</v>
      </c>
      <c r="D49" t="s">
        <v>638</v>
      </c>
      <c r="E49">
        <v>272</v>
      </c>
      <c r="F49">
        <v>10</v>
      </c>
      <c r="G49" s="4">
        <v>4.3703383266846201E-6</v>
      </c>
      <c r="H49" s="4">
        <v>5.1569992254878497E-4</v>
      </c>
      <c r="I49" t="s">
        <v>5464</v>
      </c>
    </row>
    <row r="50" spans="1:9" x14ac:dyDescent="0.25">
      <c r="A50" t="s">
        <v>2152</v>
      </c>
      <c r="C50" s="3" t="str">
        <f>HYPERLINK("http://amigo.geneontology.org/amigo/term/GO:0016769","GO:0016769")</f>
        <v>GO:0016769</v>
      </c>
      <c r="D50" t="s">
        <v>5491</v>
      </c>
      <c r="E50">
        <v>120</v>
      </c>
      <c r="F50">
        <v>7</v>
      </c>
      <c r="G50" s="4">
        <v>6.2459368860856799E-6</v>
      </c>
      <c r="H50" s="4">
        <v>6.9954493124159596E-4</v>
      </c>
      <c r="I50" t="s">
        <v>5492</v>
      </c>
    </row>
    <row r="51" spans="1:9" x14ac:dyDescent="0.25">
      <c r="A51" t="s">
        <v>2345</v>
      </c>
      <c r="C51" s="3" t="str">
        <f>HYPERLINK("http://amigo.geneontology.org/amigo/term/GO:0008483","GO:0008483")</f>
        <v>GO:0008483</v>
      </c>
      <c r="D51" t="s">
        <v>5493</v>
      </c>
      <c r="E51">
        <v>120</v>
      </c>
      <c r="F51">
        <v>7</v>
      </c>
      <c r="G51" s="4">
        <v>6.2459368860856799E-6</v>
      </c>
      <c r="H51" s="4">
        <v>7.1828274189985296E-4</v>
      </c>
      <c r="I51" t="s">
        <v>5492</v>
      </c>
    </row>
    <row r="52" spans="1:9" x14ac:dyDescent="0.25">
      <c r="A52" t="s">
        <v>5494</v>
      </c>
      <c r="C52" s="3" t="str">
        <f>HYPERLINK("http://amigo.geneontology.org/amigo/term/GO:0008610","GO:0008610")</f>
        <v>GO:0008610</v>
      </c>
      <c r="D52" t="s">
        <v>564</v>
      </c>
      <c r="E52">
        <v>1402</v>
      </c>
      <c r="F52">
        <v>23</v>
      </c>
      <c r="G52" s="4">
        <v>7.6333992240691401E-6</v>
      </c>
      <c r="H52" s="4">
        <v>8.3967391464760601E-4</v>
      </c>
      <c r="I52" t="s">
        <v>5495</v>
      </c>
    </row>
    <row r="53" spans="1:9" x14ac:dyDescent="0.25">
      <c r="A53" t="s">
        <v>5496</v>
      </c>
      <c r="C53" s="3" t="str">
        <f>HYPERLINK("http://amigo.geneontology.org/amigo/term/GO:0015318","GO:0015318")</f>
        <v>GO:0015318</v>
      </c>
      <c r="D53" t="s">
        <v>231</v>
      </c>
      <c r="E53">
        <v>1323</v>
      </c>
      <c r="F53">
        <v>22</v>
      </c>
      <c r="G53" s="4">
        <v>9.7673400665468808E-6</v>
      </c>
      <c r="H53">
        <v>1.0451053871205101E-3</v>
      </c>
      <c r="I53" t="s">
        <v>5497</v>
      </c>
    </row>
    <row r="54" spans="1:9" x14ac:dyDescent="0.25">
      <c r="A54" t="s">
        <v>5498</v>
      </c>
      <c r="C54" s="3" t="str">
        <f>HYPERLINK("http://amigo.geneontology.org/amigo/term/GO:0044262","GO:0044262")</f>
        <v>GO:0044262</v>
      </c>
      <c r="D54" t="s">
        <v>237</v>
      </c>
      <c r="E54">
        <v>1040</v>
      </c>
      <c r="F54">
        <v>19</v>
      </c>
      <c r="G54" s="4">
        <v>1.0949184310308301E-5</v>
      </c>
      <c r="H54">
        <v>1.1496643525823701E-3</v>
      </c>
      <c r="I54" t="s">
        <v>5499</v>
      </c>
    </row>
    <row r="55" spans="1:9" x14ac:dyDescent="0.25">
      <c r="A55" t="s">
        <v>5500</v>
      </c>
      <c r="C55" s="3" t="str">
        <f>HYPERLINK("http://amigo.geneontology.org/amigo/term/GO:0030001","GO:0030001")</f>
        <v>GO:0030001</v>
      </c>
      <c r="D55" t="s">
        <v>326</v>
      </c>
      <c r="E55">
        <v>860</v>
      </c>
      <c r="F55">
        <v>17</v>
      </c>
      <c r="G55" s="4">
        <v>1.1722653287330799E-5</v>
      </c>
      <c r="H55">
        <v>1.19571063530774E-3</v>
      </c>
      <c r="I55" t="s">
        <v>5501</v>
      </c>
    </row>
    <row r="56" spans="1:9" x14ac:dyDescent="0.25">
      <c r="A56" t="s">
        <v>5086</v>
      </c>
      <c r="C56" s="3" t="str">
        <f>HYPERLINK("http://amigo.geneontology.org/amigo/term/GO:0005618","GO:0005618")</f>
        <v>GO:0005618</v>
      </c>
      <c r="D56" t="s">
        <v>218</v>
      </c>
      <c r="E56">
        <v>446</v>
      </c>
      <c r="F56">
        <v>12</v>
      </c>
      <c r="G56" s="4">
        <v>1.19131968621074E-5</v>
      </c>
      <c r="H56">
        <v>1.1913196862107401E-3</v>
      </c>
      <c r="I56" t="s">
        <v>5502</v>
      </c>
    </row>
    <row r="57" spans="1:9" x14ac:dyDescent="0.25">
      <c r="A57" t="s">
        <v>2355</v>
      </c>
      <c r="C57" s="3" t="str">
        <f>HYPERLINK("http://amigo.geneontology.org/amigo/term/GO:0019439","GO:0019439")</f>
        <v>GO:0019439</v>
      </c>
      <c r="D57" t="s">
        <v>5092</v>
      </c>
      <c r="E57">
        <v>775</v>
      </c>
      <c r="F57">
        <v>16</v>
      </c>
      <c r="G57" s="4">
        <v>1.2466270990424499E-5</v>
      </c>
      <c r="H57">
        <v>1.2216945570615999E-3</v>
      </c>
      <c r="I57" t="s">
        <v>5503</v>
      </c>
    </row>
    <row r="58" spans="1:9" x14ac:dyDescent="0.25">
      <c r="A58" t="s">
        <v>2370</v>
      </c>
      <c r="C58" s="3" t="str">
        <f>HYPERLINK("http://amigo.geneontology.org/amigo/term/GO:0032787","GO:0032787")</f>
        <v>GO:0032787</v>
      </c>
      <c r="D58" t="s">
        <v>532</v>
      </c>
      <c r="E58">
        <v>1450</v>
      </c>
      <c r="F58">
        <v>23</v>
      </c>
      <c r="G58" s="4">
        <v>1.29944990084779E-5</v>
      </c>
      <c r="H58">
        <v>1.2474719048138801E-3</v>
      </c>
      <c r="I58" t="s">
        <v>5504</v>
      </c>
    </row>
    <row r="59" spans="1:9" x14ac:dyDescent="0.25">
      <c r="A59" t="s">
        <v>2372</v>
      </c>
      <c r="C59" s="3" t="str">
        <f>HYPERLINK("http://amigo.geneontology.org/amigo/term/GO:0030312","GO:0030312")</f>
        <v>GO:0030312</v>
      </c>
      <c r="D59" t="s">
        <v>209</v>
      </c>
      <c r="E59">
        <v>450</v>
      </c>
      <c r="F59">
        <v>12</v>
      </c>
      <c r="G59" s="4">
        <v>1.30120747362466E-5</v>
      </c>
      <c r="H59">
        <v>1.2231350252071801E-3</v>
      </c>
      <c r="I59" t="s">
        <v>5502</v>
      </c>
    </row>
    <row r="60" spans="1:9" x14ac:dyDescent="0.25">
      <c r="A60" t="s">
        <v>5505</v>
      </c>
      <c r="C60" s="3" t="str">
        <f>HYPERLINK("http://amigo.geneontology.org/amigo/term/GO:0042445","GO:0042445")</f>
        <v>GO:0042445</v>
      </c>
      <c r="D60" t="s">
        <v>982</v>
      </c>
      <c r="E60">
        <v>311</v>
      </c>
      <c r="F60">
        <v>10</v>
      </c>
      <c r="G60" s="4">
        <v>1.40206206094111E-5</v>
      </c>
      <c r="H60">
        <v>1.2898970960658199E-3</v>
      </c>
      <c r="I60" t="s">
        <v>5506</v>
      </c>
    </row>
    <row r="61" spans="1:9" x14ac:dyDescent="0.25">
      <c r="A61" t="s">
        <v>2376</v>
      </c>
      <c r="C61" s="3" t="str">
        <f>HYPERLINK("http://amigo.geneontology.org/amigo/term/GO:0070982","GO:0070982")</f>
        <v>GO:0070982</v>
      </c>
      <c r="D61" t="s">
        <v>5065</v>
      </c>
      <c r="E61">
        <v>9</v>
      </c>
      <c r="F61">
        <v>3</v>
      </c>
      <c r="G61" s="4">
        <v>1.4923970809336501E-5</v>
      </c>
      <c r="H61">
        <v>1.31330943122161E-3</v>
      </c>
      <c r="I61" t="s">
        <v>5066</v>
      </c>
    </row>
    <row r="62" spans="1:9" x14ac:dyDescent="0.25">
      <c r="A62" t="s">
        <v>5507</v>
      </c>
      <c r="C62" s="3" t="str">
        <f>HYPERLINK("http://amigo.geneontology.org/amigo/term/GO:0070981","GO:0070981")</f>
        <v>GO:0070981</v>
      </c>
      <c r="D62" t="s">
        <v>5068</v>
      </c>
      <c r="E62">
        <v>9</v>
      </c>
      <c r="F62">
        <v>3</v>
      </c>
      <c r="G62" s="4">
        <v>1.4923970809336501E-5</v>
      </c>
      <c r="H62">
        <v>1.3431573728402901E-3</v>
      </c>
      <c r="I62" t="s">
        <v>5066</v>
      </c>
    </row>
    <row r="63" spans="1:9" x14ac:dyDescent="0.25">
      <c r="A63" t="s">
        <v>5508</v>
      </c>
      <c r="C63" s="3" t="str">
        <f>HYPERLINK("http://amigo.geneontology.org/amigo/term/GO:0010817","GO:0010817")</f>
        <v>GO:0010817</v>
      </c>
      <c r="D63" t="s">
        <v>1112</v>
      </c>
      <c r="E63">
        <v>384</v>
      </c>
      <c r="F63">
        <v>11</v>
      </c>
      <c r="G63" s="4">
        <v>1.5428179195156501E-5</v>
      </c>
      <c r="H63">
        <v>1.32682341078346E-3</v>
      </c>
      <c r="I63" t="s">
        <v>5509</v>
      </c>
    </row>
    <row r="64" spans="1:9" x14ac:dyDescent="0.25">
      <c r="A64" t="s">
        <v>5510</v>
      </c>
      <c r="C64" s="3" t="str">
        <f>HYPERLINK("http://amigo.geneontology.org/amigo/term/GO:1901361","GO:1901361")</f>
        <v>GO:1901361</v>
      </c>
      <c r="D64" t="s">
        <v>5100</v>
      </c>
      <c r="E64">
        <v>792</v>
      </c>
      <c r="F64">
        <v>16</v>
      </c>
      <c r="G64" s="4">
        <v>1.6223059129619499E-5</v>
      </c>
      <c r="H64">
        <v>1.3789600260176601E-3</v>
      </c>
      <c r="I64" t="s">
        <v>5503</v>
      </c>
    </row>
    <row r="65" spans="1:9" x14ac:dyDescent="0.25">
      <c r="A65" t="s">
        <v>5088</v>
      </c>
      <c r="C65" s="3" t="str">
        <f>HYPERLINK("http://amigo.geneontology.org/amigo/term/GO:0015075","GO:0015075")</f>
        <v>GO:0015075</v>
      </c>
      <c r="D65" t="s">
        <v>246</v>
      </c>
      <c r="E65">
        <v>1384</v>
      </c>
      <c r="F65">
        <v>22</v>
      </c>
      <c r="G65" s="4">
        <v>1.93601904094388E-5</v>
      </c>
      <c r="H65">
        <v>1.6068958039834201E-3</v>
      </c>
      <c r="I65" t="s">
        <v>5497</v>
      </c>
    </row>
    <row r="66" spans="1:9" x14ac:dyDescent="0.25">
      <c r="A66" t="s">
        <v>2393</v>
      </c>
      <c r="C66" s="3" t="str">
        <f>HYPERLINK("http://amigo.geneontology.org/amigo/term/GO:0006629","GO:0006629")</f>
        <v>GO:0006629</v>
      </c>
      <c r="D66" t="s">
        <v>182</v>
      </c>
      <c r="E66">
        <v>2608</v>
      </c>
      <c r="F66">
        <v>33</v>
      </c>
      <c r="G66" s="4">
        <v>2.0324103033981599E-5</v>
      </c>
      <c r="H66">
        <v>1.6665764487864901E-3</v>
      </c>
      <c r="I66" t="s">
        <v>5511</v>
      </c>
    </row>
    <row r="67" spans="1:9" x14ac:dyDescent="0.25">
      <c r="A67" t="s">
        <v>5512</v>
      </c>
      <c r="C67" s="3" t="str">
        <f>HYPERLINK("http://amigo.geneontology.org/amigo/term/GO:0042546","GO:0042546")</f>
        <v>GO:0042546</v>
      </c>
      <c r="D67" t="s">
        <v>648</v>
      </c>
      <c r="E67">
        <v>399</v>
      </c>
      <c r="F67">
        <v>11</v>
      </c>
      <c r="G67" s="4">
        <v>2.1925677837456199E-5</v>
      </c>
      <c r="H67">
        <v>1.7540542269964901E-3</v>
      </c>
      <c r="I67" t="s">
        <v>5513</v>
      </c>
    </row>
    <row r="68" spans="1:9" x14ac:dyDescent="0.25">
      <c r="A68" t="s">
        <v>5514</v>
      </c>
      <c r="C68" s="3" t="str">
        <f>HYPERLINK("http://amigo.geneontology.org/amigo/term/GO:0006810","GO:0006810")</f>
        <v>GO:0006810</v>
      </c>
      <c r="D68" t="s">
        <v>318</v>
      </c>
      <c r="E68">
        <v>6357</v>
      </c>
      <c r="F68">
        <v>62</v>
      </c>
      <c r="G68" s="4">
        <v>2.28789673846395E-5</v>
      </c>
      <c r="H68">
        <v>1.80743842338652E-3</v>
      </c>
      <c r="I68" t="s">
        <v>5515</v>
      </c>
    </row>
    <row r="69" spans="1:9" x14ac:dyDescent="0.25">
      <c r="A69" t="s">
        <v>5516</v>
      </c>
      <c r="C69" s="3" t="str">
        <f>HYPERLINK("http://amigo.geneontology.org/amigo/term/GO:0006308","GO:0006308")</f>
        <v>GO:0006308</v>
      </c>
      <c r="D69" t="s">
        <v>5060</v>
      </c>
      <c r="E69">
        <v>62</v>
      </c>
      <c r="F69">
        <v>5</v>
      </c>
      <c r="G69" s="4">
        <v>2.8708680600423401E-5</v>
      </c>
      <c r="H69">
        <v>2.2105684062326001E-3</v>
      </c>
      <c r="I69" t="s">
        <v>5061</v>
      </c>
    </row>
    <row r="70" spans="1:9" x14ac:dyDescent="0.25">
      <c r="A70" t="s">
        <v>2404</v>
      </c>
      <c r="C70" s="3" t="str">
        <f>HYPERLINK("http://amigo.geneontology.org/amigo/term/GO:0044264","GO:0044264")</f>
        <v>GO:0044264</v>
      </c>
      <c r="D70" t="s">
        <v>469</v>
      </c>
      <c r="E70">
        <v>745</v>
      </c>
      <c r="F70">
        <v>15</v>
      </c>
      <c r="G70" s="4">
        <v>3.0818911905169603E-5</v>
      </c>
      <c r="H70">
        <v>2.3422373047928798E-3</v>
      </c>
      <c r="I70" t="s">
        <v>5487</v>
      </c>
    </row>
    <row r="71" spans="1:9" x14ac:dyDescent="0.25">
      <c r="A71" t="s">
        <v>5517</v>
      </c>
      <c r="C71" s="3" t="str">
        <f>HYPERLINK("http://amigo.geneontology.org/amigo/term/GO:0046394","GO:0046394")</f>
        <v>GO:0046394</v>
      </c>
      <c r="D71" t="s">
        <v>682</v>
      </c>
      <c r="E71">
        <v>1534</v>
      </c>
      <c r="F71">
        <v>23</v>
      </c>
      <c r="G71" s="4">
        <v>3.1032622397935101E-5</v>
      </c>
      <c r="H71">
        <v>2.3274466798451298E-3</v>
      </c>
      <c r="I71" t="s">
        <v>5518</v>
      </c>
    </row>
    <row r="72" spans="1:9" x14ac:dyDescent="0.25">
      <c r="A72" t="s">
        <v>2413</v>
      </c>
      <c r="C72" s="3" t="str">
        <f>HYPERLINK("http://amigo.geneontology.org/amigo/term/GO:0016053","GO:0016053")</f>
        <v>GO:0016053</v>
      </c>
      <c r="D72" t="s">
        <v>685</v>
      </c>
      <c r="E72">
        <v>1536</v>
      </c>
      <c r="F72">
        <v>23</v>
      </c>
      <c r="G72" s="4">
        <v>3.16545966108997E-5</v>
      </c>
      <c r="H72">
        <v>2.3424401492065702E-3</v>
      </c>
      <c r="I72" t="s">
        <v>5518</v>
      </c>
    </row>
    <row r="73" spans="1:9" x14ac:dyDescent="0.25">
      <c r="A73" t="s">
        <v>534</v>
      </c>
      <c r="C73" s="3" t="str">
        <f>HYPERLINK("http://amigo.geneontology.org/amigo/term/GO:0015185","GO:0015185")</f>
        <v>GO:0015185</v>
      </c>
      <c r="D73" t="s">
        <v>5519</v>
      </c>
      <c r="E73">
        <v>2</v>
      </c>
      <c r="F73">
        <v>2</v>
      </c>
      <c r="G73" s="4">
        <v>3.2217292398218099E-5</v>
      </c>
      <c r="H73">
        <v>2.2229931754770499E-3</v>
      </c>
      <c r="I73" t="s">
        <v>5520</v>
      </c>
    </row>
    <row r="74" spans="1:9" x14ac:dyDescent="0.25">
      <c r="A74" t="s">
        <v>5096</v>
      </c>
      <c r="C74" s="3" t="str">
        <f>HYPERLINK("http://amigo.geneontology.org/amigo/term/GO:0016248","GO:0016248")</f>
        <v>GO:0016248</v>
      </c>
      <c r="D74" t="s">
        <v>5521</v>
      </c>
      <c r="E74">
        <v>2</v>
      </c>
      <c r="F74">
        <v>2</v>
      </c>
      <c r="G74" s="4">
        <v>3.2217292398218099E-5</v>
      </c>
      <c r="H74">
        <v>2.2552104678752699E-3</v>
      </c>
      <c r="I74" t="s">
        <v>5522</v>
      </c>
    </row>
    <row r="75" spans="1:9" x14ac:dyDescent="0.25">
      <c r="A75" t="s">
        <v>5523</v>
      </c>
      <c r="C75" s="3" t="str">
        <f>HYPERLINK("http://amigo.geneontology.org/amigo/term/GO:0099106","GO:0099106")</f>
        <v>GO:0099106</v>
      </c>
      <c r="D75" t="s">
        <v>5524</v>
      </c>
      <c r="E75">
        <v>2</v>
      </c>
      <c r="F75">
        <v>2</v>
      </c>
      <c r="G75" s="4">
        <v>3.2217292398218099E-5</v>
      </c>
      <c r="H75">
        <v>2.2874277602734899E-3</v>
      </c>
      <c r="I75" t="s">
        <v>5522</v>
      </c>
    </row>
    <row r="76" spans="1:9" x14ac:dyDescent="0.25">
      <c r="A76" t="s">
        <v>5099</v>
      </c>
      <c r="C76" s="3" t="str">
        <f>HYPERLINK("http://amigo.geneontology.org/amigo/term/GO:0008200","GO:0008200")</f>
        <v>GO:0008200</v>
      </c>
      <c r="D76" t="s">
        <v>5525</v>
      </c>
      <c r="E76">
        <v>2</v>
      </c>
      <c r="F76">
        <v>2</v>
      </c>
      <c r="G76" s="4">
        <v>3.2217292398218099E-5</v>
      </c>
      <c r="H76">
        <v>2.3196450526716999E-3</v>
      </c>
      <c r="I76" t="s">
        <v>5522</v>
      </c>
    </row>
    <row r="77" spans="1:9" x14ac:dyDescent="0.25">
      <c r="A77" t="s">
        <v>5526</v>
      </c>
      <c r="C77" s="3" t="str">
        <f>HYPERLINK("http://amigo.geneontology.org/amigo/term/GO:0044255","GO:0044255")</f>
        <v>GO:0044255</v>
      </c>
      <c r="D77" t="s">
        <v>258</v>
      </c>
      <c r="E77">
        <v>1757</v>
      </c>
      <c r="F77">
        <v>25</v>
      </c>
      <c r="G77" s="4">
        <v>3.3180410026768497E-5</v>
      </c>
      <c r="H77">
        <v>2.2562678818202602E-3</v>
      </c>
      <c r="I77" t="s">
        <v>5527</v>
      </c>
    </row>
    <row r="78" spans="1:9" x14ac:dyDescent="0.25">
      <c r="A78" t="s">
        <v>5106</v>
      </c>
      <c r="C78" s="3" t="str">
        <f>HYPERLINK("http://amigo.geneontology.org/amigo/term/GO:0044283","GO:0044283")</f>
        <v>GO:0044283</v>
      </c>
      <c r="D78" t="s">
        <v>888</v>
      </c>
      <c r="E78">
        <v>1875</v>
      </c>
      <c r="F78">
        <v>26</v>
      </c>
      <c r="G78" s="4">
        <v>3.55030391896087E-5</v>
      </c>
      <c r="H78">
        <v>2.3787036257037798E-3</v>
      </c>
      <c r="I78" t="s">
        <v>5528</v>
      </c>
    </row>
    <row r="79" spans="1:9" x14ac:dyDescent="0.25">
      <c r="A79" t="s">
        <v>5529</v>
      </c>
      <c r="C79" s="3" t="str">
        <f>HYPERLINK("http://amigo.geneontology.org/amigo/term/GO:0004084","GO:0004084")</f>
        <v>GO:0004084</v>
      </c>
      <c r="D79" t="s">
        <v>1025</v>
      </c>
      <c r="E79">
        <v>12</v>
      </c>
      <c r="F79">
        <v>3</v>
      </c>
      <c r="G79" s="4">
        <v>3.8593290448271501E-5</v>
      </c>
      <c r="H79">
        <v>2.5471571695859199E-3</v>
      </c>
      <c r="I79" t="s">
        <v>1026</v>
      </c>
    </row>
    <row r="80" spans="1:9" x14ac:dyDescent="0.25">
      <c r="A80" t="s">
        <v>5530</v>
      </c>
      <c r="C80" s="3" t="str">
        <f>HYPERLINK("http://amigo.geneontology.org/amigo/term/GO:0051234","GO:0051234")</f>
        <v>GO:0051234</v>
      </c>
      <c r="D80" t="s">
        <v>344</v>
      </c>
      <c r="E80">
        <v>6485</v>
      </c>
      <c r="F80">
        <v>62</v>
      </c>
      <c r="G80" s="4">
        <v>4.0974464946139699E-5</v>
      </c>
      <c r="H80">
        <v>2.6633402214990801E-3</v>
      </c>
      <c r="I80" t="s">
        <v>5515</v>
      </c>
    </row>
    <row r="81" spans="1:9" x14ac:dyDescent="0.25">
      <c r="A81" t="s">
        <v>5531</v>
      </c>
      <c r="C81" s="3" t="str">
        <f>HYPERLINK("http://amigo.geneontology.org/amigo/term/GO:0005253","GO:0005253")</f>
        <v>GO:0005253</v>
      </c>
      <c r="D81" t="s">
        <v>5532</v>
      </c>
      <c r="E81">
        <v>69</v>
      </c>
      <c r="F81">
        <v>5</v>
      </c>
      <c r="G81" s="4">
        <v>4.82607259842496E-5</v>
      </c>
      <c r="H81">
        <v>3.0404257370077199E-3</v>
      </c>
      <c r="I81" t="s">
        <v>5479</v>
      </c>
    </row>
    <row r="82" spans="1:9" x14ac:dyDescent="0.25">
      <c r="A82" t="s">
        <v>2458</v>
      </c>
      <c r="C82" s="3" t="str">
        <f>HYPERLINK("http://amigo.geneontology.org/amigo/term/GO:0008308","GO:0008308")</f>
        <v>GO:0008308</v>
      </c>
      <c r="D82" t="s">
        <v>5533</v>
      </c>
      <c r="E82">
        <v>69</v>
      </c>
      <c r="F82">
        <v>5</v>
      </c>
      <c r="G82" s="4">
        <v>4.82607259842496E-5</v>
      </c>
      <c r="H82">
        <v>3.0886864629919701E-3</v>
      </c>
      <c r="I82" t="s">
        <v>5479</v>
      </c>
    </row>
    <row r="83" spans="1:9" x14ac:dyDescent="0.25">
      <c r="A83" t="s">
        <v>5534</v>
      </c>
      <c r="C83" s="3" t="str">
        <f>HYPERLINK("http://amigo.geneontology.org/amigo/term/GO:0005452","GO:0005452")</f>
        <v>GO:0005452</v>
      </c>
      <c r="D83" t="s">
        <v>5535</v>
      </c>
      <c r="E83">
        <v>13</v>
      </c>
      <c r="F83">
        <v>3</v>
      </c>
      <c r="G83" s="4">
        <v>4.9959434817336E-5</v>
      </c>
      <c r="H83">
        <v>3.0974849586748298E-3</v>
      </c>
      <c r="I83" t="s">
        <v>5536</v>
      </c>
    </row>
    <row r="84" spans="1:9" x14ac:dyDescent="0.25">
      <c r="A84" t="s">
        <v>2464</v>
      </c>
      <c r="C84" s="3" t="str">
        <f>HYPERLINK("http://amigo.geneontology.org/amigo/term/GO:0009308","GO:0009308")</f>
        <v>GO:0009308</v>
      </c>
      <c r="D84" t="s">
        <v>5537</v>
      </c>
      <c r="E84">
        <v>298</v>
      </c>
      <c r="F84">
        <v>9</v>
      </c>
      <c r="G84" s="4">
        <v>6.0800594240701297E-5</v>
      </c>
      <c r="H84">
        <v>3.7088362486827802E-3</v>
      </c>
      <c r="I84" t="s">
        <v>5468</v>
      </c>
    </row>
    <row r="85" spans="1:9" x14ac:dyDescent="0.25">
      <c r="A85" t="s">
        <v>5538</v>
      </c>
      <c r="C85" s="3" t="str">
        <f>HYPERLINK("http://amigo.geneontology.org/amigo/term/GO:0015672","GO:0015672")</f>
        <v>GO:0015672</v>
      </c>
      <c r="D85" t="s">
        <v>427</v>
      </c>
      <c r="E85">
        <v>537</v>
      </c>
      <c r="F85">
        <v>12</v>
      </c>
      <c r="G85" s="4">
        <v>7.1606305686247696E-5</v>
      </c>
      <c r="H85">
        <v>4.3679846468611099E-3</v>
      </c>
      <c r="I85" t="s">
        <v>5539</v>
      </c>
    </row>
    <row r="86" spans="1:9" x14ac:dyDescent="0.25">
      <c r="A86" t="s">
        <v>5540</v>
      </c>
      <c r="C86" s="3" t="str">
        <f>HYPERLINK("http://amigo.geneontology.org/amigo/term/GO:0022832","GO:0022832")</f>
        <v>GO:0022832</v>
      </c>
      <c r="D86" t="s">
        <v>373</v>
      </c>
      <c r="E86">
        <v>124</v>
      </c>
      <c r="F86">
        <v>6</v>
      </c>
      <c r="G86" s="4">
        <v>8.2563933293334206E-5</v>
      </c>
      <c r="H86">
        <v>4.8712720643067199E-3</v>
      </c>
      <c r="I86" t="s">
        <v>5541</v>
      </c>
    </row>
    <row r="87" spans="1:9" x14ac:dyDescent="0.25">
      <c r="A87" t="s">
        <v>5111</v>
      </c>
      <c r="C87" s="3" t="str">
        <f>HYPERLINK("http://amigo.geneontology.org/amigo/term/GO:0005244","GO:0005244")</f>
        <v>GO:0005244</v>
      </c>
      <c r="D87" t="s">
        <v>376</v>
      </c>
      <c r="E87">
        <v>124</v>
      </c>
      <c r="F87">
        <v>6</v>
      </c>
      <c r="G87" s="4">
        <v>8.2563933293334206E-5</v>
      </c>
      <c r="H87">
        <v>4.9538359976000496E-3</v>
      </c>
      <c r="I87" t="s">
        <v>5541</v>
      </c>
    </row>
    <row r="88" spans="1:9" x14ac:dyDescent="0.25">
      <c r="A88" t="s">
        <v>5542</v>
      </c>
      <c r="C88" s="3" t="str">
        <f>HYPERLINK("http://amigo.geneontology.org/amigo/term/GO:0016021","GO:0016021")</f>
        <v>GO:0016021</v>
      </c>
      <c r="D88" t="s">
        <v>203</v>
      </c>
      <c r="E88">
        <v>7362</v>
      </c>
      <c r="F88">
        <v>67</v>
      </c>
      <c r="G88" s="4">
        <v>8.5786590378941299E-5</v>
      </c>
      <c r="H88">
        <v>4.9756222419785898E-3</v>
      </c>
      <c r="I88" t="s">
        <v>5543</v>
      </c>
    </row>
    <row r="89" spans="1:9" x14ac:dyDescent="0.25">
      <c r="A89" t="s">
        <v>5544</v>
      </c>
      <c r="C89" s="3" t="str">
        <f>HYPERLINK("http://amigo.geneontology.org/amigo/term/GO:0044036","GO:0044036")</f>
        <v>GO:0044036</v>
      </c>
      <c r="D89" t="s">
        <v>828</v>
      </c>
      <c r="E89">
        <v>388</v>
      </c>
      <c r="F89">
        <v>10</v>
      </c>
      <c r="G89" s="4">
        <v>8.9748242746248296E-5</v>
      </c>
      <c r="H89">
        <v>5.1156498365361501E-3</v>
      </c>
      <c r="I89" t="s">
        <v>5464</v>
      </c>
    </row>
    <row r="90" spans="1:9" x14ac:dyDescent="0.25">
      <c r="A90" t="s">
        <v>5113</v>
      </c>
      <c r="C90" s="3" t="str">
        <f>HYPERLINK("http://amigo.geneontology.org/amigo/term/GO:0016682","GO:0016682")</f>
        <v>GO:0016682</v>
      </c>
      <c r="D90" t="s">
        <v>864</v>
      </c>
      <c r="E90">
        <v>126</v>
      </c>
      <c r="F90">
        <v>6</v>
      </c>
      <c r="G90" s="4">
        <v>9.0200073759260795E-5</v>
      </c>
      <c r="H90">
        <v>5.1414042042778598E-3</v>
      </c>
      <c r="I90" t="s">
        <v>5545</v>
      </c>
    </row>
    <row r="91" spans="1:9" x14ac:dyDescent="0.25">
      <c r="A91" t="s">
        <v>2484</v>
      </c>
      <c r="C91" s="3" t="str">
        <f>HYPERLINK("http://amigo.geneontology.org/amigo/term/GO:0004126","GO:0004126")</f>
        <v>GO:0004126</v>
      </c>
      <c r="D91" t="s">
        <v>5546</v>
      </c>
      <c r="E91">
        <v>3</v>
      </c>
      <c r="F91">
        <v>2</v>
      </c>
      <c r="G91" s="4">
        <v>9.6287391300327801E-5</v>
      </c>
      <c r="H91">
        <v>5.1032317389173697E-3</v>
      </c>
      <c r="I91" t="s">
        <v>5547</v>
      </c>
    </row>
    <row r="92" spans="1:9" x14ac:dyDescent="0.25">
      <c r="A92" t="s">
        <v>4437</v>
      </c>
      <c r="C92" s="3" t="str">
        <f>HYPERLINK("http://amigo.geneontology.org/amigo/term/GO:0046087","GO:0046087")</f>
        <v>GO:0046087</v>
      </c>
      <c r="D92" t="s">
        <v>5548</v>
      </c>
      <c r="E92">
        <v>3</v>
      </c>
      <c r="F92">
        <v>2</v>
      </c>
      <c r="G92" s="4">
        <v>9.6287391300327801E-5</v>
      </c>
      <c r="H92">
        <v>5.1032317389173697E-3</v>
      </c>
      <c r="I92" t="s">
        <v>5547</v>
      </c>
    </row>
    <row r="93" spans="1:9" x14ac:dyDescent="0.25">
      <c r="A93" t="s">
        <v>2490</v>
      </c>
      <c r="C93" s="3" t="str">
        <f>HYPERLINK("http://amigo.geneontology.org/amigo/term/GO:0046135","GO:0046135")</f>
        <v>GO:0046135</v>
      </c>
      <c r="D93" t="s">
        <v>5549</v>
      </c>
      <c r="E93">
        <v>3</v>
      </c>
      <c r="F93">
        <v>2</v>
      </c>
      <c r="G93" s="4">
        <v>9.6287391300327801E-5</v>
      </c>
      <c r="H93">
        <v>5.1995191302177E-3</v>
      </c>
      <c r="I93" t="s">
        <v>5547</v>
      </c>
    </row>
    <row r="94" spans="1:9" x14ac:dyDescent="0.25">
      <c r="A94" t="s">
        <v>2497</v>
      </c>
      <c r="C94" s="3" t="str">
        <f>HYPERLINK("http://amigo.geneontology.org/amigo/term/GO:0046133","GO:0046133")</f>
        <v>GO:0046133</v>
      </c>
      <c r="D94" t="s">
        <v>5550</v>
      </c>
      <c r="E94">
        <v>3</v>
      </c>
      <c r="F94">
        <v>2</v>
      </c>
      <c r="G94" s="4">
        <v>9.6287391300327801E-5</v>
      </c>
      <c r="H94">
        <v>5.2958065215180303E-3</v>
      </c>
      <c r="I94" t="s">
        <v>5547</v>
      </c>
    </row>
    <row r="95" spans="1:9" x14ac:dyDescent="0.25">
      <c r="A95" t="s">
        <v>5117</v>
      </c>
      <c r="C95" s="3" t="str">
        <f>HYPERLINK("http://amigo.geneontology.org/amigo/term/GO:0006216","GO:0006216")</f>
        <v>GO:0006216</v>
      </c>
      <c r="D95" t="s">
        <v>5551</v>
      </c>
      <c r="E95">
        <v>3</v>
      </c>
      <c r="F95">
        <v>2</v>
      </c>
      <c r="G95" s="4">
        <v>9.6287391300327801E-5</v>
      </c>
      <c r="H95">
        <v>5.2958065215180303E-3</v>
      </c>
      <c r="I95" t="s">
        <v>5547</v>
      </c>
    </row>
    <row r="96" spans="1:9" x14ac:dyDescent="0.25">
      <c r="A96" t="s">
        <v>5119</v>
      </c>
      <c r="C96" s="3" t="str">
        <f>HYPERLINK("http://amigo.geneontology.org/amigo/term/GO:0009972","GO:0009972")</f>
        <v>GO:0009972</v>
      </c>
      <c r="D96" t="s">
        <v>5552</v>
      </c>
      <c r="E96">
        <v>3</v>
      </c>
      <c r="F96">
        <v>2</v>
      </c>
      <c r="G96" s="4">
        <v>9.6287391300327801E-5</v>
      </c>
      <c r="H96">
        <v>5.3920939128183597E-3</v>
      </c>
      <c r="I96" t="s">
        <v>5547</v>
      </c>
    </row>
    <row r="97" spans="1:9" x14ac:dyDescent="0.25">
      <c r="A97" t="s">
        <v>5122</v>
      </c>
      <c r="C97" s="3" t="str">
        <f>HYPERLINK("http://amigo.geneontology.org/amigo/term/GO:0031224","GO:0031224")</f>
        <v>GO:0031224</v>
      </c>
      <c r="D97" t="s">
        <v>191</v>
      </c>
      <c r="E97">
        <v>7435</v>
      </c>
      <c r="F97">
        <v>67</v>
      </c>
      <c r="G97" s="4">
        <v>1.14422894340647E-4</v>
      </c>
      <c r="H97">
        <v>5.9499905057136902E-3</v>
      </c>
      <c r="I97" t="s">
        <v>5543</v>
      </c>
    </row>
    <row r="98" spans="1:9" x14ac:dyDescent="0.25">
      <c r="A98" t="s">
        <v>5124</v>
      </c>
      <c r="C98" s="3" t="str">
        <f>HYPERLINK("http://amigo.geneontology.org/amigo/term/GO:0055075","GO:0055075")</f>
        <v>GO:0055075</v>
      </c>
      <c r="D98" t="s">
        <v>5553</v>
      </c>
      <c r="E98">
        <v>17</v>
      </c>
      <c r="F98">
        <v>3</v>
      </c>
      <c r="G98" s="4">
        <v>1.16792489076469E-4</v>
      </c>
      <c r="H98">
        <v>5.95641694289993E-3</v>
      </c>
      <c r="I98" t="s">
        <v>5554</v>
      </c>
    </row>
    <row r="99" spans="1:9" x14ac:dyDescent="0.25">
      <c r="A99" t="s">
        <v>2508</v>
      </c>
      <c r="C99" s="3" t="str">
        <f>HYPERLINK("http://amigo.geneontology.org/amigo/term/GO:0046271","GO:0046271")</f>
        <v>GO:0046271</v>
      </c>
      <c r="D99" t="s">
        <v>1009</v>
      </c>
      <c r="E99">
        <v>85</v>
      </c>
      <c r="F99">
        <v>5</v>
      </c>
      <c r="G99" s="4">
        <v>1.3075867223452599E-4</v>
      </c>
      <c r="H99">
        <v>6.5379336117262999E-3</v>
      </c>
      <c r="I99" t="s">
        <v>5555</v>
      </c>
    </row>
    <row r="100" spans="1:9" x14ac:dyDescent="0.25">
      <c r="A100" t="s">
        <v>2511</v>
      </c>
      <c r="C100" s="3" t="str">
        <f>HYPERLINK("http://amigo.geneontology.org/amigo/term/GO:0046274","GO:0046274")</f>
        <v>GO:0046274</v>
      </c>
      <c r="D100" t="s">
        <v>1012</v>
      </c>
      <c r="E100">
        <v>85</v>
      </c>
      <c r="F100">
        <v>5</v>
      </c>
      <c r="G100" s="4">
        <v>1.3075867223452599E-4</v>
      </c>
      <c r="H100">
        <v>6.5379336117262999E-3</v>
      </c>
      <c r="I100" t="s">
        <v>5555</v>
      </c>
    </row>
    <row r="101" spans="1:9" x14ac:dyDescent="0.25">
      <c r="A101" t="s">
        <v>5556</v>
      </c>
      <c r="C101" s="3" t="str">
        <f>HYPERLINK("http://amigo.geneontology.org/amigo/term/GO:0052716","GO:0052716")</f>
        <v>GO:0052716</v>
      </c>
      <c r="D101" t="s">
        <v>1014</v>
      </c>
      <c r="E101">
        <v>85</v>
      </c>
      <c r="F101">
        <v>5</v>
      </c>
      <c r="G101" s="4">
        <v>1.3075867223452599E-4</v>
      </c>
      <c r="H101">
        <v>6.6686922839608196E-3</v>
      </c>
      <c r="I101" t="s">
        <v>5555</v>
      </c>
    </row>
    <row r="102" spans="1:9" x14ac:dyDescent="0.25">
      <c r="A102" t="s">
        <v>758</v>
      </c>
      <c r="C102" s="3" t="str">
        <f>HYPERLINK("http://amigo.geneontology.org/amigo/term/GO:0065008","GO:0065008")</f>
        <v>GO:0065008</v>
      </c>
      <c r="D102" t="s">
        <v>5557</v>
      </c>
      <c r="E102">
        <v>1374</v>
      </c>
      <c r="F102">
        <v>20</v>
      </c>
      <c r="G102" s="4">
        <v>1.49130756954977E-4</v>
      </c>
      <c r="H102">
        <v>7.30740709079387E-3</v>
      </c>
      <c r="I102" t="s">
        <v>5558</v>
      </c>
    </row>
    <row r="103" spans="1:9" x14ac:dyDescent="0.25">
      <c r="A103" t="s">
        <v>763</v>
      </c>
      <c r="C103" s="3" t="str">
        <f>HYPERLINK("http://amigo.geneontology.org/amigo/term/GO:0043269","GO:0043269")</f>
        <v>GO:0043269</v>
      </c>
      <c r="D103" t="s">
        <v>1155</v>
      </c>
      <c r="E103">
        <v>140</v>
      </c>
      <c r="F103">
        <v>6</v>
      </c>
      <c r="G103" s="4">
        <v>1.60746878971417E-4</v>
      </c>
      <c r="H103">
        <v>7.8765970695994295E-3</v>
      </c>
      <c r="I103" t="s">
        <v>5559</v>
      </c>
    </row>
    <row r="104" spans="1:9" x14ac:dyDescent="0.25">
      <c r="A104" t="s">
        <v>766</v>
      </c>
      <c r="C104" s="3" t="str">
        <f>HYPERLINK("http://amigo.geneontology.org/amigo/term/GO:0005976","GO:0005976")</f>
        <v>GO:0005976</v>
      </c>
      <c r="D104" t="s">
        <v>312</v>
      </c>
      <c r="E104">
        <v>876</v>
      </c>
      <c r="F104">
        <v>15</v>
      </c>
      <c r="G104" s="4">
        <v>1.8325454073377101E-4</v>
      </c>
      <c r="H104">
        <v>8.7962179552210206E-3</v>
      </c>
      <c r="I104" t="s">
        <v>5487</v>
      </c>
    </row>
    <row r="105" spans="1:9" x14ac:dyDescent="0.25">
      <c r="A105" t="s">
        <v>5560</v>
      </c>
      <c r="C105" s="3" t="str">
        <f>HYPERLINK("http://amigo.geneontology.org/amigo/term/GO:0071944","GO:0071944")</f>
        <v>GO:0071944</v>
      </c>
      <c r="D105" t="s">
        <v>255</v>
      </c>
      <c r="E105">
        <v>1732</v>
      </c>
      <c r="F105">
        <v>23</v>
      </c>
      <c r="G105" s="4">
        <v>1.8553892173490499E-4</v>
      </c>
      <c r="H105">
        <v>8.9058682432754492E-3</v>
      </c>
      <c r="I105" t="s">
        <v>5561</v>
      </c>
    </row>
    <row r="106" spans="1:9" x14ac:dyDescent="0.25">
      <c r="A106" t="s">
        <v>5562</v>
      </c>
      <c r="C106" s="3" t="str">
        <f>HYPERLINK("http://amigo.geneontology.org/amigo/term/GO:0015385","GO:0015385")</f>
        <v>GO:0015385</v>
      </c>
      <c r="D106" t="s">
        <v>5563</v>
      </c>
      <c r="E106">
        <v>20</v>
      </c>
      <c r="F106">
        <v>3</v>
      </c>
      <c r="G106" s="4">
        <v>1.9333349534177201E-4</v>
      </c>
      <c r="H106">
        <v>8.8933407857215204E-3</v>
      </c>
      <c r="I106" t="s">
        <v>5554</v>
      </c>
    </row>
    <row r="107" spans="1:9" x14ac:dyDescent="0.25">
      <c r="A107" t="s">
        <v>2153</v>
      </c>
      <c r="C107" s="3" t="str">
        <f>HYPERLINK("http://amigo.geneontology.org/amigo/term/GO:0004066","GO:0004066")</f>
        <v>GO:0004066</v>
      </c>
      <c r="D107" t="s">
        <v>5076</v>
      </c>
      <c r="E107">
        <v>20</v>
      </c>
      <c r="F107">
        <v>3</v>
      </c>
      <c r="G107" s="4">
        <v>1.9333349534177201E-4</v>
      </c>
      <c r="H107">
        <v>8.8933407857215204E-3</v>
      </c>
      <c r="I107" t="s">
        <v>5066</v>
      </c>
    </row>
    <row r="108" spans="1:9" x14ac:dyDescent="0.25">
      <c r="A108" t="s">
        <v>2528</v>
      </c>
      <c r="C108" s="3" t="str">
        <f>HYPERLINK("http://amigo.geneontology.org/amigo/term/GO:0006528","GO:0006528")</f>
        <v>GO:0006528</v>
      </c>
      <c r="D108" t="s">
        <v>5078</v>
      </c>
      <c r="E108">
        <v>20</v>
      </c>
      <c r="F108">
        <v>3</v>
      </c>
      <c r="G108" s="4">
        <v>1.9333349534177201E-4</v>
      </c>
      <c r="H108">
        <v>9.0866742810633006E-3</v>
      </c>
      <c r="I108" t="s">
        <v>5066</v>
      </c>
    </row>
    <row r="109" spans="1:9" x14ac:dyDescent="0.25">
      <c r="A109" t="s">
        <v>5564</v>
      </c>
      <c r="C109" s="3" t="str">
        <f>HYPERLINK("http://amigo.geneontology.org/amigo/term/GO:0006529","GO:0006529")</f>
        <v>GO:0006529</v>
      </c>
      <c r="D109" t="s">
        <v>5080</v>
      </c>
      <c r="E109">
        <v>20</v>
      </c>
      <c r="F109">
        <v>3</v>
      </c>
      <c r="G109" s="4">
        <v>1.9333349534177201E-4</v>
      </c>
      <c r="H109">
        <v>9.0866742810633006E-3</v>
      </c>
      <c r="I109" t="s">
        <v>5066</v>
      </c>
    </row>
    <row r="110" spans="1:9" x14ac:dyDescent="0.25">
      <c r="A110" t="s">
        <v>5565</v>
      </c>
      <c r="C110" s="3" t="str">
        <f>HYPERLINK("http://amigo.geneontology.org/amigo/term/GO:0051049","GO:0051049")</f>
        <v>GO:0051049</v>
      </c>
      <c r="D110" t="s">
        <v>1230</v>
      </c>
      <c r="E110">
        <v>145</v>
      </c>
      <c r="F110">
        <v>6</v>
      </c>
      <c r="G110" s="4">
        <v>1.9449504958038899E-4</v>
      </c>
      <c r="H110">
        <v>8.7522772311175098E-3</v>
      </c>
      <c r="I110" t="s">
        <v>5559</v>
      </c>
    </row>
    <row r="111" spans="1:9" x14ac:dyDescent="0.25">
      <c r="A111" t="s">
        <v>5133</v>
      </c>
      <c r="C111" s="3" t="str">
        <f>HYPERLINK("http://amigo.geneontology.org/amigo/term/GO:0009808","GO:0009808")</f>
        <v>GO:0009808</v>
      </c>
      <c r="D111" t="s">
        <v>1093</v>
      </c>
      <c r="E111">
        <v>93</v>
      </c>
      <c r="F111">
        <v>5</v>
      </c>
      <c r="G111" s="4">
        <v>1.9962367243796299E-4</v>
      </c>
      <c r="H111">
        <v>8.9830652597083695E-3</v>
      </c>
      <c r="I111" t="s">
        <v>5555</v>
      </c>
    </row>
    <row r="112" spans="1:9" x14ac:dyDescent="0.25">
      <c r="A112" t="s">
        <v>5134</v>
      </c>
      <c r="C112" s="3" t="str">
        <f>HYPERLINK("http://amigo.geneontology.org/amigo/term/GO:0016679","GO:0016679")</f>
        <v>GO:0016679</v>
      </c>
      <c r="D112" t="s">
        <v>1062</v>
      </c>
      <c r="E112">
        <v>147</v>
      </c>
      <c r="F112">
        <v>6</v>
      </c>
      <c r="G112" s="4">
        <v>2.09461768378616E-4</v>
      </c>
      <c r="H112">
        <v>9.2163178086591101E-3</v>
      </c>
      <c r="I112" t="s">
        <v>5545</v>
      </c>
    </row>
    <row r="113" spans="1:9" x14ac:dyDescent="0.25">
      <c r="A113" t="s">
        <v>2542</v>
      </c>
      <c r="C113" s="3" t="str">
        <f>HYPERLINK("http://amigo.geneontology.org/amigo/term/GO:0019752","GO:0019752")</f>
        <v>GO:0019752</v>
      </c>
      <c r="D113" t="s">
        <v>4275</v>
      </c>
      <c r="E113">
        <v>2833</v>
      </c>
      <c r="F113">
        <v>32</v>
      </c>
      <c r="G113" s="4">
        <v>2.1676032094706499E-4</v>
      </c>
      <c r="H113">
        <v>9.5374541216708599E-3</v>
      </c>
      <c r="I113" t="s">
        <v>5566</v>
      </c>
    </row>
    <row r="114" spans="1:9" x14ac:dyDescent="0.25">
      <c r="A114" t="s">
        <v>5135</v>
      </c>
      <c r="C114" s="3" t="str">
        <f>HYPERLINK("http://amigo.geneontology.org/amigo/term/GO:0022838","GO:0022838")</f>
        <v>GO:0022838</v>
      </c>
      <c r="D114" t="s">
        <v>398</v>
      </c>
      <c r="E114">
        <v>284</v>
      </c>
      <c r="F114">
        <v>8</v>
      </c>
      <c r="G114" s="4">
        <v>2.4832260166830701E-4</v>
      </c>
      <c r="H114">
        <v>1.06778718717372E-2</v>
      </c>
      <c r="I114" t="s">
        <v>5567</v>
      </c>
    </row>
    <row r="115" spans="1:9" x14ac:dyDescent="0.25">
      <c r="A115" t="s">
        <v>2549</v>
      </c>
      <c r="C115" s="3" t="str">
        <f>HYPERLINK("http://amigo.geneontology.org/amigo/term/GO:0044070","GO:0044070")</f>
        <v>GO:0044070</v>
      </c>
      <c r="D115" t="s">
        <v>5568</v>
      </c>
      <c r="E115">
        <v>55</v>
      </c>
      <c r="F115">
        <v>4</v>
      </c>
      <c r="G115" s="4">
        <v>2.7893203061563499E-4</v>
      </c>
      <c r="H115">
        <v>1.19940773164723E-2</v>
      </c>
      <c r="I115" t="s">
        <v>5569</v>
      </c>
    </row>
    <row r="116" spans="1:9" x14ac:dyDescent="0.25">
      <c r="A116" t="s">
        <v>2558</v>
      </c>
      <c r="C116" s="3" t="str">
        <f>HYPERLINK("http://amigo.geneontology.org/amigo/term/GO:0022803","GO:0022803")</f>
        <v>GO:0022803</v>
      </c>
      <c r="D116" t="s">
        <v>390</v>
      </c>
      <c r="E116">
        <v>293</v>
      </c>
      <c r="F116">
        <v>8</v>
      </c>
      <c r="G116" s="4">
        <v>3.0594024983585799E-4</v>
      </c>
      <c r="H116">
        <v>1.2849490493106E-2</v>
      </c>
      <c r="I116" t="s">
        <v>5567</v>
      </c>
    </row>
    <row r="117" spans="1:9" x14ac:dyDescent="0.25">
      <c r="A117" t="s">
        <v>5570</v>
      </c>
      <c r="C117" s="3" t="str">
        <f>HYPERLINK("http://amigo.geneontology.org/amigo/term/GO:0015267","GO:0015267")</f>
        <v>GO:0015267</v>
      </c>
      <c r="D117" t="s">
        <v>393</v>
      </c>
      <c r="E117">
        <v>293</v>
      </c>
      <c r="F117">
        <v>8</v>
      </c>
      <c r="G117" s="4">
        <v>3.0594024983585799E-4</v>
      </c>
      <c r="H117">
        <v>1.31554307429419E-2</v>
      </c>
      <c r="I117" t="s">
        <v>5567</v>
      </c>
    </row>
    <row r="118" spans="1:9" x14ac:dyDescent="0.25">
      <c r="A118" t="s">
        <v>5138</v>
      </c>
      <c r="C118" s="3" t="str">
        <f>HYPERLINK("http://amigo.geneontology.org/amigo/term/GO:0043436","GO:0043436")</f>
        <v>GO:0043436</v>
      </c>
      <c r="D118" t="s">
        <v>4300</v>
      </c>
      <c r="E118">
        <v>2895</v>
      </c>
      <c r="F118">
        <v>32</v>
      </c>
      <c r="G118" s="4">
        <v>3.1538713950490799E-4</v>
      </c>
      <c r="H118">
        <v>1.32462598592061E-2</v>
      </c>
      <c r="I118" t="s">
        <v>5566</v>
      </c>
    </row>
    <row r="119" spans="1:9" x14ac:dyDescent="0.25">
      <c r="A119" t="s">
        <v>2576</v>
      </c>
      <c r="C119" s="3" t="str">
        <f>HYPERLINK("http://amigo.geneontology.org/amigo/term/GO:0005326","GO:0005326")</f>
        <v>GO:0005326</v>
      </c>
      <c r="D119" t="s">
        <v>5571</v>
      </c>
      <c r="E119">
        <v>5</v>
      </c>
      <c r="F119">
        <v>2</v>
      </c>
      <c r="G119" s="4">
        <v>3.1854346999855902E-4</v>
      </c>
      <c r="H119">
        <v>1.3060282269940901E-2</v>
      </c>
      <c r="I119" t="s">
        <v>5520</v>
      </c>
    </row>
    <row r="120" spans="1:9" x14ac:dyDescent="0.25">
      <c r="A120" t="s">
        <v>866</v>
      </c>
      <c r="C120" s="3" t="str">
        <f>HYPERLINK("http://amigo.geneontology.org/amigo/term/GO:0016247","GO:0016247")</f>
        <v>GO:0016247</v>
      </c>
      <c r="D120" t="s">
        <v>5572</v>
      </c>
      <c r="E120">
        <v>5</v>
      </c>
      <c r="F120">
        <v>2</v>
      </c>
      <c r="G120" s="4">
        <v>3.1854346999855902E-4</v>
      </c>
      <c r="H120">
        <v>1.3060282269940901E-2</v>
      </c>
      <c r="I120" t="s">
        <v>5522</v>
      </c>
    </row>
    <row r="121" spans="1:9" x14ac:dyDescent="0.25">
      <c r="A121" t="s">
        <v>5573</v>
      </c>
      <c r="C121" s="3" t="str">
        <f>HYPERLINK("http://amigo.geneontology.org/amigo/term/GO:0044281","GO:0044281")</f>
        <v>GO:0044281</v>
      </c>
      <c r="D121" t="s">
        <v>4410</v>
      </c>
      <c r="E121">
        <v>4478</v>
      </c>
      <c r="F121">
        <v>44</v>
      </c>
      <c r="G121" s="4">
        <v>3.2931822555398201E-4</v>
      </c>
      <c r="H121">
        <v>1.35020472477132E-2</v>
      </c>
      <c r="I121" t="s">
        <v>5574</v>
      </c>
    </row>
    <row r="122" spans="1:9" x14ac:dyDescent="0.25">
      <c r="A122" t="s">
        <v>5575</v>
      </c>
      <c r="C122" s="3" t="str">
        <f>HYPERLINK("http://amigo.geneontology.org/amigo/term/GO:0032879","GO:0032879")</f>
        <v>GO:0032879</v>
      </c>
      <c r="D122" t="s">
        <v>1375</v>
      </c>
      <c r="E122">
        <v>160</v>
      </c>
      <c r="F122">
        <v>6</v>
      </c>
      <c r="G122" s="4">
        <v>3.30222525396119E-4</v>
      </c>
      <c r="H122">
        <v>1.3208901015844699E-2</v>
      </c>
      <c r="I122" t="s">
        <v>5559</v>
      </c>
    </row>
    <row r="123" spans="1:9" x14ac:dyDescent="0.25">
      <c r="A123" t="s">
        <v>5140</v>
      </c>
      <c r="C123" s="3" t="str">
        <f>HYPERLINK("http://amigo.geneontology.org/amigo/term/GO:0006082","GO:0006082")</f>
        <v>GO:0006082</v>
      </c>
      <c r="D123" t="s">
        <v>4301</v>
      </c>
      <c r="E123">
        <v>2904</v>
      </c>
      <c r="F123">
        <v>32</v>
      </c>
      <c r="G123" s="4">
        <v>3.3261713616913202E-4</v>
      </c>
      <c r="H123">
        <v>1.33046854467652E-2</v>
      </c>
      <c r="I123" t="s">
        <v>5566</v>
      </c>
    </row>
    <row r="124" spans="1:9" x14ac:dyDescent="0.25">
      <c r="A124" t="s">
        <v>5576</v>
      </c>
      <c r="C124" s="3" t="str">
        <f>HYPERLINK("http://amigo.geneontology.org/amigo/term/GO:0071704","GO:0071704")</f>
        <v>GO:0071704</v>
      </c>
      <c r="D124" t="s">
        <v>472</v>
      </c>
      <c r="E124">
        <v>24369</v>
      </c>
      <c r="F124">
        <v>172</v>
      </c>
      <c r="G124" s="4">
        <v>4.0893993744917198E-4</v>
      </c>
      <c r="H124">
        <v>1.59486575605177E-2</v>
      </c>
      <c r="I124" t="s">
        <v>5577</v>
      </c>
    </row>
    <row r="125" spans="1:9" x14ac:dyDescent="0.25">
      <c r="A125" t="s">
        <v>5143</v>
      </c>
      <c r="C125" s="3" t="str">
        <f>HYPERLINK("http://amigo.geneontology.org/amigo/term/GO:0035251","GO:0035251")</f>
        <v>GO:0035251</v>
      </c>
      <c r="D125" t="s">
        <v>436</v>
      </c>
      <c r="E125">
        <v>234</v>
      </c>
      <c r="F125">
        <v>7</v>
      </c>
      <c r="G125" s="4">
        <v>4.2079632681528602E-4</v>
      </c>
      <c r="H125">
        <v>1.6411056745796099E-2</v>
      </c>
      <c r="I125" t="s">
        <v>5578</v>
      </c>
    </row>
    <row r="126" spans="1:9" x14ac:dyDescent="0.25">
      <c r="A126" t="s">
        <v>5144</v>
      </c>
      <c r="C126" s="3" t="str">
        <f>HYPERLINK("http://amigo.geneontology.org/amigo/term/GO:0034655","GO:0034655")</f>
        <v>GO:0034655</v>
      </c>
      <c r="D126" t="s">
        <v>5097</v>
      </c>
      <c r="E126">
        <v>485</v>
      </c>
      <c r="F126">
        <v>10</v>
      </c>
      <c r="G126" s="4">
        <v>5.27974384831252E-4</v>
      </c>
      <c r="H126">
        <v>2.0591001008418802E-2</v>
      </c>
      <c r="I126" t="s">
        <v>5579</v>
      </c>
    </row>
    <row r="127" spans="1:9" x14ac:dyDescent="0.25">
      <c r="A127" t="s">
        <v>5580</v>
      </c>
      <c r="C127" s="3" t="str">
        <f>HYPERLINK("http://amigo.geneontology.org/amigo/term/GO:0005451","GO:0005451")</f>
        <v>GO:0005451</v>
      </c>
      <c r="D127" t="s">
        <v>609</v>
      </c>
      <c r="E127">
        <v>29</v>
      </c>
      <c r="F127">
        <v>3</v>
      </c>
      <c r="G127" s="4">
        <v>5.9660551991951201E-4</v>
      </c>
      <c r="H127">
        <v>2.2671009756941401E-2</v>
      </c>
      <c r="I127" t="s">
        <v>5554</v>
      </c>
    </row>
    <row r="128" spans="1:9" x14ac:dyDescent="0.25">
      <c r="A128" t="s">
        <v>2588</v>
      </c>
      <c r="C128" s="3" t="str">
        <f>HYPERLINK("http://amigo.geneontology.org/amigo/term/GO:0016705","GO:0016705")</f>
        <v>GO:0016705</v>
      </c>
      <c r="D128" t="s">
        <v>4121</v>
      </c>
      <c r="E128">
        <v>2131</v>
      </c>
      <c r="F128">
        <v>25</v>
      </c>
      <c r="G128" s="4">
        <v>6.1570339719476796E-4</v>
      </c>
      <c r="H128">
        <v>2.3396729093401201E-2</v>
      </c>
      <c r="I128" t="s">
        <v>5581</v>
      </c>
    </row>
    <row r="129" spans="1:9" x14ac:dyDescent="0.25">
      <c r="A129" t="s">
        <v>5582</v>
      </c>
      <c r="C129" s="3" t="str">
        <f>HYPERLINK("http://amigo.geneontology.org/amigo/term/GO:0006885","GO:0006885")</f>
        <v>GO:0006885</v>
      </c>
      <c r="D129" t="s">
        <v>5583</v>
      </c>
      <c r="E129">
        <v>30</v>
      </c>
      <c r="F129">
        <v>3</v>
      </c>
      <c r="G129" s="4">
        <v>6.60109272119302E-4</v>
      </c>
      <c r="H129">
        <v>2.44240430684141E-2</v>
      </c>
      <c r="I129" t="s">
        <v>5554</v>
      </c>
    </row>
    <row r="130" spans="1:9" x14ac:dyDescent="0.25">
      <c r="A130" t="s">
        <v>2596</v>
      </c>
      <c r="C130" s="3" t="str">
        <f>HYPERLINK("http://amigo.geneontology.org/amigo/term/GO:1902358","GO:1902358")</f>
        <v>GO:1902358</v>
      </c>
      <c r="D130" t="s">
        <v>1194</v>
      </c>
      <c r="E130">
        <v>30</v>
      </c>
      <c r="F130">
        <v>3</v>
      </c>
      <c r="G130" s="4">
        <v>6.60109272119302E-4</v>
      </c>
      <c r="H130">
        <v>2.5084152340533399E-2</v>
      </c>
      <c r="I130" t="s">
        <v>5584</v>
      </c>
    </row>
    <row r="131" spans="1:9" x14ac:dyDescent="0.25">
      <c r="A131" t="s">
        <v>5147</v>
      </c>
      <c r="C131" s="3" t="str">
        <f>HYPERLINK("http://amigo.geneontology.org/amigo/term/GO:0016758","GO:0016758")</f>
        <v>GO:0016758</v>
      </c>
      <c r="D131" t="s">
        <v>721</v>
      </c>
      <c r="E131">
        <v>1783</v>
      </c>
      <c r="F131">
        <v>22</v>
      </c>
      <c r="G131" s="4">
        <v>6.7558379655831995E-4</v>
      </c>
      <c r="H131">
        <v>2.4996600472657799E-2</v>
      </c>
      <c r="I131" t="s">
        <v>5585</v>
      </c>
    </row>
    <row r="132" spans="1:9" x14ac:dyDescent="0.25">
      <c r="A132" t="s">
        <v>5150</v>
      </c>
      <c r="C132" s="3" t="str">
        <f>HYPERLINK("http://amigo.geneontology.org/amigo/term/GO:0015081","GO:0015081")</f>
        <v>GO:0015081</v>
      </c>
      <c r="D132" t="s">
        <v>5586</v>
      </c>
      <c r="E132">
        <v>33</v>
      </c>
      <c r="F132">
        <v>3</v>
      </c>
      <c r="G132" s="4">
        <v>8.75952374416138E-4</v>
      </c>
      <c r="H132">
        <v>3.2410237853397098E-2</v>
      </c>
      <c r="I132" t="s">
        <v>5554</v>
      </c>
    </row>
    <row r="133" spans="1:9" x14ac:dyDescent="0.25">
      <c r="A133" t="s">
        <v>5587</v>
      </c>
      <c r="C133" s="3" t="str">
        <f>HYPERLINK("http://amigo.geneontology.org/amigo/term/GO:0055067","GO:0055067")</f>
        <v>GO:0055067</v>
      </c>
      <c r="D133" t="s">
        <v>5588</v>
      </c>
      <c r="E133">
        <v>34</v>
      </c>
      <c r="F133">
        <v>3</v>
      </c>
      <c r="G133" s="4">
        <v>9.5668918829879099E-4</v>
      </c>
      <c r="H133">
        <v>3.5397499967055199E-2</v>
      </c>
      <c r="I133" t="s">
        <v>5554</v>
      </c>
    </row>
    <row r="134" spans="1:9" x14ac:dyDescent="0.25">
      <c r="A134" t="s">
        <v>5589</v>
      </c>
      <c r="C134" s="3" t="str">
        <f>HYPERLINK("http://amigo.geneontology.org/amigo/term/GO:0015291","GO:0015291")</f>
        <v>GO:0015291</v>
      </c>
      <c r="D134" t="s">
        <v>439</v>
      </c>
      <c r="E134">
        <v>527</v>
      </c>
      <c r="F134">
        <v>10</v>
      </c>
      <c r="G134" s="4">
        <v>9.9094958698384594E-4</v>
      </c>
      <c r="H134">
        <v>3.5674185131418401E-2</v>
      </c>
      <c r="I134" t="s">
        <v>5590</v>
      </c>
    </row>
    <row r="135" spans="1:9" x14ac:dyDescent="0.25">
      <c r="A135" t="s">
        <v>5591</v>
      </c>
      <c r="C135" s="3" t="str">
        <f>HYPERLINK("http://amigo.geneontology.org/amigo/term/GO:0010089","GO:0010089")</f>
        <v>GO:0010089</v>
      </c>
      <c r="D135" t="s">
        <v>5592</v>
      </c>
      <c r="E135">
        <v>35</v>
      </c>
      <c r="F135">
        <v>3</v>
      </c>
      <c r="G135">
        <v>1.04198771862248E-3</v>
      </c>
      <c r="H135">
        <v>3.7511557870409599E-2</v>
      </c>
      <c r="I135" t="s">
        <v>5593</v>
      </c>
    </row>
    <row r="136" spans="1:9" x14ac:dyDescent="0.25">
      <c r="A136" t="s">
        <v>5594</v>
      </c>
      <c r="C136" s="3" t="str">
        <f>HYPERLINK("http://amigo.geneontology.org/amigo/term/GO:0008271","GO:0008271")</f>
        <v>GO:0008271</v>
      </c>
      <c r="D136" t="s">
        <v>1312</v>
      </c>
      <c r="E136">
        <v>35</v>
      </c>
      <c r="F136">
        <v>3</v>
      </c>
      <c r="G136">
        <v>1.04198771862248E-3</v>
      </c>
      <c r="H136">
        <v>3.7511557870409599E-2</v>
      </c>
      <c r="I136" t="s">
        <v>5584</v>
      </c>
    </row>
    <row r="137" spans="1:9" x14ac:dyDescent="0.25">
      <c r="A137" t="s">
        <v>43</v>
      </c>
      <c r="C137" s="3" t="str">
        <f>HYPERLINK("http://amigo.geneontology.org/amigo/term/GO:0005216","GO:0005216")</f>
        <v>GO:0005216</v>
      </c>
      <c r="D137" t="s">
        <v>424</v>
      </c>
      <c r="E137">
        <v>276</v>
      </c>
      <c r="F137">
        <v>7</v>
      </c>
      <c r="G137">
        <v>1.1070626357097099E-3</v>
      </c>
      <c r="H137">
        <v>3.8747192249839899E-2</v>
      </c>
      <c r="I137" t="s">
        <v>5595</v>
      </c>
    </row>
    <row r="138" spans="1:9" x14ac:dyDescent="0.25">
      <c r="A138" t="s">
        <v>5596</v>
      </c>
      <c r="C138" s="3" t="str">
        <f>HYPERLINK("http://amigo.geneontology.org/amigo/term/GO:0004420","GO:0004420")</f>
        <v>GO:0004420</v>
      </c>
      <c r="D138" t="s">
        <v>882</v>
      </c>
      <c r="E138">
        <v>9</v>
      </c>
      <c r="F138">
        <v>2</v>
      </c>
      <c r="G138">
        <v>1.12959159404439E-3</v>
      </c>
      <c r="H138">
        <v>3.9535705791553702E-2</v>
      </c>
      <c r="I138" t="s">
        <v>5597</v>
      </c>
    </row>
    <row r="139" spans="1:9" x14ac:dyDescent="0.25">
      <c r="A139" t="s">
        <v>5598</v>
      </c>
      <c r="C139" s="3" t="str">
        <f>HYPERLINK("http://amigo.geneontology.org/amigo/term/GO:0098661","GO:0098661")</f>
        <v>GO:0098661</v>
      </c>
      <c r="D139" t="s">
        <v>1348</v>
      </c>
      <c r="E139">
        <v>36</v>
      </c>
      <c r="F139">
        <v>3</v>
      </c>
      <c r="G139">
        <v>1.1319450624971601E-3</v>
      </c>
      <c r="H139">
        <v>3.9618077187400902E-2</v>
      </c>
      <c r="I139" t="s">
        <v>5584</v>
      </c>
    </row>
    <row r="140" spans="1:9" x14ac:dyDescent="0.25">
      <c r="A140" t="s">
        <v>5155</v>
      </c>
      <c r="C140" s="3" t="str">
        <f>HYPERLINK("http://amigo.geneontology.org/amigo/term/GO:1901682","GO:1901682")</f>
        <v>GO:1901682</v>
      </c>
      <c r="D140" t="s">
        <v>1367</v>
      </c>
      <c r="E140">
        <v>37</v>
      </c>
      <c r="F140">
        <v>3</v>
      </c>
      <c r="G140">
        <v>1.2266562204411499E-3</v>
      </c>
      <c r="H140">
        <v>4.17063114949991E-2</v>
      </c>
      <c r="I140" t="s">
        <v>5584</v>
      </c>
    </row>
    <row r="141" spans="1:9" x14ac:dyDescent="0.25">
      <c r="A141" t="s">
        <v>5599</v>
      </c>
      <c r="C141" s="3" t="str">
        <f>HYPERLINK("http://amigo.geneontology.org/amigo/term/GO:0015116","GO:0015116")</f>
        <v>GO:0015116</v>
      </c>
      <c r="D141" t="s">
        <v>1369</v>
      </c>
      <c r="E141">
        <v>37</v>
      </c>
      <c r="F141">
        <v>3</v>
      </c>
      <c r="G141">
        <v>1.2266562204411499E-3</v>
      </c>
      <c r="H141">
        <v>4.17063114949991E-2</v>
      </c>
      <c r="I141" t="s">
        <v>5584</v>
      </c>
    </row>
    <row r="142" spans="1:9" x14ac:dyDescent="0.25">
      <c r="A142" t="s">
        <v>5161</v>
      </c>
      <c r="C142" s="3" t="str">
        <f>HYPERLINK("http://amigo.geneontology.org/amigo/term/GO:0008272","GO:0008272")</f>
        <v>GO:0008272</v>
      </c>
      <c r="D142" t="s">
        <v>1371</v>
      </c>
      <c r="E142">
        <v>37</v>
      </c>
      <c r="F142">
        <v>3</v>
      </c>
      <c r="G142">
        <v>1.2266562204411499E-3</v>
      </c>
      <c r="H142">
        <v>4.17063114949991E-2</v>
      </c>
      <c r="I142" t="s">
        <v>5584</v>
      </c>
    </row>
    <row r="143" spans="1:9" x14ac:dyDescent="0.25">
      <c r="A143" t="s">
        <v>5163</v>
      </c>
      <c r="C143" s="3" t="str">
        <f>HYPERLINK("http://amigo.geneontology.org/amigo/term/GO:0016157","GO:0016157")</f>
        <v>GO:0016157</v>
      </c>
      <c r="D143" t="s">
        <v>378</v>
      </c>
      <c r="E143">
        <v>37</v>
      </c>
      <c r="F143">
        <v>3</v>
      </c>
      <c r="G143">
        <v>1.2266562204411499E-3</v>
      </c>
      <c r="H143">
        <v>4.2932967715440203E-2</v>
      </c>
      <c r="I143" t="s">
        <v>5600</v>
      </c>
    </row>
    <row r="144" spans="1:9" x14ac:dyDescent="0.25">
      <c r="A144" t="s">
        <v>5601</v>
      </c>
      <c r="C144" s="3" t="str">
        <f>HYPERLINK("http://amigo.geneontology.org/amigo/term/GO:0044270","GO:0044270")</f>
        <v>GO:0044270</v>
      </c>
      <c r="D144" t="s">
        <v>5104</v>
      </c>
      <c r="E144">
        <v>641</v>
      </c>
      <c r="F144">
        <v>11</v>
      </c>
      <c r="G144">
        <v>1.2649541477584899E-3</v>
      </c>
      <c r="H144">
        <v>4.1743486876030203E-2</v>
      </c>
      <c r="I144" t="s">
        <v>5602</v>
      </c>
    </row>
    <row r="145" spans="1:9" x14ac:dyDescent="0.25">
      <c r="A145" t="s">
        <v>5603</v>
      </c>
      <c r="C145" s="3" t="str">
        <f>HYPERLINK("http://amigo.geneontology.org/amigo/term/GO:0046700","GO:0046700")</f>
        <v>GO:0046700</v>
      </c>
      <c r="D145" t="s">
        <v>5107</v>
      </c>
      <c r="E145">
        <v>643</v>
      </c>
      <c r="F145">
        <v>11</v>
      </c>
      <c r="G145">
        <v>1.2964190469563601E-3</v>
      </c>
      <c r="H145">
        <v>4.2781828549560003E-2</v>
      </c>
      <c r="I145" t="s">
        <v>5602</v>
      </c>
    </row>
    <row r="146" spans="1:9" x14ac:dyDescent="0.25">
      <c r="A146" t="s">
        <v>5604</v>
      </c>
      <c r="C146" s="3" t="str">
        <f>HYPERLINK("http://amigo.geneontology.org/amigo/term/GO:0072348","GO:0072348")</f>
        <v>GO:0072348</v>
      </c>
      <c r="D146" t="s">
        <v>1380</v>
      </c>
      <c r="E146">
        <v>38</v>
      </c>
      <c r="F146">
        <v>3</v>
      </c>
      <c r="G146">
        <v>1.32621412158377E-3</v>
      </c>
      <c r="H146">
        <v>4.3765066012264597E-2</v>
      </c>
      <c r="I146" t="s">
        <v>5584</v>
      </c>
    </row>
    <row r="147" spans="1:9" x14ac:dyDescent="0.25">
      <c r="A147" t="s">
        <v>5605</v>
      </c>
      <c r="C147" s="3" t="str">
        <f>HYPERLINK("http://amigo.geneontology.org/amigo/term/GO:0072529","GO:0072529")</f>
        <v>GO:0072529</v>
      </c>
      <c r="D147" t="s">
        <v>5606</v>
      </c>
      <c r="E147">
        <v>10</v>
      </c>
      <c r="F147">
        <v>2</v>
      </c>
      <c r="G147">
        <v>1.40668202690515E-3</v>
      </c>
      <c r="H147">
        <v>4.5013824860965002E-2</v>
      </c>
      <c r="I147" t="s">
        <v>5547</v>
      </c>
    </row>
    <row r="148" spans="1:9" x14ac:dyDescent="0.25">
      <c r="A148" t="s">
        <v>2651</v>
      </c>
      <c r="C148" s="3" t="str">
        <f>HYPERLINK("http://amigo.geneontology.org/amigo/term/GO:0016837","GO:0016837")</f>
        <v>GO:0016837</v>
      </c>
      <c r="D148" t="s">
        <v>554</v>
      </c>
      <c r="E148">
        <v>10</v>
      </c>
      <c r="F148">
        <v>2</v>
      </c>
      <c r="G148">
        <v>1.40668202690515E-3</v>
      </c>
      <c r="H148">
        <v>4.5013824860965002E-2</v>
      </c>
      <c r="I148" t="s">
        <v>5607</v>
      </c>
    </row>
    <row r="149" spans="1:9" x14ac:dyDescent="0.25">
      <c r="A149" t="s">
        <v>5608</v>
      </c>
      <c r="C149" s="3" t="str">
        <f>HYPERLINK("http://amigo.geneontology.org/amigo/term/GO:0030570","GO:0030570")</f>
        <v>GO:0030570</v>
      </c>
      <c r="D149" t="s">
        <v>557</v>
      </c>
      <c r="E149">
        <v>10</v>
      </c>
      <c r="F149">
        <v>2</v>
      </c>
      <c r="G149">
        <v>1.40668202690515E-3</v>
      </c>
      <c r="H149">
        <v>4.6420506887870097E-2</v>
      </c>
      <c r="I149" t="s">
        <v>5607</v>
      </c>
    </row>
    <row r="150" spans="1:9" x14ac:dyDescent="0.25">
      <c r="A150" t="s">
        <v>5609</v>
      </c>
      <c r="C150" s="3" t="str">
        <f>HYPERLINK("http://amigo.geneontology.org/amigo/term/GO:0043169","GO:0043169")</f>
        <v>GO:0043169</v>
      </c>
      <c r="D150" t="s">
        <v>1535</v>
      </c>
      <c r="E150">
        <v>11833</v>
      </c>
      <c r="F150">
        <v>91</v>
      </c>
      <c r="G150">
        <v>1.4418099478262099E-3</v>
      </c>
      <c r="H150">
        <v>4.6137918330438801E-2</v>
      </c>
      <c r="I150" t="s">
        <v>5610</v>
      </c>
    </row>
    <row r="151" spans="1:9" x14ac:dyDescent="0.25">
      <c r="A151" t="s">
        <v>5611</v>
      </c>
      <c r="C151" s="3" t="str">
        <f>HYPERLINK("http://amigo.geneontology.org/amigo/term/GO:0015925","GO:0015925")</f>
        <v>GO:0015925</v>
      </c>
      <c r="D151" t="s">
        <v>847</v>
      </c>
      <c r="E151">
        <v>40</v>
      </c>
      <c r="F151">
        <v>3</v>
      </c>
      <c r="G151">
        <v>1.54023166537317E-3</v>
      </c>
      <c r="H151">
        <v>4.9287413291941598E-2</v>
      </c>
      <c r="I151" t="s">
        <v>5612</v>
      </c>
    </row>
    <row r="152" spans="1:9" x14ac:dyDescent="0.25">
      <c r="A152" t="s">
        <v>1046</v>
      </c>
      <c r="C152" s="3" t="str">
        <f>HYPERLINK("http://amigo.geneontology.org/amigo/term/GO:0006812","GO:0006812")</f>
        <v>GO:0006812</v>
      </c>
      <c r="D152" t="s">
        <v>341</v>
      </c>
      <c r="E152">
        <v>1323</v>
      </c>
      <c r="F152">
        <v>17</v>
      </c>
      <c r="G152">
        <v>1.7557458082006301E-3</v>
      </c>
      <c r="H152">
        <v>5.6183865862420197E-2</v>
      </c>
      <c r="I152" t="s">
        <v>5501</v>
      </c>
    </row>
    <row r="153" spans="1:9" x14ac:dyDescent="0.25">
      <c r="A153" t="s">
        <v>5613</v>
      </c>
      <c r="C153" s="3" t="str">
        <f>HYPERLINK("http://amigo.geneontology.org/amigo/term/GO:0022839","GO:0022839")</f>
        <v>GO:0022839</v>
      </c>
      <c r="D153" t="s">
        <v>507</v>
      </c>
      <c r="E153">
        <v>224</v>
      </c>
      <c r="F153">
        <v>6</v>
      </c>
      <c r="G153">
        <v>1.88816171722845E-3</v>
      </c>
      <c r="H153">
        <v>5.85330132340822E-2</v>
      </c>
      <c r="I153" t="s">
        <v>5541</v>
      </c>
    </row>
    <row r="154" spans="1:9" x14ac:dyDescent="0.25">
      <c r="A154" t="s">
        <v>5614</v>
      </c>
      <c r="C154" s="3" t="str">
        <f>HYPERLINK("http://amigo.geneontology.org/amigo/term/GO:0015491","GO:0015491")</f>
        <v>GO:0015491</v>
      </c>
      <c r="D154" t="s">
        <v>478</v>
      </c>
      <c r="E154">
        <v>43</v>
      </c>
      <c r="F154">
        <v>3</v>
      </c>
      <c r="G154">
        <v>1.8998154569291701E-3</v>
      </c>
      <c r="H154">
        <v>5.8894279164804303E-2</v>
      </c>
      <c r="I154" t="s">
        <v>5554</v>
      </c>
    </row>
    <row r="155" spans="1:9" x14ac:dyDescent="0.25">
      <c r="A155" t="s">
        <v>2665</v>
      </c>
      <c r="C155" s="3" t="str">
        <f>HYPERLINK("http://amigo.geneontology.org/amigo/term/GO:0046914","GO:0046914")</f>
        <v>GO:0046914</v>
      </c>
      <c r="D155" t="s">
        <v>5615</v>
      </c>
      <c r="E155">
        <v>7516</v>
      </c>
      <c r="F155">
        <v>62</v>
      </c>
      <c r="G155">
        <v>1.9384240022210599E-3</v>
      </c>
      <c r="H155">
        <v>6.0091144068852798E-2</v>
      </c>
      <c r="I155" t="s">
        <v>5616</v>
      </c>
    </row>
    <row r="156" spans="1:9" x14ac:dyDescent="0.25">
      <c r="A156" t="s">
        <v>5165</v>
      </c>
      <c r="C156" s="3" t="str">
        <f>HYPERLINK("http://amigo.geneontology.org/amigo/term/GO:0022836","GO:0022836")</f>
        <v>GO:0022836</v>
      </c>
      <c r="D156" t="s">
        <v>519</v>
      </c>
      <c r="E156">
        <v>227</v>
      </c>
      <c r="F156">
        <v>6</v>
      </c>
      <c r="G156">
        <v>2.0181831749677098E-3</v>
      </c>
      <c r="H156">
        <v>6.2563678423999097E-2</v>
      </c>
      <c r="I156" t="s">
        <v>5541</v>
      </c>
    </row>
    <row r="157" spans="1:9" x14ac:dyDescent="0.25">
      <c r="A157" t="s">
        <v>5167</v>
      </c>
      <c r="C157" s="3" t="str">
        <f>HYPERLINK("http://amigo.geneontology.org/amigo/term/GO:0046685","GO:0046685")</f>
        <v>GO:0046685</v>
      </c>
      <c r="D157" t="s">
        <v>5089</v>
      </c>
      <c r="E157">
        <v>12</v>
      </c>
      <c r="F157">
        <v>2</v>
      </c>
      <c r="G157">
        <v>2.04766358470809E-3</v>
      </c>
      <c r="H157">
        <v>6.1429907541242897E-2</v>
      </c>
      <c r="I157" t="s">
        <v>5090</v>
      </c>
    </row>
    <row r="158" spans="1:9" x14ac:dyDescent="0.25">
      <c r="A158" t="s">
        <v>5170</v>
      </c>
      <c r="C158" s="3" t="str">
        <f>HYPERLINK("http://amigo.geneontology.org/amigo/term/GO:0034656","GO:0034656")</f>
        <v>GO:0034656</v>
      </c>
      <c r="D158" t="s">
        <v>5313</v>
      </c>
      <c r="E158">
        <v>12</v>
      </c>
      <c r="F158">
        <v>2</v>
      </c>
      <c r="G158">
        <v>2.04766358470809E-3</v>
      </c>
      <c r="H158">
        <v>6.1429907541242897E-2</v>
      </c>
      <c r="I158" t="s">
        <v>5547</v>
      </c>
    </row>
    <row r="159" spans="1:9" x14ac:dyDescent="0.25">
      <c r="A159" t="s">
        <v>5172</v>
      </c>
      <c r="C159" s="3" t="str">
        <f>HYPERLINK("http://amigo.geneontology.org/amigo/term/GO:1901658","GO:1901658")</f>
        <v>GO:1901658</v>
      </c>
      <c r="D159" t="s">
        <v>5315</v>
      </c>
      <c r="E159">
        <v>12</v>
      </c>
      <c r="F159">
        <v>2</v>
      </c>
      <c r="G159">
        <v>2.04766358470809E-3</v>
      </c>
      <c r="H159">
        <v>6.1429907541242897E-2</v>
      </c>
      <c r="I159" t="s">
        <v>5547</v>
      </c>
    </row>
    <row r="160" spans="1:9" x14ac:dyDescent="0.25">
      <c r="A160" t="s">
        <v>2670</v>
      </c>
      <c r="C160" s="3" t="str">
        <f>HYPERLINK("http://amigo.geneontology.org/amigo/term/GO:0009164","GO:0009164")</f>
        <v>GO:0009164</v>
      </c>
      <c r="D160" t="s">
        <v>5316</v>
      </c>
      <c r="E160">
        <v>12</v>
      </c>
      <c r="F160">
        <v>2</v>
      </c>
      <c r="G160">
        <v>2.04766358470809E-3</v>
      </c>
      <c r="H160">
        <v>6.1429907541242897E-2</v>
      </c>
      <c r="I160" t="s">
        <v>5547</v>
      </c>
    </row>
    <row r="161" spans="1:9" x14ac:dyDescent="0.25">
      <c r="A161" t="s">
        <v>5617</v>
      </c>
      <c r="C161" s="3" t="str">
        <f>HYPERLINK("http://amigo.geneontology.org/amigo/term/GO:0042454","GO:0042454")</f>
        <v>GO:0042454</v>
      </c>
      <c r="D161" t="s">
        <v>5317</v>
      </c>
      <c r="E161">
        <v>12</v>
      </c>
      <c r="F161">
        <v>2</v>
      </c>
      <c r="G161">
        <v>2.04766358470809E-3</v>
      </c>
      <c r="H161">
        <v>6.1429907541242897E-2</v>
      </c>
      <c r="I161" t="s">
        <v>5547</v>
      </c>
    </row>
    <row r="162" spans="1:9" x14ac:dyDescent="0.25">
      <c r="A162" t="s">
        <v>5175</v>
      </c>
      <c r="C162" s="3" t="str">
        <f>HYPERLINK("http://amigo.geneontology.org/amigo/term/GO:0009698","GO:0009698")</f>
        <v>GO:0009698</v>
      </c>
      <c r="D162" t="s">
        <v>5618</v>
      </c>
      <c r="E162">
        <v>157</v>
      </c>
      <c r="F162">
        <v>5</v>
      </c>
      <c r="G162">
        <v>2.1304015099048298E-3</v>
      </c>
      <c r="H162">
        <v>6.1781643787240097E-2</v>
      </c>
      <c r="I162" t="s">
        <v>5555</v>
      </c>
    </row>
    <row r="163" spans="1:9" x14ac:dyDescent="0.25">
      <c r="A163" t="s">
        <v>2681</v>
      </c>
      <c r="C163" s="3" t="str">
        <f>HYPERLINK("http://amigo.geneontology.org/amigo/term/GO:0046872","GO:0046872")</f>
        <v>GO:0046872</v>
      </c>
      <c r="D163" t="s">
        <v>1484</v>
      </c>
      <c r="E163">
        <v>11725</v>
      </c>
      <c r="F163">
        <v>89</v>
      </c>
      <c r="G163">
        <v>2.4102397180430701E-3</v>
      </c>
      <c r="H163">
        <v>6.9896951823249107E-2</v>
      </c>
      <c r="I163" t="s">
        <v>5619</v>
      </c>
    </row>
    <row r="164" spans="1:9" x14ac:dyDescent="0.25">
      <c r="A164" t="s">
        <v>5176</v>
      </c>
      <c r="C164" s="3" t="str">
        <f>HYPERLINK("http://amigo.geneontology.org/amigo/term/GO:0004557","GO:0004557")</f>
        <v>GO:0004557</v>
      </c>
      <c r="D164" t="s">
        <v>5324</v>
      </c>
      <c r="E164">
        <v>13</v>
      </c>
      <c r="F164">
        <v>2</v>
      </c>
      <c r="G164">
        <v>2.4108825209079999E-3</v>
      </c>
      <c r="H164">
        <v>6.9915593106332205E-2</v>
      </c>
      <c r="I164" t="s">
        <v>5620</v>
      </c>
    </row>
    <row r="165" spans="1:9" x14ac:dyDescent="0.25">
      <c r="A165" t="s">
        <v>5621</v>
      </c>
      <c r="C165" s="3" t="str">
        <f>HYPERLINK("http://amigo.geneontology.org/amigo/term/GO:0052692","GO:0052692")</f>
        <v>GO:0052692</v>
      </c>
      <c r="D165" t="s">
        <v>5326</v>
      </c>
      <c r="E165">
        <v>13</v>
      </c>
      <c r="F165">
        <v>2</v>
      </c>
      <c r="G165">
        <v>2.4108825209079999E-3</v>
      </c>
      <c r="H165">
        <v>6.9915593106332205E-2</v>
      </c>
      <c r="I165" t="s">
        <v>5620</v>
      </c>
    </row>
    <row r="166" spans="1:9" x14ac:dyDescent="0.25">
      <c r="A166" t="s">
        <v>5622</v>
      </c>
      <c r="C166" s="3" t="str">
        <f>HYPERLINK("http://amigo.geneontology.org/amigo/term/GO:0008762","GO:0008762")</f>
        <v>GO:0008762</v>
      </c>
      <c r="D166" t="s">
        <v>5623</v>
      </c>
      <c r="E166">
        <v>48</v>
      </c>
      <c r="F166">
        <v>3</v>
      </c>
      <c r="G166">
        <v>2.6073770398300101E-3</v>
      </c>
      <c r="H166">
        <v>7.5613934155070298E-2</v>
      </c>
      <c r="I166" t="s">
        <v>5624</v>
      </c>
    </row>
    <row r="167" spans="1:9" x14ac:dyDescent="0.25">
      <c r="A167" t="s">
        <v>5625</v>
      </c>
      <c r="C167" s="3" t="str">
        <f>HYPERLINK("http://amigo.geneontology.org/amigo/term/GO:0016759","GO:0016759")</f>
        <v>GO:0016759</v>
      </c>
      <c r="D167" t="s">
        <v>727</v>
      </c>
      <c r="E167">
        <v>100</v>
      </c>
      <c r="F167">
        <v>4</v>
      </c>
      <c r="G167">
        <v>2.6245492035016898E-3</v>
      </c>
      <c r="H167">
        <v>7.3487377698047293E-2</v>
      </c>
      <c r="I167" t="s">
        <v>5626</v>
      </c>
    </row>
    <row r="168" spans="1:9" x14ac:dyDescent="0.25">
      <c r="A168" t="s">
        <v>5627</v>
      </c>
      <c r="C168" s="3" t="str">
        <f>HYPERLINK("http://amigo.geneontology.org/amigo/term/GO:0016760","GO:0016760")</f>
        <v>GO:0016760</v>
      </c>
      <c r="D168" t="s">
        <v>730</v>
      </c>
      <c r="E168">
        <v>100</v>
      </c>
      <c r="F168">
        <v>4</v>
      </c>
      <c r="G168">
        <v>2.6245492035016898E-3</v>
      </c>
      <c r="H168">
        <v>7.3487377698047293E-2</v>
      </c>
      <c r="I168" t="s">
        <v>5626</v>
      </c>
    </row>
    <row r="169" spans="1:9" x14ac:dyDescent="0.25">
      <c r="A169" t="s">
        <v>2694</v>
      </c>
      <c r="C169" s="3" t="str">
        <f>HYPERLINK("http://amigo.geneontology.org/amigo/term/GO:0016094","GO:0016094")</f>
        <v>GO:0016094</v>
      </c>
      <c r="D169" t="s">
        <v>5628</v>
      </c>
      <c r="E169">
        <v>14</v>
      </c>
      <c r="F169">
        <v>2</v>
      </c>
      <c r="G169">
        <v>2.8021435529792999E-3</v>
      </c>
      <c r="H169">
        <v>7.8460019483420504E-2</v>
      </c>
      <c r="I169" t="s">
        <v>5629</v>
      </c>
    </row>
    <row r="170" spans="1:9" x14ac:dyDescent="0.25">
      <c r="A170" t="s">
        <v>45</v>
      </c>
      <c r="C170" s="3" t="str">
        <f>HYPERLINK("http://amigo.geneontology.org/amigo/term/GO:0019408","GO:0019408")</f>
        <v>GO:0019408</v>
      </c>
      <c r="D170" t="s">
        <v>5630</v>
      </c>
      <c r="E170">
        <v>14</v>
      </c>
      <c r="F170">
        <v>2</v>
      </c>
      <c r="G170">
        <v>2.8021435529792999E-3</v>
      </c>
      <c r="H170">
        <v>7.8460019483420504E-2</v>
      </c>
      <c r="I170" t="s">
        <v>5629</v>
      </c>
    </row>
    <row r="171" spans="1:9" x14ac:dyDescent="0.25">
      <c r="A171" t="s">
        <v>2703</v>
      </c>
      <c r="C171" s="3" t="str">
        <f>HYPERLINK("http://amigo.geneontology.org/amigo/term/GO:0016614","GO:0016614")</f>
        <v>GO:0016614</v>
      </c>
      <c r="D171" t="s">
        <v>5631</v>
      </c>
      <c r="E171">
        <v>617</v>
      </c>
      <c r="F171">
        <v>10</v>
      </c>
      <c r="G171">
        <v>3.1118469790941002E-3</v>
      </c>
      <c r="H171">
        <v>8.7131715414634894E-2</v>
      </c>
      <c r="I171" t="s">
        <v>5632</v>
      </c>
    </row>
    <row r="172" spans="1:9" x14ac:dyDescent="0.25">
      <c r="A172" t="s">
        <v>5183</v>
      </c>
      <c r="C172" s="3" t="str">
        <f>HYPERLINK("http://amigo.geneontology.org/amigo/term/GO:0009405","GO:0009405")</f>
        <v>GO:0009405</v>
      </c>
      <c r="D172" t="s">
        <v>5633</v>
      </c>
      <c r="E172">
        <v>15</v>
      </c>
      <c r="F172">
        <v>2</v>
      </c>
      <c r="G172">
        <v>3.22111772814789E-3</v>
      </c>
      <c r="H172">
        <v>9.0191296388140996E-2</v>
      </c>
      <c r="I172" t="s">
        <v>5522</v>
      </c>
    </row>
    <row r="173" spans="1:9" x14ac:dyDescent="0.25">
      <c r="A173" t="s">
        <v>5634</v>
      </c>
      <c r="C173" s="3" t="str">
        <f>HYPERLINK("http://amigo.geneontology.org/amigo/term/GO:0048037","GO:0048037")</f>
        <v>GO:0048037</v>
      </c>
      <c r="D173" t="s">
        <v>4125</v>
      </c>
      <c r="E173">
        <v>4750</v>
      </c>
      <c r="F173">
        <v>42</v>
      </c>
      <c r="G173">
        <v>3.26910088560959E-3</v>
      </c>
      <c r="H173">
        <v>8.8265723911458996E-2</v>
      </c>
      <c r="I173" t="s">
        <v>5635</v>
      </c>
    </row>
    <row r="174" spans="1:9" x14ac:dyDescent="0.25">
      <c r="A174" t="s">
        <v>5184</v>
      </c>
      <c r="C174" s="3" t="str">
        <f>HYPERLINK("http://amigo.geneontology.org/amigo/term/GO:0016757","GO:0016757")</f>
        <v>GO:0016757</v>
      </c>
      <c r="D174" t="s">
        <v>977</v>
      </c>
      <c r="E174">
        <v>2155</v>
      </c>
      <c r="F174">
        <v>23</v>
      </c>
      <c r="G174">
        <v>3.2907631612115302E-3</v>
      </c>
      <c r="H174">
        <v>8.8850605352711401E-2</v>
      </c>
      <c r="I174" t="s">
        <v>5636</v>
      </c>
    </row>
    <row r="175" spans="1:9" x14ac:dyDescent="0.25">
      <c r="A175" t="s">
        <v>5637</v>
      </c>
      <c r="C175" s="3" t="str">
        <f>HYPERLINK("http://amigo.geneontology.org/amigo/term/GO:0016706","GO:0016706")</f>
        <v>GO:0016706</v>
      </c>
      <c r="D175" t="s">
        <v>5638</v>
      </c>
      <c r="E175">
        <v>251</v>
      </c>
      <c r="F175">
        <v>6</v>
      </c>
      <c r="G175">
        <v>3.3160482583681102E-3</v>
      </c>
      <c r="H175">
        <v>8.9533302975938894E-2</v>
      </c>
      <c r="I175" t="s">
        <v>5639</v>
      </c>
    </row>
    <row r="176" spans="1:9" x14ac:dyDescent="0.25">
      <c r="A176" t="s">
        <v>2716</v>
      </c>
      <c r="C176" s="3" t="str">
        <f>HYPERLINK("http://amigo.geneontology.org/amigo/term/GO:0044425","GO:0044425")</f>
        <v>GO:0044425</v>
      </c>
      <c r="D176" t="s">
        <v>215</v>
      </c>
      <c r="E176">
        <v>8465</v>
      </c>
      <c r="F176">
        <v>67</v>
      </c>
      <c r="G176">
        <v>3.4370176321020102E-3</v>
      </c>
      <c r="H176">
        <v>9.2799476066754302E-2</v>
      </c>
      <c r="I176" t="s">
        <v>5543</v>
      </c>
    </row>
    <row r="177" spans="1:9" x14ac:dyDescent="0.25">
      <c r="A177" t="s">
        <v>2717</v>
      </c>
      <c r="C177" s="3" t="str">
        <f>HYPERLINK("http://amigo.geneontology.org/amigo/term/GO:0005985","GO:0005985")</f>
        <v>GO:0005985</v>
      </c>
      <c r="D177" t="s">
        <v>481</v>
      </c>
      <c r="E177">
        <v>55</v>
      </c>
      <c r="F177">
        <v>3</v>
      </c>
      <c r="G177">
        <v>3.84076122967832E-3</v>
      </c>
      <c r="H177">
        <v>0.10370055320131399</v>
      </c>
      <c r="I177" t="s">
        <v>5600</v>
      </c>
    </row>
    <row r="178" spans="1:9" x14ac:dyDescent="0.25">
      <c r="A178" t="s">
        <v>5640</v>
      </c>
      <c r="C178" s="3" t="str">
        <f>HYPERLINK("http://amigo.geneontology.org/amigo/term/GO:0016597","GO:0016597")</f>
        <v>GO:0016597</v>
      </c>
      <c r="D178" t="s">
        <v>5641</v>
      </c>
      <c r="E178">
        <v>113</v>
      </c>
      <c r="F178">
        <v>4</v>
      </c>
      <c r="G178">
        <v>4.0684848903461699E-3</v>
      </c>
      <c r="H178">
        <v>0.10984909203934599</v>
      </c>
      <c r="I178" t="s">
        <v>5642</v>
      </c>
    </row>
    <row r="179" spans="1:9" x14ac:dyDescent="0.25">
      <c r="A179" t="s">
        <v>5643</v>
      </c>
      <c r="C179" s="3" t="str">
        <f>HYPERLINK("http://amigo.geneontology.org/amigo/term/GO:0019348","GO:0019348")</f>
        <v>GO:0019348</v>
      </c>
      <c r="D179" t="s">
        <v>5644</v>
      </c>
      <c r="E179">
        <v>17</v>
      </c>
      <c r="F179">
        <v>2</v>
      </c>
      <c r="G179">
        <v>4.1409037692518901E-3</v>
      </c>
      <c r="H179">
        <v>0.107663498000549</v>
      </c>
      <c r="I179" t="s">
        <v>5629</v>
      </c>
    </row>
    <row r="180" spans="1:9" x14ac:dyDescent="0.25">
      <c r="A180" t="s">
        <v>2738</v>
      </c>
      <c r="C180" s="3" t="str">
        <f>HYPERLINK("http://amigo.geneontology.org/amigo/term/GO:0000015","GO:0000015")</f>
        <v>GO:0000015</v>
      </c>
      <c r="D180" t="s">
        <v>5645</v>
      </c>
      <c r="E180">
        <v>17</v>
      </c>
      <c r="F180">
        <v>2</v>
      </c>
      <c r="G180">
        <v>4.1409037692518901E-3</v>
      </c>
      <c r="H180">
        <v>0.107663498000549</v>
      </c>
      <c r="I180" t="s">
        <v>5646</v>
      </c>
    </row>
    <row r="181" spans="1:9" x14ac:dyDescent="0.25">
      <c r="A181" t="s">
        <v>5647</v>
      </c>
      <c r="C181" s="3" t="str">
        <f>HYPERLINK("http://amigo.geneontology.org/amigo/term/GO:0004634","GO:0004634")</f>
        <v>GO:0004634</v>
      </c>
      <c r="D181" t="s">
        <v>5648</v>
      </c>
      <c r="E181">
        <v>17</v>
      </c>
      <c r="F181">
        <v>2</v>
      </c>
      <c r="G181">
        <v>4.1409037692518901E-3</v>
      </c>
      <c r="H181">
        <v>0.107663498000549</v>
      </c>
      <c r="I181" t="s">
        <v>5646</v>
      </c>
    </row>
    <row r="182" spans="1:9" x14ac:dyDescent="0.25">
      <c r="A182" t="s">
        <v>5188</v>
      </c>
      <c r="C182" s="3" t="str">
        <f>HYPERLINK("http://amigo.geneontology.org/amigo/term/GO:0003700","GO:0003700")</f>
        <v>GO:0003700</v>
      </c>
      <c r="D182" t="s">
        <v>5173</v>
      </c>
      <c r="E182">
        <v>2075</v>
      </c>
      <c r="F182">
        <v>22</v>
      </c>
      <c r="G182">
        <v>4.31586419587234E-3</v>
      </c>
      <c r="H182">
        <v>0.11221246909268</v>
      </c>
      <c r="I182" t="s">
        <v>5649</v>
      </c>
    </row>
    <row r="183" spans="1:9" x14ac:dyDescent="0.25">
      <c r="A183" t="s">
        <v>5650</v>
      </c>
      <c r="C183" s="3" t="str">
        <f>HYPERLINK("http://amigo.geneontology.org/amigo/term/GO:0099516","GO:0099516")</f>
        <v>GO:0099516</v>
      </c>
      <c r="D183" t="s">
        <v>579</v>
      </c>
      <c r="E183">
        <v>58</v>
      </c>
      <c r="F183">
        <v>3</v>
      </c>
      <c r="G183">
        <v>4.4609932221123302E-3</v>
      </c>
      <c r="H183">
        <v>0.11598582377492</v>
      </c>
      <c r="I183" t="s">
        <v>5554</v>
      </c>
    </row>
    <row r="184" spans="1:9" x14ac:dyDescent="0.25">
      <c r="A184" t="s">
        <v>5193</v>
      </c>
      <c r="C184" s="3" t="str">
        <f>HYPERLINK("http://amigo.geneontology.org/amigo/term/GO:0010087","GO:0010087")</f>
        <v>GO:0010087</v>
      </c>
      <c r="D184" t="s">
        <v>5651</v>
      </c>
      <c r="E184">
        <v>58</v>
      </c>
      <c r="F184">
        <v>3</v>
      </c>
      <c r="G184">
        <v>4.4609932221123302E-3</v>
      </c>
      <c r="H184">
        <v>0.11598582377492</v>
      </c>
      <c r="I184" t="s">
        <v>5593</v>
      </c>
    </row>
    <row r="185" spans="1:9" x14ac:dyDescent="0.25">
      <c r="A185" t="s">
        <v>1185</v>
      </c>
      <c r="C185" s="3" t="str">
        <f>HYPERLINK("http://amigo.geneontology.org/amigo/term/GO:0005507","GO:0005507")</f>
        <v>GO:0005507</v>
      </c>
      <c r="D185" t="s">
        <v>767</v>
      </c>
      <c r="E185">
        <v>451</v>
      </c>
      <c r="F185">
        <v>8</v>
      </c>
      <c r="G185">
        <v>4.6277081254054598E-3</v>
      </c>
      <c r="H185">
        <v>0.11569270313513599</v>
      </c>
      <c r="I185" t="s">
        <v>5652</v>
      </c>
    </row>
    <row r="186" spans="1:9" x14ac:dyDescent="0.25">
      <c r="A186" t="s">
        <v>5653</v>
      </c>
      <c r="C186" s="3" t="str">
        <f>HYPERLINK("http://amigo.geneontology.org/amigo/term/GO:0016093","GO:0016093")</f>
        <v>GO:0016093</v>
      </c>
      <c r="D186" t="s">
        <v>5654</v>
      </c>
      <c r="E186">
        <v>18</v>
      </c>
      <c r="F186">
        <v>2</v>
      </c>
      <c r="G186">
        <v>4.6410717359595304E-3</v>
      </c>
      <c r="H186">
        <v>0.116026793398988</v>
      </c>
      <c r="I186" t="s">
        <v>5629</v>
      </c>
    </row>
    <row r="187" spans="1:9" x14ac:dyDescent="0.25">
      <c r="A187" t="s">
        <v>5655</v>
      </c>
      <c r="C187" s="3" t="str">
        <f>HYPERLINK("http://amigo.geneontology.org/amigo/term/GO:0022857","GO:0022857")</f>
        <v>GO:0022857</v>
      </c>
      <c r="D187" t="s">
        <v>261</v>
      </c>
      <c r="E187">
        <v>2485</v>
      </c>
      <c r="F187">
        <v>25</v>
      </c>
      <c r="G187">
        <v>4.7211209064136703E-3</v>
      </c>
      <c r="H187">
        <v>0.118028022660341</v>
      </c>
      <c r="I187" t="s">
        <v>5656</v>
      </c>
    </row>
    <row r="188" spans="1:9" x14ac:dyDescent="0.25">
      <c r="A188" t="s">
        <v>5657</v>
      </c>
      <c r="C188" s="3" t="str">
        <f>HYPERLINK("http://amigo.geneontology.org/amigo/term/GO:0019566","GO:0019566")</f>
        <v>GO:0019566</v>
      </c>
      <c r="D188" t="s">
        <v>1278</v>
      </c>
      <c r="E188">
        <v>19</v>
      </c>
      <c r="F188">
        <v>2</v>
      </c>
      <c r="G188">
        <v>5.1676650063934302E-3</v>
      </c>
      <c r="H188">
        <v>0.12919162515983501</v>
      </c>
      <c r="I188" t="s">
        <v>5658</v>
      </c>
    </row>
    <row r="189" spans="1:9" x14ac:dyDescent="0.25">
      <c r="A189" t="s">
        <v>2754</v>
      </c>
      <c r="C189" s="3" t="str">
        <f>HYPERLINK("http://amigo.geneontology.org/amigo/term/GO:0046373","GO:0046373")</f>
        <v>GO:0046373</v>
      </c>
      <c r="D189" t="s">
        <v>1281</v>
      </c>
      <c r="E189">
        <v>19</v>
      </c>
      <c r="F189">
        <v>2</v>
      </c>
      <c r="G189">
        <v>5.1676650063934302E-3</v>
      </c>
      <c r="H189">
        <v>0.12919162515983501</v>
      </c>
      <c r="I189" t="s">
        <v>5658</v>
      </c>
    </row>
    <row r="190" spans="1:9" x14ac:dyDescent="0.25">
      <c r="A190" t="s">
        <v>2760</v>
      </c>
      <c r="C190" s="3" t="str">
        <f>HYPERLINK("http://amigo.geneontology.org/amigo/term/GO:0046556","GO:0046556")</f>
        <v>GO:0046556</v>
      </c>
      <c r="D190" t="s">
        <v>1283</v>
      </c>
      <c r="E190">
        <v>19</v>
      </c>
      <c r="F190">
        <v>2</v>
      </c>
      <c r="G190">
        <v>5.1676650063934302E-3</v>
      </c>
      <c r="H190">
        <v>0.12919162515983501</v>
      </c>
      <c r="I190" t="s">
        <v>5658</v>
      </c>
    </row>
    <row r="191" spans="1:9" x14ac:dyDescent="0.25">
      <c r="A191" t="s">
        <v>2761</v>
      </c>
      <c r="C191" s="3" t="str">
        <f>HYPERLINK("http://amigo.geneontology.org/amigo/term/GO:0005342","GO:0005342")</f>
        <v>GO:0005342</v>
      </c>
      <c r="D191" t="s">
        <v>5659</v>
      </c>
      <c r="E191">
        <v>121</v>
      </c>
      <c r="F191">
        <v>4</v>
      </c>
      <c r="G191">
        <v>5.1815975588532098E-3</v>
      </c>
      <c r="H191">
        <v>0.12435834141247699</v>
      </c>
      <c r="I191" t="s">
        <v>5660</v>
      </c>
    </row>
    <row r="192" spans="1:9" x14ac:dyDescent="0.25">
      <c r="A192" t="s">
        <v>5661</v>
      </c>
      <c r="C192" s="3" t="str">
        <f>HYPERLINK("http://amigo.geneontology.org/amigo/term/GO:0046943","GO:0046943")</f>
        <v>GO:0046943</v>
      </c>
      <c r="D192" t="s">
        <v>5662</v>
      </c>
      <c r="E192">
        <v>121</v>
      </c>
      <c r="F192">
        <v>4</v>
      </c>
      <c r="G192">
        <v>5.1815975588532098E-3</v>
      </c>
      <c r="H192">
        <v>0.12953993897133001</v>
      </c>
      <c r="I192" t="s">
        <v>5660</v>
      </c>
    </row>
    <row r="193" spans="1:9" x14ac:dyDescent="0.25">
      <c r="A193" t="s">
        <v>49</v>
      </c>
      <c r="C193" s="3" t="str">
        <f>HYPERLINK("http://amigo.geneontology.org/amigo/term/GO:0042391","GO:0042391")</f>
        <v>GO:0042391</v>
      </c>
      <c r="D193" t="s">
        <v>5663</v>
      </c>
      <c r="E193">
        <v>1</v>
      </c>
      <c r="F193">
        <v>1</v>
      </c>
      <c r="G193">
        <v>5.6824816097661296E-3</v>
      </c>
      <c r="H193">
        <v>0.13069707702462099</v>
      </c>
      <c r="I193" t="s">
        <v>5454</v>
      </c>
    </row>
    <row r="194" spans="1:9" x14ac:dyDescent="0.25">
      <c r="A194" t="s">
        <v>5197</v>
      </c>
      <c r="C194" s="3" t="str">
        <f>HYPERLINK("http://amigo.geneontology.org/amigo/term/GO:0015812","GO:0015812")</f>
        <v>GO:0015812</v>
      </c>
      <c r="D194" t="s">
        <v>5664</v>
      </c>
      <c r="E194">
        <v>1</v>
      </c>
      <c r="F194">
        <v>1</v>
      </c>
      <c r="G194">
        <v>5.6824816097661296E-3</v>
      </c>
      <c r="H194">
        <v>0.13069707702462099</v>
      </c>
      <c r="I194" t="s">
        <v>5665</v>
      </c>
    </row>
    <row r="195" spans="1:9" x14ac:dyDescent="0.25">
      <c r="A195" t="s">
        <v>2774</v>
      </c>
      <c r="C195" s="3" t="str">
        <f>HYPERLINK("http://amigo.geneontology.org/amigo/term/GO:0004753","GO:0004753")</f>
        <v>GO:0004753</v>
      </c>
      <c r="D195" t="s">
        <v>5148</v>
      </c>
      <c r="E195">
        <v>1</v>
      </c>
      <c r="F195">
        <v>1</v>
      </c>
      <c r="G195">
        <v>5.6824816097661296E-3</v>
      </c>
      <c r="H195">
        <v>0.13069707702462099</v>
      </c>
      <c r="I195" t="s">
        <v>5149</v>
      </c>
    </row>
    <row r="196" spans="1:9" x14ac:dyDescent="0.25">
      <c r="A196" t="s">
        <v>5199</v>
      </c>
      <c r="C196" s="3" t="str">
        <f>HYPERLINK("http://amigo.geneontology.org/amigo/term/GO:0006554","GO:0006554")</f>
        <v>GO:0006554</v>
      </c>
      <c r="D196" t="s">
        <v>5151</v>
      </c>
      <c r="E196">
        <v>1</v>
      </c>
      <c r="F196">
        <v>1</v>
      </c>
      <c r="G196">
        <v>5.6824816097661296E-3</v>
      </c>
      <c r="H196">
        <v>0.136379558634387</v>
      </c>
      <c r="I196" t="s">
        <v>5149</v>
      </c>
    </row>
    <row r="197" spans="1:9" x14ac:dyDescent="0.25">
      <c r="A197" t="s">
        <v>5665</v>
      </c>
      <c r="C197" s="3" t="str">
        <f>HYPERLINK("http://amigo.geneontology.org/amigo/term/GO:0046440","GO:0046440")</f>
        <v>GO:0046440</v>
      </c>
      <c r="D197" t="s">
        <v>5152</v>
      </c>
      <c r="E197">
        <v>1</v>
      </c>
      <c r="F197">
        <v>1</v>
      </c>
      <c r="G197">
        <v>5.6824816097661296E-3</v>
      </c>
      <c r="H197">
        <v>0.136379558634387</v>
      </c>
      <c r="I197" t="s">
        <v>5149</v>
      </c>
    </row>
    <row r="198" spans="1:9" x14ac:dyDescent="0.25">
      <c r="A198" t="s">
        <v>5201</v>
      </c>
      <c r="C198" s="3" t="str">
        <f>HYPERLINK("http://amigo.geneontology.org/amigo/term/GO:0019477","GO:0019477")</f>
        <v>GO:0019477</v>
      </c>
      <c r="D198" t="s">
        <v>5154</v>
      </c>
      <c r="E198">
        <v>1</v>
      </c>
      <c r="F198">
        <v>1</v>
      </c>
      <c r="G198">
        <v>5.6824816097661296E-3</v>
      </c>
      <c r="H198">
        <v>0.136379558634387</v>
      </c>
      <c r="I198" t="s">
        <v>5149</v>
      </c>
    </row>
    <row r="199" spans="1:9" x14ac:dyDescent="0.25">
      <c r="A199" t="s">
        <v>5204</v>
      </c>
      <c r="C199" s="3" t="str">
        <f>HYPERLINK("http://amigo.geneontology.org/amigo/term/GO:0019474","GO:0019474")</f>
        <v>GO:0019474</v>
      </c>
      <c r="D199" t="s">
        <v>5156</v>
      </c>
      <c r="E199">
        <v>1</v>
      </c>
      <c r="F199">
        <v>1</v>
      </c>
      <c r="G199">
        <v>5.6824816097661296E-3</v>
      </c>
      <c r="H199">
        <v>0.136379558634387</v>
      </c>
      <c r="I199" t="s">
        <v>5149</v>
      </c>
    </row>
    <row r="200" spans="1:9" x14ac:dyDescent="0.25">
      <c r="A200" t="s">
        <v>2784</v>
      </c>
      <c r="C200" s="3" t="str">
        <f>HYPERLINK("http://amigo.geneontology.org/amigo/term/GO:0033512","GO:0033512")</f>
        <v>GO:0033512</v>
      </c>
      <c r="D200" t="s">
        <v>5158</v>
      </c>
      <c r="E200">
        <v>1</v>
      </c>
      <c r="F200">
        <v>1</v>
      </c>
      <c r="G200">
        <v>5.6824816097661296E-3</v>
      </c>
      <c r="H200">
        <v>0.136379558634387</v>
      </c>
      <c r="I200" t="s">
        <v>5149</v>
      </c>
    </row>
    <row r="201" spans="1:9" x14ac:dyDescent="0.25">
      <c r="A201" t="s">
        <v>1239</v>
      </c>
      <c r="C201" s="3" t="str">
        <f>HYPERLINK("http://amigo.geneontology.org/amigo/term/GO:0047130","GO:0047130")</f>
        <v>GO:0047130</v>
      </c>
      <c r="D201" t="s">
        <v>5160</v>
      </c>
      <c r="E201">
        <v>1</v>
      </c>
      <c r="F201">
        <v>1</v>
      </c>
      <c r="G201">
        <v>5.6824816097661296E-3</v>
      </c>
      <c r="H201">
        <v>0.136379558634387</v>
      </c>
      <c r="I201" t="s">
        <v>5149</v>
      </c>
    </row>
    <row r="202" spans="1:9" x14ac:dyDescent="0.25">
      <c r="A202" t="s">
        <v>2804</v>
      </c>
      <c r="C202" s="3" t="str">
        <f>HYPERLINK("http://amigo.geneontology.org/amigo/term/GO:0047131","GO:0047131")</f>
        <v>GO:0047131</v>
      </c>
      <c r="D202" t="s">
        <v>5162</v>
      </c>
      <c r="E202">
        <v>1</v>
      </c>
      <c r="F202">
        <v>1</v>
      </c>
      <c r="G202">
        <v>5.6824816097661296E-3</v>
      </c>
      <c r="H202">
        <v>0.136379558634387</v>
      </c>
      <c r="I202" t="s">
        <v>5149</v>
      </c>
    </row>
    <row r="203" spans="1:9" x14ac:dyDescent="0.25">
      <c r="A203" t="s">
        <v>2809</v>
      </c>
      <c r="C203" s="3" t="str">
        <f>HYPERLINK("http://amigo.geneontology.org/amigo/term/GO:0008028","GO:0008028")</f>
        <v>GO:0008028</v>
      </c>
      <c r="D203" t="s">
        <v>1314</v>
      </c>
      <c r="E203">
        <v>20</v>
      </c>
      <c r="F203">
        <v>2</v>
      </c>
      <c r="G203">
        <v>5.7203685076546197E-3</v>
      </c>
      <c r="H203">
        <v>0.13156847567605601</v>
      </c>
      <c r="I203" t="s">
        <v>5520</v>
      </c>
    </row>
    <row r="204" spans="1:9" x14ac:dyDescent="0.25">
      <c r="A204" t="s">
        <v>5666</v>
      </c>
      <c r="C204" s="3" t="str">
        <f>HYPERLINK("http://amigo.geneontology.org/amigo/term/GO:0016717","GO:0016717")</f>
        <v>GO:0016717</v>
      </c>
      <c r="D204" t="s">
        <v>475</v>
      </c>
      <c r="E204">
        <v>64</v>
      </c>
      <c r="F204">
        <v>3</v>
      </c>
      <c r="G204">
        <v>5.8746050809041304E-3</v>
      </c>
      <c r="H204">
        <v>0.13511591686079499</v>
      </c>
      <c r="I204" t="s">
        <v>5667</v>
      </c>
    </row>
    <row r="205" spans="1:9" x14ac:dyDescent="0.25">
      <c r="A205" t="s">
        <v>5668</v>
      </c>
      <c r="C205" s="3" t="str">
        <f>HYPERLINK("http://amigo.geneontology.org/amigo/term/GO:0008194","GO:0008194")</f>
        <v>GO:0008194</v>
      </c>
      <c r="D205" t="s">
        <v>825</v>
      </c>
      <c r="E205">
        <v>480</v>
      </c>
      <c r="F205">
        <v>8</v>
      </c>
      <c r="G205">
        <v>6.6491678863811301E-3</v>
      </c>
      <c r="H205">
        <v>0.15293086138676601</v>
      </c>
      <c r="I205" t="s">
        <v>5669</v>
      </c>
    </row>
    <row r="206" spans="1:9" x14ac:dyDescent="0.25">
      <c r="A206" t="s">
        <v>5205</v>
      </c>
      <c r="C206" s="3" t="str">
        <f>HYPERLINK("http://amigo.geneontology.org/amigo/term/GO:0009081","GO:0009081")</f>
        <v>GO:0009081</v>
      </c>
      <c r="D206" t="s">
        <v>5670</v>
      </c>
      <c r="E206">
        <v>67</v>
      </c>
      <c r="F206">
        <v>3</v>
      </c>
      <c r="G206">
        <v>6.6706578598000601E-3</v>
      </c>
      <c r="H206">
        <v>0.15342513077540099</v>
      </c>
      <c r="I206" t="s">
        <v>1026</v>
      </c>
    </row>
    <row r="207" spans="1:9" x14ac:dyDescent="0.25">
      <c r="A207" t="s">
        <v>5206</v>
      </c>
      <c r="C207" s="3" t="str">
        <f>HYPERLINK("http://amigo.geneontology.org/amigo/term/GO:0009415","GO:0009415")</f>
        <v>GO:0009415</v>
      </c>
      <c r="D207" t="s">
        <v>89</v>
      </c>
      <c r="E207">
        <v>209</v>
      </c>
      <c r="F207">
        <v>5</v>
      </c>
      <c r="G207">
        <v>7.1331081915492599E-3</v>
      </c>
      <c r="H207">
        <v>0.164061488405633</v>
      </c>
      <c r="I207" t="s">
        <v>5671</v>
      </c>
    </row>
    <row r="208" spans="1:9" x14ac:dyDescent="0.25">
      <c r="A208" t="s">
        <v>5210</v>
      </c>
      <c r="C208" s="3" t="str">
        <f>HYPERLINK("http://amigo.geneontology.org/amigo/term/GO:0015936","GO:0015936")</f>
        <v>GO:0015936</v>
      </c>
      <c r="D208" t="s">
        <v>1476</v>
      </c>
      <c r="E208">
        <v>23</v>
      </c>
      <c r="F208">
        <v>2</v>
      </c>
      <c r="G208">
        <v>7.5320302397706698E-3</v>
      </c>
      <c r="H208">
        <v>0.165704665274954</v>
      </c>
      <c r="I208" t="s">
        <v>5597</v>
      </c>
    </row>
    <row r="209" spans="1:9" x14ac:dyDescent="0.25">
      <c r="A209" t="s">
        <v>2860</v>
      </c>
      <c r="C209" s="3" t="str">
        <f>HYPERLINK("http://amigo.geneontology.org/amigo/term/GO:0051261","GO:0051261")</f>
        <v>GO:0051261</v>
      </c>
      <c r="D209" t="s">
        <v>651</v>
      </c>
      <c r="E209">
        <v>24</v>
      </c>
      <c r="F209">
        <v>2</v>
      </c>
      <c r="G209">
        <v>8.1860778899649402E-3</v>
      </c>
      <c r="H209">
        <v>0.18009371357922799</v>
      </c>
      <c r="I209" t="s">
        <v>5139</v>
      </c>
    </row>
    <row r="210" spans="1:9" x14ac:dyDescent="0.25">
      <c r="A210" t="s">
        <v>5672</v>
      </c>
      <c r="C210" s="3" t="str">
        <f>HYPERLINK("http://amigo.geneontology.org/amigo/term/GO:0030042","GO:0030042")</f>
        <v>GO:0030042</v>
      </c>
      <c r="D210" t="s">
        <v>654</v>
      </c>
      <c r="E210">
        <v>24</v>
      </c>
      <c r="F210">
        <v>2</v>
      </c>
      <c r="G210">
        <v>8.1860778899649402E-3</v>
      </c>
      <c r="H210">
        <v>0.18009371357922799</v>
      </c>
      <c r="I210" t="s">
        <v>5139</v>
      </c>
    </row>
    <row r="211" spans="1:9" x14ac:dyDescent="0.25">
      <c r="A211" t="s">
        <v>5212</v>
      </c>
      <c r="C211" s="3" t="str">
        <f>HYPERLINK("http://amigo.geneontology.org/amigo/term/GO:0044238","GO:0044238")</f>
        <v>GO:0044238</v>
      </c>
      <c r="D211" t="s">
        <v>612</v>
      </c>
      <c r="E211">
        <v>23308</v>
      </c>
      <c r="F211">
        <v>156</v>
      </c>
      <c r="G211">
        <v>8.7514318931847402E-3</v>
      </c>
      <c r="H211">
        <v>0.192531501650064</v>
      </c>
      <c r="I211" t="s">
        <v>5673</v>
      </c>
    </row>
    <row r="212" spans="1:9" x14ac:dyDescent="0.25">
      <c r="A212" t="s">
        <v>5674</v>
      </c>
      <c r="C212" s="3" t="str">
        <f>HYPERLINK("http://amigo.geneontology.org/amigo/term/GO:0004722","GO:0004722")</f>
        <v>GO:0004722</v>
      </c>
      <c r="D212" t="s">
        <v>5298</v>
      </c>
      <c r="E212">
        <v>221</v>
      </c>
      <c r="F212">
        <v>5</v>
      </c>
      <c r="G212">
        <v>8.9517118210763209E-3</v>
      </c>
      <c r="H212">
        <v>0.19693766006367899</v>
      </c>
      <c r="I212" t="s">
        <v>5675</v>
      </c>
    </row>
    <row r="213" spans="1:9" x14ac:dyDescent="0.25">
      <c r="A213" t="s">
        <v>2868</v>
      </c>
      <c r="C213" s="3" t="str">
        <f>HYPERLINK("http://amigo.geneontology.org/amigo/term/GO:0008514","GO:0008514")</f>
        <v>GO:0008514</v>
      </c>
      <c r="D213" t="s">
        <v>5676</v>
      </c>
      <c r="E213">
        <v>143</v>
      </c>
      <c r="F213">
        <v>4</v>
      </c>
      <c r="G213">
        <v>9.2459425021928707E-3</v>
      </c>
      <c r="H213">
        <v>0.203410735048243</v>
      </c>
      <c r="I213" t="s">
        <v>5660</v>
      </c>
    </row>
    <row r="214" spans="1:9" x14ac:dyDescent="0.25">
      <c r="A214" t="s">
        <v>5214</v>
      </c>
      <c r="C214" s="3" t="str">
        <f>HYPERLINK("http://amigo.geneontology.org/amigo/term/GO:0009691","GO:0009691")</f>
        <v>GO:0009691</v>
      </c>
      <c r="D214" t="s">
        <v>5677</v>
      </c>
      <c r="E214">
        <v>27</v>
      </c>
      <c r="F214">
        <v>2</v>
      </c>
      <c r="G214">
        <v>1.02944779683021E-2</v>
      </c>
      <c r="H214">
        <v>0.22647851530264601</v>
      </c>
      <c r="I214" t="s">
        <v>5678</v>
      </c>
    </row>
    <row r="215" spans="1:9" x14ac:dyDescent="0.25">
      <c r="A215" t="s">
        <v>51</v>
      </c>
      <c r="C215" s="3" t="str">
        <f>HYPERLINK("http://amigo.geneontology.org/amigo/term/GO:0034220","GO:0034220")</f>
        <v>GO:0034220</v>
      </c>
      <c r="D215" t="s">
        <v>362</v>
      </c>
      <c r="E215">
        <v>853</v>
      </c>
      <c r="F215">
        <v>11</v>
      </c>
      <c r="G215">
        <v>1.04701518217469E-2</v>
      </c>
      <c r="H215">
        <v>0.23034334007843199</v>
      </c>
      <c r="I215" t="s">
        <v>5679</v>
      </c>
    </row>
    <row r="216" spans="1:9" x14ac:dyDescent="0.25">
      <c r="A216" t="s">
        <v>54</v>
      </c>
      <c r="C216" s="3" t="str">
        <f>HYPERLINK("http://amigo.geneontology.org/amigo/term/GO:0010295","GO:0010295")</f>
        <v>GO:0010295</v>
      </c>
      <c r="D216" t="s">
        <v>5189</v>
      </c>
      <c r="E216">
        <v>2</v>
      </c>
      <c r="F216">
        <v>1</v>
      </c>
      <c r="G216">
        <v>1.1332745927229E-2</v>
      </c>
      <c r="H216">
        <v>0.23798766447181</v>
      </c>
      <c r="I216" t="s">
        <v>5190</v>
      </c>
    </row>
    <row r="217" spans="1:9" x14ac:dyDescent="0.25">
      <c r="A217" t="s">
        <v>5680</v>
      </c>
      <c r="C217" s="3" t="str">
        <f>HYPERLINK("http://amigo.geneontology.org/amigo/term/GO:0005275","GO:0005275")</f>
        <v>GO:0005275</v>
      </c>
      <c r="D217" t="s">
        <v>5681</v>
      </c>
      <c r="E217">
        <v>2</v>
      </c>
      <c r="F217">
        <v>1</v>
      </c>
      <c r="G217">
        <v>1.1332745927229E-2</v>
      </c>
      <c r="H217">
        <v>0.23798766447181</v>
      </c>
      <c r="I217" t="s">
        <v>3924</v>
      </c>
    </row>
    <row r="218" spans="1:9" x14ac:dyDescent="0.25">
      <c r="A218" t="s">
        <v>2881</v>
      </c>
      <c r="C218" s="3" t="str">
        <f>HYPERLINK("http://amigo.geneontology.org/amigo/term/GO:0015200","GO:0015200")</f>
        <v>GO:0015200</v>
      </c>
      <c r="D218" t="s">
        <v>5682</v>
      </c>
      <c r="E218">
        <v>2</v>
      </c>
      <c r="F218">
        <v>1</v>
      </c>
      <c r="G218">
        <v>1.1332745927229E-2</v>
      </c>
      <c r="H218">
        <v>0.24932041039903899</v>
      </c>
      <c r="I218" t="s">
        <v>3924</v>
      </c>
    </row>
    <row r="219" spans="1:9" x14ac:dyDescent="0.25">
      <c r="A219" t="s">
        <v>5683</v>
      </c>
      <c r="C219" s="3" t="str">
        <f>HYPERLINK("http://amigo.geneontology.org/amigo/term/GO:0015171","GO:0015171")</f>
        <v>GO:0015171</v>
      </c>
      <c r="D219" t="s">
        <v>5684</v>
      </c>
      <c r="E219">
        <v>84</v>
      </c>
      <c r="F219">
        <v>3</v>
      </c>
      <c r="G219">
        <v>1.2363177060351E-2</v>
      </c>
      <c r="H219">
        <v>0.25962671826737099</v>
      </c>
      <c r="I219" t="s">
        <v>5685</v>
      </c>
    </row>
    <row r="220" spans="1:9" x14ac:dyDescent="0.25">
      <c r="A220" t="s">
        <v>5686</v>
      </c>
      <c r="C220" s="3" t="str">
        <f>HYPERLINK("http://amigo.geneontology.org/amigo/term/GO:0070279","GO:0070279")</f>
        <v>GO:0070279</v>
      </c>
      <c r="D220" t="s">
        <v>4253</v>
      </c>
      <c r="E220">
        <v>342</v>
      </c>
      <c r="F220">
        <v>6</v>
      </c>
      <c r="G220">
        <v>1.40986922618866E-2</v>
      </c>
      <c r="H220">
        <v>0.29607253749961998</v>
      </c>
      <c r="I220" t="s">
        <v>5687</v>
      </c>
    </row>
    <row r="221" spans="1:9" x14ac:dyDescent="0.25">
      <c r="A221" t="s">
        <v>2887</v>
      </c>
      <c r="C221" s="3" t="str">
        <f>HYPERLINK("http://amigo.geneontology.org/amigo/term/GO:0030170","GO:0030170")</f>
        <v>GO:0030170</v>
      </c>
      <c r="D221" t="s">
        <v>4255</v>
      </c>
      <c r="E221">
        <v>342</v>
      </c>
      <c r="F221">
        <v>6</v>
      </c>
      <c r="G221">
        <v>1.40986922618866E-2</v>
      </c>
      <c r="H221">
        <v>0.29607253749961998</v>
      </c>
      <c r="I221" t="s">
        <v>5687</v>
      </c>
    </row>
    <row r="222" spans="1:9" x14ac:dyDescent="0.25">
      <c r="A222" t="s">
        <v>2893</v>
      </c>
      <c r="C222" s="3" t="str">
        <f>HYPERLINK("http://amigo.geneontology.org/amigo/term/GO:0016791","GO:0016791")</f>
        <v>GO:0016791</v>
      </c>
      <c r="D222" t="s">
        <v>962</v>
      </c>
      <c r="E222">
        <v>664</v>
      </c>
      <c r="F222">
        <v>9</v>
      </c>
      <c r="G222">
        <v>1.46460661212434E-2</v>
      </c>
      <c r="H222">
        <v>0.30756738854611199</v>
      </c>
      <c r="I222" t="s">
        <v>5688</v>
      </c>
    </row>
    <row r="223" spans="1:9" x14ac:dyDescent="0.25">
      <c r="A223" t="s">
        <v>5689</v>
      </c>
      <c r="C223" s="3" t="str">
        <f>HYPERLINK("http://amigo.geneontology.org/amigo/term/GO:0055065","GO:0055065")</f>
        <v>GO:0055065</v>
      </c>
      <c r="D223" t="s">
        <v>5690</v>
      </c>
      <c r="E223">
        <v>90</v>
      </c>
      <c r="F223">
        <v>3</v>
      </c>
      <c r="G223">
        <v>1.4869081452703801E-2</v>
      </c>
      <c r="H223">
        <v>0.31225071050677999</v>
      </c>
      <c r="I223" t="s">
        <v>5554</v>
      </c>
    </row>
    <row r="224" spans="1:9" x14ac:dyDescent="0.25">
      <c r="A224" t="s">
        <v>2896</v>
      </c>
      <c r="C224" s="3" t="str">
        <f>HYPERLINK("http://amigo.geneontology.org/amigo/term/GO:0043177","GO:0043177")</f>
        <v>GO:0043177</v>
      </c>
      <c r="D224" t="s">
        <v>5691</v>
      </c>
      <c r="E224">
        <v>168</v>
      </c>
      <c r="F224">
        <v>4</v>
      </c>
      <c r="G224">
        <v>1.5885726365510101E-2</v>
      </c>
      <c r="H224">
        <v>0.333600253675712</v>
      </c>
      <c r="I224" t="s">
        <v>5642</v>
      </c>
    </row>
    <row r="225" spans="1:9" x14ac:dyDescent="0.25">
      <c r="A225" t="s">
        <v>2900</v>
      </c>
      <c r="C225" s="3" t="str">
        <f>HYPERLINK("http://amigo.geneontology.org/amigo/term/GO:0031406","GO:0031406")</f>
        <v>GO:0031406</v>
      </c>
      <c r="D225" t="s">
        <v>5692</v>
      </c>
      <c r="E225">
        <v>168</v>
      </c>
      <c r="F225">
        <v>4</v>
      </c>
      <c r="G225">
        <v>1.5885726365510101E-2</v>
      </c>
      <c r="H225">
        <v>0.333600253675712</v>
      </c>
      <c r="I225" t="s">
        <v>5642</v>
      </c>
    </row>
    <row r="226" spans="1:9" x14ac:dyDescent="0.25">
      <c r="A226" t="s">
        <v>2901</v>
      </c>
      <c r="C226" s="3" t="str">
        <f>HYPERLINK("http://amigo.geneontology.org/amigo/term/GO:0008154","GO:0008154")</f>
        <v>GO:0008154</v>
      </c>
      <c r="D226" t="s">
        <v>779</v>
      </c>
      <c r="E226">
        <v>34</v>
      </c>
      <c r="F226">
        <v>2</v>
      </c>
      <c r="G226">
        <v>1.6029682924663599E-2</v>
      </c>
      <c r="H226">
        <v>0.33662334141793498</v>
      </c>
      <c r="I226" t="s">
        <v>5139</v>
      </c>
    </row>
    <row r="227" spans="1:9" x14ac:dyDescent="0.25">
      <c r="A227" t="s">
        <v>5693</v>
      </c>
      <c r="C227" s="3" t="str">
        <f>HYPERLINK("http://amigo.geneontology.org/amigo/term/GO:0050662","GO:0050662")</f>
        <v>GO:0050662</v>
      </c>
      <c r="D227" t="s">
        <v>4434</v>
      </c>
      <c r="E227">
        <v>1801</v>
      </c>
      <c r="F227">
        <v>18</v>
      </c>
      <c r="G227">
        <v>1.6070534588664601E-2</v>
      </c>
      <c r="H227">
        <v>0.32141069177329301</v>
      </c>
      <c r="I227" t="s">
        <v>5694</v>
      </c>
    </row>
    <row r="228" spans="1:9" x14ac:dyDescent="0.25">
      <c r="A228" t="s">
        <v>5215</v>
      </c>
      <c r="C228" s="3" t="str">
        <f>HYPERLINK("http://amigo.geneontology.org/amigo/term/GO:0019239","GO:0019239")</f>
        <v>GO:0019239</v>
      </c>
      <c r="D228" t="s">
        <v>5695</v>
      </c>
      <c r="E228">
        <v>35</v>
      </c>
      <c r="F228">
        <v>2</v>
      </c>
      <c r="G228">
        <v>1.6938028088943E-2</v>
      </c>
      <c r="H228">
        <v>0.33876056177885999</v>
      </c>
      <c r="I228" t="s">
        <v>5547</v>
      </c>
    </row>
    <row r="229" spans="1:9" x14ac:dyDescent="0.25">
      <c r="A229" t="s">
        <v>1399</v>
      </c>
      <c r="C229" s="3" t="str">
        <f>HYPERLINK("http://amigo.geneontology.org/amigo/term/GO:0106019","GO:0106019")</f>
        <v>GO:0106019</v>
      </c>
      <c r="D229" t="s">
        <v>52</v>
      </c>
      <c r="E229">
        <v>3</v>
      </c>
      <c r="F229">
        <v>1</v>
      </c>
      <c r="G229">
        <v>1.6950975194251799E-2</v>
      </c>
      <c r="H229">
        <v>0.32206852869078501</v>
      </c>
      <c r="I229" t="s">
        <v>53</v>
      </c>
    </row>
    <row r="230" spans="1:9" x14ac:dyDescent="0.25">
      <c r="A230" t="s">
        <v>5216</v>
      </c>
      <c r="C230" s="3" t="str">
        <f>HYPERLINK("http://amigo.geneontology.org/amigo/term/GO:0004439","GO:0004439")</f>
        <v>GO:0004439</v>
      </c>
      <c r="D230" t="s">
        <v>55</v>
      </c>
      <c r="E230">
        <v>3</v>
      </c>
      <c r="F230">
        <v>1</v>
      </c>
      <c r="G230">
        <v>1.6950975194251799E-2</v>
      </c>
      <c r="H230">
        <v>0.32206852869078501</v>
      </c>
      <c r="I230" t="s">
        <v>53</v>
      </c>
    </row>
    <row r="231" spans="1:9" x14ac:dyDescent="0.25">
      <c r="A231" t="s">
        <v>5217</v>
      </c>
      <c r="C231" s="3" t="str">
        <f>HYPERLINK("http://amigo.geneontology.org/amigo/term/GO:0046030","GO:0046030")</f>
        <v>GO:0046030</v>
      </c>
      <c r="D231" t="s">
        <v>57</v>
      </c>
      <c r="E231">
        <v>3</v>
      </c>
      <c r="F231">
        <v>1</v>
      </c>
      <c r="G231">
        <v>1.6950975194251799E-2</v>
      </c>
      <c r="H231">
        <v>0.32206852869078501</v>
      </c>
      <c r="I231" t="s">
        <v>53</v>
      </c>
    </row>
    <row r="232" spans="1:9" x14ac:dyDescent="0.25">
      <c r="A232" t="s">
        <v>2921</v>
      </c>
      <c r="C232" s="3" t="str">
        <f>HYPERLINK("http://amigo.geneontology.org/amigo/term/GO:0004445","GO:0004445")</f>
        <v>GO:0004445</v>
      </c>
      <c r="D232" t="s">
        <v>59</v>
      </c>
      <c r="E232">
        <v>3</v>
      </c>
      <c r="F232">
        <v>1</v>
      </c>
      <c r="G232">
        <v>1.6950975194251799E-2</v>
      </c>
      <c r="H232">
        <v>0.32206852869078501</v>
      </c>
      <c r="I232" t="s">
        <v>53</v>
      </c>
    </row>
    <row r="233" spans="1:9" x14ac:dyDescent="0.25">
      <c r="A233" t="s">
        <v>2923</v>
      </c>
      <c r="C233" s="3" t="str">
        <f>HYPERLINK("http://amigo.geneontology.org/amigo/term/GO:0034594","GO:0034594")</f>
        <v>GO:0034594</v>
      </c>
      <c r="D233" t="s">
        <v>60</v>
      </c>
      <c r="E233">
        <v>3</v>
      </c>
      <c r="F233">
        <v>1</v>
      </c>
      <c r="G233">
        <v>1.6950975194251799E-2</v>
      </c>
      <c r="H233">
        <v>0.32206852869078501</v>
      </c>
      <c r="I233" t="s">
        <v>53</v>
      </c>
    </row>
    <row r="234" spans="1:9" x14ac:dyDescent="0.25">
      <c r="A234" t="s">
        <v>5696</v>
      </c>
      <c r="C234" s="3" t="str">
        <f>HYPERLINK("http://amigo.geneontology.org/amigo/term/GO:0034485","GO:0034485")</f>
        <v>GO:0034485</v>
      </c>
      <c r="D234" t="s">
        <v>62</v>
      </c>
      <c r="E234">
        <v>3</v>
      </c>
      <c r="F234">
        <v>1</v>
      </c>
      <c r="G234">
        <v>1.6950975194251799E-2</v>
      </c>
      <c r="H234">
        <v>0.32206852869078501</v>
      </c>
      <c r="I234" t="s">
        <v>53</v>
      </c>
    </row>
    <row r="235" spans="1:9" x14ac:dyDescent="0.25">
      <c r="A235" t="s">
        <v>2927</v>
      </c>
      <c r="C235" s="3" t="str">
        <f>HYPERLINK("http://amigo.geneontology.org/amigo/term/GO:0052658","GO:0052658")</f>
        <v>GO:0052658</v>
      </c>
      <c r="D235" t="s">
        <v>64</v>
      </c>
      <c r="E235">
        <v>3</v>
      </c>
      <c r="F235">
        <v>1</v>
      </c>
      <c r="G235">
        <v>1.6950975194251799E-2</v>
      </c>
      <c r="H235">
        <v>0.32206852869078501</v>
      </c>
      <c r="I235" t="s">
        <v>53</v>
      </c>
    </row>
    <row r="236" spans="1:9" x14ac:dyDescent="0.25">
      <c r="A236" t="s">
        <v>5218</v>
      </c>
      <c r="C236" s="3" t="str">
        <f>HYPERLINK("http://amigo.geneontology.org/amigo/term/GO:0052743","GO:0052743")</f>
        <v>GO:0052743</v>
      </c>
      <c r="D236" t="s">
        <v>66</v>
      </c>
      <c r="E236">
        <v>3</v>
      </c>
      <c r="F236">
        <v>1</v>
      </c>
      <c r="G236">
        <v>1.6950975194251799E-2</v>
      </c>
      <c r="H236">
        <v>0.32206852869078501</v>
      </c>
      <c r="I236" t="s">
        <v>53</v>
      </c>
    </row>
    <row r="237" spans="1:9" x14ac:dyDescent="0.25">
      <c r="A237" t="s">
        <v>5219</v>
      </c>
      <c r="C237" s="3" t="str">
        <f>HYPERLINK("http://amigo.geneontology.org/amigo/term/GO:0052659","GO:0052659")</f>
        <v>GO:0052659</v>
      </c>
      <c r="D237" t="s">
        <v>68</v>
      </c>
      <c r="E237">
        <v>3</v>
      </c>
      <c r="F237">
        <v>1</v>
      </c>
      <c r="G237">
        <v>1.6950975194251799E-2</v>
      </c>
      <c r="H237">
        <v>0.33901950388503699</v>
      </c>
      <c r="I237" t="s">
        <v>53</v>
      </c>
    </row>
    <row r="238" spans="1:9" x14ac:dyDescent="0.25">
      <c r="A238" t="s">
        <v>5697</v>
      </c>
      <c r="C238" s="3" t="str">
        <f>HYPERLINK("http://amigo.geneontology.org/amigo/term/GO:0045176","GO:0045176")</f>
        <v>GO:0045176</v>
      </c>
      <c r="D238" t="s">
        <v>5698</v>
      </c>
      <c r="E238">
        <v>3</v>
      </c>
      <c r="F238">
        <v>1</v>
      </c>
      <c r="G238">
        <v>1.6950975194251799E-2</v>
      </c>
      <c r="H238">
        <v>0.33901950388503699</v>
      </c>
      <c r="I238" t="s">
        <v>5699</v>
      </c>
    </row>
    <row r="239" spans="1:9" x14ac:dyDescent="0.25">
      <c r="A239" t="s">
        <v>5220</v>
      </c>
      <c r="C239" s="3" t="str">
        <f>HYPERLINK("http://amigo.geneontology.org/amigo/term/GO:0015105","GO:0015105")</f>
        <v>GO:0015105</v>
      </c>
      <c r="D239" t="s">
        <v>5700</v>
      </c>
      <c r="E239">
        <v>3</v>
      </c>
      <c r="F239">
        <v>1</v>
      </c>
      <c r="G239">
        <v>1.6950975194251799E-2</v>
      </c>
      <c r="H239">
        <v>0.33901950388503699</v>
      </c>
      <c r="I239" t="s">
        <v>3617</v>
      </c>
    </row>
    <row r="240" spans="1:9" x14ac:dyDescent="0.25">
      <c r="A240" t="s">
        <v>5701</v>
      </c>
      <c r="C240" s="3" t="str">
        <f>HYPERLINK("http://amigo.geneontology.org/amigo/term/GO:0015700","GO:0015700")</f>
        <v>GO:0015700</v>
      </c>
      <c r="D240" t="s">
        <v>5702</v>
      </c>
      <c r="E240">
        <v>3</v>
      </c>
      <c r="F240">
        <v>1</v>
      </c>
      <c r="G240">
        <v>1.6950975194251799E-2</v>
      </c>
      <c r="H240">
        <v>0.33901950388503699</v>
      </c>
      <c r="I240" t="s">
        <v>3617</v>
      </c>
    </row>
    <row r="241" spans="1:9" x14ac:dyDescent="0.25">
      <c r="A241" t="s">
        <v>5221</v>
      </c>
      <c r="C241" s="3" t="str">
        <f>HYPERLINK("http://amigo.geneontology.org/amigo/term/GO:0015140","GO:0015140")</f>
        <v>GO:0015140</v>
      </c>
      <c r="D241" t="s">
        <v>5222</v>
      </c>
      <c r="E241">
        <v>3</v>
      </c>
      <c r="F241">
        <v>1</v>
      </c>
      <c r="G241">
        <v>1.6950975194251799E-2</v>
      </c>
      <c r="H241">
        <v>0.33901950388503699</v>
      </c>
      <c r="I241" t="s">
        <v>5223</v>
      </c>
    </row>
    <row r="242" spans="1:9" x14ac:dyDescent="0.25">
      <c r="A242" t="s">
        <v>5224</v>
      </c>
      <c r="C242" s="3" t="str">
        <f>HYPERLINK("http://amigo.geneontology.org/amigo/term/GO:0000322","GO:0000322")</f>
        <v>GO:0000322</v>
      </c>
      <c r="D242" t="s">
        <v>5703</v>
      </c>
      <c r="E242">
        <v>3</v>
      </c>
      <c r="F242">
        <v>1</v>
      </c>
      <c r="G242">
        <v>1.6950975194251799E-2</v>
      </c>
      <c r="H242">
        <v>0.33901950388503699</v>
      </c>
      <c r="I242" t="s">
        <v>3924</v>
      </c>
    </row>
    <row r="243" spans="1:9" x14ac:dyDescent="0.25">
      <c r="A243" t="s">
        <v>5704</v>
      </c>
      <c r="C243" s="3" t="str">
        <f>HYPERLINK("http://amigo.geneontology.org/amigo/term/GO:0000326","GO:0000326")</f>
        <v>GO:0000326</v>
      </c>
      <c r="D243" t="s">
        <v>5705</v>
      </c>
      <c r="E243">
        <v>3</v>
      </c>
      <c r="F243">
        <v>1</v>
      </c>
      <c r="G243">
        <v>1.6950975194251799E-2</v>
      </c>
      <c r="H243">
        <v>0.33901950388503699</v>
      </c>
      <c r="I243" t="s">
        <v>3924</v>
      </c>
    </row>
    <row r="244" spans="1:9" x14ac:dyDescent="0.25">
      <c r="A244" t="s">
        <v>2957</v>
      </c>
      <c r="C244" s="3" t="str">
        <f>HYPERLINK("http://amigo.geneontology.org/amigo/term/GO:0042807","GO:0042807")</f>
        <v>GO:0042807</v>
      </c>
      <c r="D244" t="s">
        <v>5706</v>
      </c>
      <c r="E244">
        <v>3</v>
      </c>
      <c r="F244">
        <v>1</v>
      </c>
      <c r="G244">
        <v>1.6950975194251799E-2</v>
      </c>
      <c r="H244">
        <v>0.33901950388503699</v>
      </c>
      <c r="I244" t="s">
        <v>3924</v>
      </c>
    </row>
    <row r="245" spans="1:9" x14ac:dyDescent="0.25">
      <c r="A245" t="s">
        <v>5707</v>
      </c>
      <c r="C245" s="3" t="str">
        <f>HYPERLINK("http://amigo.geneontology.org/amigo/term/GO:0030244","GO:0030244")</f>
        <v>GO:0030244</v>
      </c>
      <c r="D245" t="s">
        <v>1109</v>
      </c>
      <c r="E245">
        <v>175</v>
      </c>
      <c r="F245">
        <v>4</v>
      </c>
      <c r="G245">
        <v>1.8166527422336699E-2</v>
      </c>
      <c r="H245">
        <v>0.34516402102439703</v>
      </c>
      <c r="I245" t="s">
        <v>5626</v>
      </c>
    </row>
    <row r="246" spans="1:9" x14ac:dyDescent="0.25">
      <c r="A246" t="s">
        <v>2962</v>
      </c>
      <c r="C246" s="3" t="str">
        <f>HYPERLINK("http://amigo.geneontology.org/amigo/term/GO:0009066","GO:0009066")</f>
        <v>GO:0009066</v>
      </c>
      <c r="D246" t="s">
        <v>5136</v>
      </c>
      <c r="E246">
        <v>179</v>
      </c>
      <c r="F246">
        <v>4</v>
      </c>
      <c r="G246">
        <v>1.9556452317047501E-2</v>
      </c>
      <c r="H246">
        <v>0.37157259402390203</v>
      </c>
      <c r="I246" t="s">
        <v>5137</v>
      </c>
    </row>
    <row r="247" spans="1:9" x14ac:dyDescent="0.25">
      <c r="A247" t="s">
        <v>5708</v>
      </c>
      <c r="C247" s="3" t="str">
        <f>HYPERLINK("http://amigo.geneontology.org/amigo/term/GO:0016884","GO:0016884")</f>
        <v>GO:0016884</v>
      </c>
      <c r="D247" t="s">
        <v>5164</v>
      </c>
      <c r="E247">
        <v>101</v>
      </c>
      <c r="F247">
        <v>3</v>
      </c>
      <c r="G247">
        <v>2.01555857114585E-2</v>
      </c>
      <c r="H247">
        <v>0.38295612851771299</v>
      </c>
      <c r="I247" t="s">
        <v>5066</v>
      </c>
    </row>
    <row r="248" spans="1:9" x14ac:dyDescent="0.25">
      <c r="A248" t="s">
        <v>56</v>
      </c>
      <c r="C248" s="3" t="str">
        <f>HYPERLINK("http://amigo.geneontology.org/amigo/term/GO:0050660","GO:0050660")</f>
        <v>GO:0050660</v>
      </c>
      <c r="D248" t="s">
        <v>5709</v>
      </c>
      <c r="E248">
        <v>591</v>
      </c>
      <c r="F248">
        <v>8</v>
      </c>
      <c r="G248">
        <v>2.08534476745336E-2</v>
      </c>
      <c r="H248">
        <v>0.39621550581613901</v>
      </c>
      <c r="I248" t="s">
        <v>5710</v>
      </c>
    </row>
    <row r="249" spans="1:9" x14ac:dyDescent="0.25">
      <c r="A249" t="s">
        <v>58</v>
      </c>
      <c r="C249" s="3" t="str">
        <f>HYPERLINK("http://amigo.geneontology.org/amigo/term/GO:0010012","GO:0010012")</f>
        <v>GO:0010012</v>
      </c>
      <c r="D249" t="s">
        <v>1044</v>
      </c>
      <c r="E249">
        <v>4</v>
      </c>
      <c r="F249">
        <v>1</v>
      </c>
      <c r="G249">
        <v>2.25373506268483E-2</v>
      </c>
      <c r="H249">
        <v>0.40567231128326903</v>
      </c>
      <c r="I249" t="s">
        <v>5609</v>
      </c>
    </row>
    <row r="250" spans="1:9" x14ac:dyDescent="0.25">
      <c r="A250" t="s">
        <v>2973</v>
      </c>
      <c r="C250" s="3" t="str">
        <f>HYPERLINK("http://amigo.geneontology.org/amigo/term/GO:0000064","GO:0000064")</f>
        <v>GO:0000064</v>
      </c>
      <c r="D250" t="s">
        <v>5711</v>
      </c>
      <c r="E250">
        <v>4</v>
      </c>
      <c r="F250">
        <v>1</v>
      </c>
      <c r="G250">
        <v>2.25373506268483E-2</v>
      </c>
      <c r="H250">
        <v>0.40567231128326903</v>
      </c>
      <c r="I250" t="s">
        <v>2716</v>
      </c>
    </row>
    <row r="251" spans="1:9" x14ac:dyDescent="0.25">
      <c r="A251" t="s">
        <v>5230</v>
      </c>
      <c r="C251" s="3" t="str">
        <f>HYPERLINK("http://amigo.geneontology.org/amigo/term/GO:0015173","GO:0015173")</f>
        <v>GO:0015173</v>
      </c>
      <c r="D251" t="s">
        <v>5712</v>
      </c>
      <c r="E251">
        <v>4</v>
      </c>
      <c r="F251">
        <v>1</v>
      </c>
      <c r="G251">
        <v>2.25373506268483E-2</v>
      </c>
      <c r="H251">
        <v>0.40567231128326903</v>
      </c>
      <c r="I251" t="s">
        <v>2716</v>
      </c>
    </row>
    <row r="252" spans="1:9" x14ac:dyDescent="0.25">
      <c r="A252" t="s">
        <v>2978</v>
      </c>
      <c r="C252" s="3" t="str">
        <f>HYPERLINK("http://amigo.geneontology.org/amigo/term/GO:1901474","GO:1901474")</f>
        <v>GO:1901474</v>
      </c>
      <c r="D252" t="s">
        <v>5713</v>
      </c>
      <c r="E252">
        <v>4</v>
      </c>
      <c r="F252">
        <v>1</v>
      </c>
      <c r="G252">
        <v>2.25373506268483E-2</v>
      </c>
      <c r="H252">
        <v>0.40567231128326903</v>
      </c>
      <c r="I252" t="s">
        <v>2716</v>
      </c>
    </row>
    <row r="253" spans="1:9" x14ac:dyDescent="0.25">
      <c r="A253" t="s">
        <v>5231</v>
      </c>
      <c r="C253" s="3" t="str">
        <f>HYPERLINK("http://amigo.geneontology.org/amigo/term/GO:0005290","GO:0005290")</f>
        <v>GO:0005290</v>
      </c>
      <c r="D253" t="s">
        <v>5714</v>
      </c>
      <c r="E253">
        <v>4</v>
      </c>
      <c r="F253">
        <v>1</v>
      </c>
      <c r="G253">
        <v>2.25373506268483E-2</v>
      </c>
      <c r="H253">
        <v>0.40567231128326903</v>
      </c>
      <c r="I253" t="s">
        <v>2716</v>
      </c>
    </row>
    <row r="254" spans="1:9" x14ac:dyDescent="0.25">
      <c r="A254" t="s">
        <v>5715</v>
      </c>
      <c r="C254" s="3" t="str">
        <f>HYPERLINK("http://amigo.geneontology.org/amigo/term/GO:0006836","GO:0006836")</f>
        <v>GO:0006836</v>
      </c>
      <c r="D254" t="s">
        <v>5716</v>
      </c>
      <c r="E254">
        <v>4</v>
      </c>
      <c r="F254">
        <v>1</v>
      </c>
      <c r="G254">
        <v>2.25373506268483E-2</v>
      </c>
      <c r="H254">
        <v>0.40567231128326903</v>
      </c>
      <c r="I254" t="s">
        <v>5665</v>
      </c>
    </row>
    <row r="255" spans="1:9" x14ac:dyDescent="0.25">
      <c r="A255" t="s">
        <v>2994</v>
      </c>
      <c r="C255" s="3" t="str">
        <f>HYPERLINK("http://amigo.geneontology.org/amigo/term/GO:0034595","GO:0034595")</f>
        <v>GO:0034595</v>
      </c>
      <c r="D255" t="s">
        <v>72</v>
      </c>
      <c r="E255">
        <v>4</v>
      </c>
      <c r="F255">
        <v>1</v>
      </c>
      <c r="G255">
        <v>2.25373506268483E-2</v>
      </c>
      <c r="H255">
        <v>0.40567231128326903</v>
      </c>
      <c r="I255" t="s">
        <v>53</v>
      </c>
    </row>
    <row r="256" spans="1:9" x14ac:dyDescent="0.25">
      <c r="A256" t="s">
        <v>2154</v>
      </c>
      <c r="C256" s="3" t="str">
        <f>HYPERLINK("http://amigo.geneontology.org/amigo/term/GO:0034593","GO:0034593")</f>
        <v>GO:0034593</v>
      </c>
      <c r="D256" t="s">
        <v>74</v>
      </c>
      <c r="E256">
        <v>4</v>
      </c>
      <c r="F256">
        <v>1</v>
      </c>
      <c r="G256">
        <v>2.25373506268483E-2</v>
      </c>
      <c r="H256">
        <v>0.40567231128326903</v>
      </c>
      <c r="I256" t="s">
        <v>53</v>
      </c>
    </row>
    <row r="257" spans="1:9" x14ac:dyDescent="0.25">
      <c r="A257" t="s">
        <v>5717</v>
      </c>
      <c r="C257" s="3" t="str">
        <f>HYPERLINK("http://amigo.geneontology.org/amigo/term/GO:0106018","GO:0106018")</f>
        <v>GO:0106018</v>
      </c>
      <c r="D257" t="s">
        <v>76</v>
      </c>
      <c r="E257">
        <v>4</v>
      </c>
      <c r="F257">
        <v>1</v>
      </c>
      <c r="G257">
        <v>2.25373506268483E-2</v>
      </c>
      <c r="H257">
        <v>0.40567231128326903</v>
      </c>
      <c r="I257" t="s">
        <v>53</v>
      </c>
    </row>
    <row r="258" spans="1:9" x14ac:dyDescent="0.25">
      <c r="A258" t="s">
        <v>5234</v>
      </c>
      <c r="C258" s="3" t="str">
        <f>HYPERLINK("http://amigo.geneontology.org/amigo/term/GO:0043813","GO:0043813")</f>
        <v>GO:0043813</v>
      </c>
      <c r="D258" t="s">
        <v>78</v>
      </c>
      <c r="E258">
        <v>4</v>
      </c>
      <c r="F258">
        <v>1</v>
      </c>
      <c r="G258">
        <v>2.25373506268483E-2</v>
      </c>
      <c r="H258">
        <v>0.40567231128326903</v>
      </c>
      <c r="I258" t="s">
        <v>53</v>
      </c>
    </row>
    <row r="259" spans="1:9" x14ac:dyDescent="0.25">
      <c r="A259" t="s">
        <v>5718</v>
      </c>
      <c r="C259" s="3" t="str">
        <f>HYPERLINK("http://amigo.geneontology.org/amigo/term/GO:0033865","GO:0033865")</f>
        <v>GO:0033865</v>
      </c>
      <c r="D259" t="s">
        <v>5328</v>
      </c>
      <c r="E259">
        <v>106</v>
      </c>
      <c r="F259">
        <v>3</v>
      </c>
      <c r="G259">
        <v>2.2857107594221601E-2</v>
      </c>
      <c r="H259">
        <v>0.41142793669598898</v>
      </c>
      <c r="I259" t="s">
        <v>5719</v>
      </c>
    </row>
    <row r="260" spans="1:9" x14ac:dyDescent="0.25">
      <c r="A260" t="s">
        <v>3011</v>
      </c>
      <c r="C260" s="3" t="str">
        <f>HYPERLINK("http://amigo.geneontology.org/amigo/term/GO:0033875","GO:0033875")</f>
        <v>GO:0033875</v>
      </c>
      <c r="D260" t="s">
        <v>5331</v>
      </c>
      <c r="E260">
        <v>106</v>
      </c>
      <c r="F260">
        <v>3</v>
      </c>
      <c r="G260">
        <v>2.2857107594221601E-2</v>
      </c>
      <c r="H260">
        <v>0.41142793669598898</v>
      </c>
      <c r="I260" t="s">
        <v>5719</v>
      </c>
    </row>
    <row r="261" spans="1:9" x14ac:dyDescent="0.25">
      <c r="A261" t="s">
        <v>5720</v>
      </c>
      <c r="C261" s="3" t="str">
        <f>HYPERLINK("http://amigo.geneontology.org/amigo/term/GO:0034032","GO:0034032")</f>
        <v>GO:0034032</v>
      </c>
      <c r="D261" t="s">
        <v>5333</v>
      </c>
      <c r="E261">
        <v>106</v>
      </c>
      <c r="F261">
        <v>3</v>
      </c>
      <c r="G261">
        <v>2.2857107594221601E-2</v>
      </c>
      <c r="H261">
        <v>0.41142793669598898</v>
      </c>
      <c r="I261" t="s">
        <v>5719</v>
      </c>
    </row>
    <row r="262" spans="1:9" x14ac:dyDescent="0.25">
      <c r="A262" t="s">
        <v>3021</v>
      </c>
      <c r="C262" s="3" t="str">
        <f>HYPERLINK("http://amigo.geneontology.org/amigo/term/GO:0015298","GO:0015298")</f>
        <v>GO:0015298</v>
      </c>
      <c r="D262" t="s">
        <v>221</v>
      </c>
      <c r="E262">
        <v>107</v>
      </c>
      <c r="F262">
        <v>3</v>
      </c>
      <c r="G262">
        <v>2.3419852914629599E-2</v>
      </c>
      <c r="H262">
        <v>0.39813749954870298</v>
      </c>
      <c r="I262" t="s">
        <v>5554</v>
      </c>
    </row>
    <row r="263" spans="1:9" x14ac:dyDescent="0.25">
      <c r="A263" t="s">
        <v>5721</v>
      </c>
      <c r="C263" s="3" t="str">
        <f>HYPERLINK("http://amigo.geneontology.org/amigo/term/GO:0015299","GO:0015299")</f>
        <v>GO:0015299</v>
      </c>
      <c r="D263" t="s">
        <v>224</v>
      </c>
      <c r="E263">
        <v>107</v>
      </c>
      <c r="F263">
        <v>3</v>
      </c>
      <c r="G263">
        <v>2.3419852914629599E-2</v>
      </c>
      <c r="H263">
        <v>0.39813749954870298</v>
      </c>
      <c r="I263" t="s">
        <v>5554</v>
      </c>
    </row>
    <row r="264" spans="1:9" x14ac:dyDescent="0.25">
      <c r="A264" t="s">
        <v>3022</v>
      </c>
      <c r="C264" s="3" t="str">
        <f>HYPERLINK("http://amigo.geneontology.org/amigo/term/GO:0098771","GO:0098771")</f>
        <v>GO:0098771</v>
      </c>
      <c r="D264" t="s">
        <v>5722</v>
      </c>
      <c r="E264">
        <v>110</v>
      </c>
      <c r="F264">
        <v>3</v>
      </c>
      <c r="G264">
        <v>2.5152946353670599E-2</v>
      </c>
      <c r="H264">
        <v>0.42760008801240001</v>
      </c>
      <c r="I264" t="s">
        <v>5554</v>
      </c>
    </row>
    <row r="265" spans="1:9" x14ac:dyDescent="0.25">
      <c r="A265" t="s">
        <v>5723</v>
      </c>
      <c r="C265" s="3" t="str">
        <f>HYPERLINK("http://amigo.geneontology.org/amigo/term/GO:0004519","GO:0004519")</f>
        <v>GO:0004519</v>
      </c>
      <c r="D265" t="s">
        <v>5132</v>
      </c>
      <c r="E265">
        <v>291</v>
      </c>
      <c r="F265">
        <v>5</v>
      </c>
      <c r="G265">
        <v>2.60972173109652E-2</v>
      </c>
      <c r="H265">
        <v>0.44365269428640902</v>
      </c>
      <c r="I265" t="s">
        <v>5061</v>
      </c>
    </row>
    <row r="266" spans="1:9" x14ac:dyDescent="0.25">
      <c r="A266" t="s">
        <v>5235</v>
      </c>
      <c r="C266" s="3" t="str">
        <f>HYPERLINK("http://amigo.geneontology.org/amigo/term/GO:0009058","GO:0009058")</f>
        <v>GO:0009058</v>
      </c>
      <c r="D266" t="s">
        <v>5724</v>
      </c>
      <c r="E266">
        <v>8848</v>
      </c>
      <c r="F266">
        <v>64</v>
      </c>
      <c r="G266">
        <v>2.6323950875633401E-2</v>
      </c>
      <c r="H266">
        <v>0.44750716488576803</v>
      </c>
      <c r="I266" t="s">
        <v>5725</v>
      </c>
    </row>
    <row r="267" spans="1:9" x14ac:dyDescent="0.25">
      <c r="A267" t="s">
        <v>5238</v>
      </c>
      <c r="C267" s="3" t="str">
        <f>HYPERLINK("http://amigo.geneontology.org/amigo/term/GO:0043067","GO:0043067")</f>
        <v>GO:0043067</v>
      </c>
      <c r="D267" t="s">
        <v>5726</v>
      </c>
      <c r="E267">
        <v>112</v>
      </c>
      <c r="F267">
        <v>3</v>
      </c>
      <c r="G267">
        <v>2.6345687997807499E-2</v>
      </c>
      <c r="H267">
        <v>0.447876695962728</v>
      </c>
      <c r="I267" t="s">
        <v>5593</v>
      </c>
    </row>
    <row r="268" spans="1:9" x14ac:dyDescent="0.25">
      <c r="A268" t="s">
        <v>5239</v>
      </c>
      <c r="C268" s="3" t="str">
        <f>HYPERLINK("http://amigo.geneontology.org/amigo/term/GO:0046165","GO:0046165")</f>
        <v>GO:0046165</v>
      </c>
      <c r="D268" t="s">
        <v>70</v>
      </c>
      <c r="E268">
        <v>112</v>
      </c>
      <c r="F268">
        <v>3</v>
      </c>
      <c r="G268">
        <v>2.6345687997807499E-2</v>
      </c>
      <c r="H268">
        <v>0.447876695962728</v>
      </c>
      <c r="I268" t="s">
        <v>5727</v>
      </c>
    </row>
    <row r="269" spans="1:9" x14ac:dyDescent="0.25">
      <c r="A269" t="s">
        <v>5240</v>
      </c>
      <c r="C269" s="3" t="str">
        <f>HYPERLINK("http://amigo.geneontology.org/amigo/term/GO:0051213","GO:0051213")</f>
        <v>GO:0051213</v>
      </c>
      <c r="D269" t="s">
        <v>5728</v>
      </c>
      <c r="E269">
        <v>396</v>
      </c>
      <c r="F269">
        <v>6</v>
      </c>
      <c r="G269">
        <v>2.6627322676036999E-2</v>
      </c>
      <c r="H269">
        <v>0.452664485492629</v>
      </c>
      <c r="I269" t="s">
        <v>5639</v>
      </c>
    </row>
    <row r="270" spans="1:9" x14ac:dyDescent="0.25">
      <c r="A270" t="s">
        <v>3052</v>
      </c>
      <c r="C270" s="3" t="str">
        <f>HYPERLINK("http://amigo.geneontology.org/amigo/term/GO:0008395","GO:0008395")</f>
        <v>GO:0008395</v>
      </c>
      <c r="D270" t="s">
        <v>1117</v>
      </c>
      <c r="E270">
        <v>5</v>
      </c>
      <c r="F270">
        <v>1</v>
      </c>
      <c r="G270">
        <v>2.80920524176714E-2</v>
      </c>
      <c r="H270">
        <v>0.477564891100414</v>
      </c>
      <c r="I270" t="s">
        <v>5609</v>
      </c>
    </row>
    <row r="271" spans="1:9" x14ac:dyDescent="0.25">
      <c r="A271" t="s">
        <v>3057</v>
      </c>
      <c r="C271" s="3" t="str">
        <f>HYPERLINK("http://amigo.geneontology.org/amigo/term/GO:0015179","GO:0015179")</f>
        <v>GO:0015179</v>
      </c>
      <c r="D271" t="s">
        <v>1119</v>
      </c>
      <c r="E271">
        <v>5</v>
      </c>
      <c r="F271">
        <v>1</v>
      </c>
      <c r="G271">
        <v>2.80920524176714E-2</v>
      </c>
      <c r="H271">
        <v>0.477564891100414</v>
      </c>
      <c r="I271" t="s">
        <v>2716</v>
      </c>
    </row>
    <row r="272" spans="1:9" x14ac:dyDescent="0.25">
      <c r="A272" t="s">
        <v>2155</v>
      </c>
      <c r="C272" s="3" t="str">
        <f>HYPERLINK("http://amigo.geneontology.org/amigo/term/GO:0015174","GO:0015174")</f>
        <v>GO:0015174</v>
      </c>
      <c r="D272" t="s">
        <v>1122</v>
      </c>
      <c r="E272">
        <v>5</v>
      </c>
      <c r="F272">
        <v>1</v>
      </c>
      <c r="G272">
        <v>2.80920524176714E-2</v>
      </c>
      <c r="H272">
        <v>0.477564891100414</v>
      </c>
      <c r="I272" t="s">
        <v>2716</v>
      </c>
    </row>
    <row r="273" spans="1:9" x14ac:dyDescent="0.25">
      <c r="A273" t="s">
        <v>5243</v>
      </c>
      <c r="C273" s="3" t="str">
        <f>HYPERLINK("http://amigo.geneontology.org/amigo/term/GO:0015181","GO:0015181")</f>
        <v>GO:0015181</v>
      </c>
      <c r="D273" t="s">
        <v>1124</v>
      </c>
      <c r="E273">
        <v>5</v>
      </c>
      <c r="F273">
        <v>1</v>
      </c>
      <c r="G273">
        <v>2.80920524176714E-2</v>
      </c>
      <c r="H273">
        <v>0.477564891100414</v>
      </c>
      <c r="I273" t="s">
        <v>2716</v>
      </c>
    </row>
    <row r="274" spans="1:9" x14ac:dyDescent="0.25">
      <c r="A274" t="s">
        <v>3075</v>
      </c>
      <c r="C274" s="3" t="str">
        <f>HYPERLINK("http://amigo.geneontology.org/amigo/term/GO:0015189","GO:0015189")</f>
        <v>GO:0015189</v>
      </c>
      <c r="D274" t="s">
        <v>1126</v>
      </c>
      <c r="E274">
        <v>5</v>
      </c>
      <c r="F274">
        <v>1</v>
      </c>
      <c r="G274">
        <v>2.80920524176714E-2</v>
      </c>
      <c r="H274">
        <v>0.477564891100414</v>
      </c>
      <c r="I274" t="s">
        <v>2716</v>
      </c>
    </row>
    <row r="275" spans="1:9" x14ac:dyDescent="0.25">
      <c r="A275" t="s">
        <v>5248</v>
      </c>
      <c r="C275" s="3" t="str">
        <f>HYPERLINK("http://amigo.geneontology.org/amigo/term/GO:0022804","GO:0022804")</f>
        <v>GO:0022804</v>
      </c>
      <c r="D275" t="s">
        <v>676</v>
      </c>
      <c r="E275">
        <v>1000</v>
      </c>
      <c r="F275">
        <v>11</v>
      </c>
      <c r="G275">
        <v>2.9534344232501501E-2</v>
      </c>
      <c r="H275">
        <v>0.50208385195252603</v>
      </c>
      <c r="I275" t="s">
        <v>5729</v>
      </c>
    </row>
    <row r="276" spans="1:9" x14ac:dyDescent="0.25">
      <c r="A276" t="s">
        <v>5730</v>
      </c>
      <c r="C276" s="3" t="str">
        <f>HYPERLINK("http://amigo.geneontology.org/amigo/term/GO:0071554","GO:0071554")</f>
        <v>GO:0071554</v>
      </c>
      <c r="D276" t="s">
        <v>206</v>
      </c>
      <c r="E276">
        <v>1000</v>
      </c>
      <c r="F276">
        <v>11</v>
      </c>
      <c r="G276">
        <v>2.9534344232501501E-2</v>
      </c>
      <c r="H276">
        <v>0.50208385195252603</v>
      </c>
      <c r="I276" t="s">
        <v>5513</v>
      </c>
    </row>
    <row r="277" spans="1:9" x14ac:dyDescent="0.25">
      <c r="A277" t="s">
        <v>5250</v>
      </c>
      <c r="C277" s="3" t="str">
        <f>HYPERLINK("http://amigo.geneontology.org/amigo/term/GO:0044248","GO:0044248")</f>
        <v>GO:0044248</v>
      </c>
      <c r="D277" t="s">
        <v>5244</v>
      </c>
      <c r="E277">
        <v>2352</v>
      </c>
      <c r="F277">
        <v>21</v>
      </c>
      <c r="G277">
        <v>2.95735155615417E-2</v>
      </c>
      <c r="H277">
        <v>0.47317624898466698</v>
      </c>
      <c r="I277" t="s">
        <v>5731</v>
      </c>
    </row>
    <row r="278" spans="1:9" x14ac:dyDescent="0.25">
      <c r="A278" t="s">
        <v>5732</v>
      </c>
      <c r="C278" s="3" t="str">
        <f>HYPERLINK("http://amigo.geneontology.org/amigo/term/GO:0006470","GO:0006470")</f>
        <v>GO:0006470</v>
      </c>
      <c r="D278" t="s">
        <v>5733</v>
      </c>
      <c r="E278">
        <v>304</v>
      </c>
      <c r="F278">
        <v>5</v>
      </c>
      <c r="G278">
        <v>3.0673754878333199E-2</v>
      </c>
      <c r="H278">
        <v>0.49078007805333101</v>
      </c>
      <c r="I278" t="s">
        <v>5675</v>
      </c>
    </row>
    <row r="279" spans="1:9" x14ac:dyDescent="0.25">
      <c r="A279" t="s">
        <v>5251</v>
      </c>
      <c r="C279" s="3" t="str">
        <f>HYPERLINK("http://amigo.geneontology.org/amigo/term/GO:0005886","GO:0005886")</f>
        <v>GO:0005886</v>
      </c>
      <c r="D279" t="s">
        <v>5734</v>
      </c>
      <c r="E279">
        <v>1135</v>
      </c>
      <c r="F279">
        <v>12</v>
      </c>
      <c r="G279">
        <v>3.0776913363966499E-2</v>
      </c>
      <c r="H279">
        <v>0.49243061382346398</v>
      </c>
      <c r="I279" t="s">
        <v>5735</v>
      </c>
    </row>
    <row r="280" spans="1:9" x14ac:dyDescent="0.25">
      <c r="A280" t="s">
        <v>5254</v>
      </c>
      <c r="C280" s="3" t="str">
        <f>HYPERLINK("http://amigo.geneontology.org/amigo/term/GO:0030243","GO:0030243")</f>
        <v>GO:0030243</v>
      </c>
      <c r="D280" t="s">
        <v>1041</v>
      </c>
      <c r="E280">
        <v>207</v>
      </c>
      <c r="F280">
        <v>4</v>
      </c>
      <c r="G280">
        <v>3.1109202701562099E-2</v>
      </c>
      <c r="H280">
        <v>0.49774724322499297</v>
      </c>
      <c r="I280" t="s">
        <v>5626</v>
      </c>
    </row>
    <row r="281" spans="1:9" x14ac:dyDescent="0.25">
      <c r="A281" t="s">
        <v>5736</v>
      </c>
      <c r="C281" s="3" t="str">
        <f>HYPERLINK("http://amigo.geneontology.org/amigo/term/GO:0016814","GO:0016814")</f>
        <v>GO:0016814</v>
      </c>
      <c r="D281" t="s">
        <v>5737</v>
      </c>
      <c r="E281">
        <v>49</v>
      </c>
      <c r="F281">
        <v>2</v>
      </c>
      <c r="G281">
        <v>3.1784024679073403E-2</v>
      </c>
      <c r="H281">
        <v>0.508544394865175</v>
      </c>
      <c r="I281" t="s">
        <v>5547</v>
      </c>
    </row>
    <row r="282" spans="1:9" x14ac:dyDescent="0.25">
      <c r="A282" t="s">
        <v>5257</v>
      </c>
      <c r="C282" s="3" t="str">
        <f>HYPERLINK("http://amigo.geneontology.org/amigo/term/GO:0010941","GO:0010941")</f>
        <v>GO:0010941</v>
      </c>
      <c r="D282" t="s">
        <v>5738</v>
      </c>
      <c r="E282">
        <v>123</v>
      </c>
      <c r="F282">
        <v>3</v>
      </c>
      <c r="G282">
        <v>3.3437281707323997E-2</v>
      </c>
      <c r="H282">
        <v>0.53499650731718495</v>
      </c>
      <c r="I282" t="s">
        <v>5593</v>
      </c>
    </row>
    <row r="283" spans="1:9" x14ac:dyDescent="0.25">
      <c r="A283" t="s">
        <v>5739</v>
      </c>
      <c r="C283" s="3" t="str">
        <f>HYPERLINK("http://amigo.geneontology.org/amigo/term/GO:0004802","GO:0004802")</f>
        <v>GO:0004802</v>
      </c>
      <c r="D283" t="s">
        <v>5265</v>
      </c>
      <c r="E283">
        <v>6</v>
      </c>
      <c r="F283">
        <v>1</v>
      </c>
      <c r="G283">
        <v>3.3615259738438603E-2</v>
      </c>
      <c r="H283">
        <v>0.53784415581501799</v>
      </c>
      <c r="I283" t="s">
        <v>5099</v>
      </c>
    </row>
    <row r="284" spans="1:9" x14ac:dyDescent="0.25">
      <c r="A284" t="s">
        <v>1603</v>
      </c>
      <c r="C284" s="3" t="str">
        <f>HYPERLINK("http://amigo.geneontology.org/amigo/term/GO:0004719","GO:0004719")</f>
        <v>GO:0004719</v>
      </c>
      <c r="D284" t="s">
        <v>5740</v>
      </c>
      <c r="E284">
        <v>6</v>
      </c>
      <c r="F284">
        <v>1</v>
      </c>
      <c r="G284">
        <v>3.3615259738438603E-2</v>
      </c>
      <c r="H284">
        <v>0.53784415581501799</v>
      </c>
      <c r="I284" t="s">
        <v>5538</v>
      </c>
    </row>
    <row r="285" spans="1:9" x14ac:dyDescent="0.25">
      <c r="A285" t="s">
        <v>1605</v>
      </c>
      <c r="C285" s="3" t="str">
        <f>HYPERLINK("http://amigo.geneontology.org/amigo/term/GO:0009068","GO:0009068")</f>
        <v>GO:0009068</v>
      </c>
      <c r="D285" t="s">
        <v>5267</v>
      </c>
      <c r="E285">
        <v>6</v>
      </c>
      <c r="F285">
        <v>1</v>
      </c>
      <c r="G285">
        <v>3.3615259738438603E-2</v>
      </c>
      <c r="H285">
        <v>0.53784415581501799</v>
      </c>
      <c r="I285" t="s">
        <v>5149</v>
      </c>
    </row>
    <row r="286" spans="1:9" x14ac:dyDescent="0.25">
      <c r="A286" t="s">
        <v>3105</v>
      </c>
      <c r="C286" s="3" t="str">
        <f>HYPERLINK("http://amigo.geneontology.org/amigo/term/GO:0015556","GO:0015556")</f>
        <v>GO:0015556</v>
      </c>
      <c r="D286" t="s">
        <v>5269</v>
      </c>
      <c r="E286">
        <v>6</v>
      </c>
      <c r="F286">
        <v>1</v>
      </c>
      <c r="G286">
        <v>3.3615259738438603E-2</v>
      </c>
      <c r="H286">
        <v>0.53784415581501799</v>
      </c>
      <c r="I286" t="s">
        <v>5223</v>
      </c>
    </row>
    <row r="287" spans="1:9" x14ac:dyDescent="0.25">
      <c r="A287" t="s">
        <v>5741</v>
      </c>
      <c r="C287" s="3" t="str">
        <f>HYPERLINK("http://amigo.geneontology.org/amigo/term/GO:0015718","GO:0015718")</f>
        <v>GO:0015718</v>
      </c>
      <c r="D287" t="s">
        <v>1306</v>
      </c>
      <c r="E287">
        <v>52</v>
      </c>
      <c r="F287">
        <v>2</v>
      </c>
      <c r="G287">
        <v>3.5443307797763002E-2</v>
      </c>
      <c r="H287">
        <v>0.56709292476420803</v>
      </c>
      <c r="I287" t="s">
        <v>5742</v>
      </c>
    </row>
    <row r="288" spans="1:9" x14ac:dyDescent="0.25">
      <c r="A288" t="s">
        <v>53</v>
      </c>
      <c r="C288" s="3" t="str">
        <f>HYPERLINK("http://amigo.geneontology.org/amigo/term/GO:0051274","GO:0051274")</f>
        <v>GO:0051274</v>
      </c>
      <c r="D288" t="s">
        <v>952</v>
      </c>
      <c r="E288">
        <v>216</v>
      </c>
      <c r="F288">
        <v>4</v>
      </c>
      <c r="G288">
        <v>3.5516658123705601E-2</v>
      </c>
      <c r="H288">
        <v>0.56826652997928995</v>
      </c>
      <c r="I288" t="s">
        <v>5626</v>
      </c>
    </row>
    <row r="289" spans="1:9" x14ac:dyDescent="0.25">
      <c r="A289" t="s">
        <v>5259</v>
      </c>
      <c r="C289" s="3" t="str">
        <f>HYPERLINK("http://amigo.geneontology.org/amigo/term/GO:0048878","GO:0048878")</f>
        <v>GO:0048878</v>
      </c>
      <c r="D289" t="s">
        <v>5743</v>
      </c>
      <c r="E289">
        <v>220</v>
      </c>
      <c r="F289">
        <v>4</v>
      </c>
      <c r="G289">
        <v>3.7585509673661602E-2</v>
      </c>
      <c r="H289">
        <v>0.60136815477858496</v>
      </c>
      <c r="I289" t="s">
        <v>5744</v>
      </c>
    </row>
    <row r="290" spans="1:9" x14ac:dyDescent="0.25">
      <c r="A290" t="s">
        <v>5262</v>
      </c>
      <c r="C290" s="3" t="str">
        <f>HYPERLINK("http://amigo.geneontology.org/amigo/term/GO:0006213","GO:0006213")</f>
        <v>GO:0006213</v>
      </c>
      <c r="D290" t="s">
        <v>5745</v>
      </c>
      <c r="E290">
        <v>56</v>
      </c>
      <c r="F290">
        <v>2</v>
      </c>
      <c r="G290">
        <v>4.0560944886376099E-2</v>
      </c>
      <c r="H290">
        <v>0.64897511818201803</v>
      </c>
      <c r="I290" t="s">
        <v>5547</v>
      </c>
    </row>
    <row r="291" spans="1:9" x14ac:dyDescent="0.25">
      <c r="A291" t="s">
        <v>3112</v>
      </c>
      <c r="C291" s="3" t="str">
        <f>HYPERLINK("http://amigo.geneontology.org/amigo/term/GO:0046131","GO:0046131")</f>
        <v>GO:0046131</v>
      </c>
      <c r="D291" t="s">
        <v>5746</v>
      </c>
      <c r="E291">
        <v>56</v>
      </c>
      <c r="F291">
        <v>2</v>
      </c>
      <c r="G291">
        <v>4.0560944886376099E-2</v>
      </c>
      <c r="H291">
        <v>0.64897511818201803</v>
      </c>
      <c r="I291" t="s">
        <v>5547</v>
      </c>
    </row>
    <row r="292" spans="1:9" x14ac:dyDescent="0.25">
      <c r="A292" t="s">
        <v>5747</v>
      </c>
      <c r="C292" s="3" t="str">
        <f>HYPERLINK("http://amigo.geneontology.org/amigo/term/GO:0019321","GO:0019321")</f>
        <v>GO:0019321</v>
      </c>
      <c r="D292" t="s">
        <v>5748</v>
      </c>
      <c r="E292">
        <v>56</v>
      </c>
      <c r="F292">
        <v>2</v>
      </c>
      <c r="G292">
        <v>4.0560944886376099E-2</v>
      </c>
      <c r="H292">
        <v>0.64897511818201803</v>
      </c>
      <c r="I292" t="s">
        <v>5658</v>
      </c>
    </row>
    <row r="293" spans="1:9" x14ac:dyDescent="0.25">
      <c r="A293" t="s">
        <v>5264</v>
      </c>
      <c r="C293" s="3" t="str">
        <f>HYPERLINK("http://amigo.geneontology.org/amigo/term/GO:0004144","GO:0004144")</f>
        <v>GO:0004144</v>
      </c>
      <c r="D293" t="s">
        <v>748</v>
      </c>
      <c r="E293">
        <v>57</v>
      </c>
      <c r="F293">
        <v>2</v>
      </c>
      <c r="G293">
        <v>4.1881417035569198E-2</v>
      </c>
      <c r="H293">
        <v>0.67010267256910805</v>
      </c>
      <c r="I293" t="s">
        <v>5749</v>
      </c>
    </row>
    <row r="294" spans="1:9" x14ac:dyDescent="0.25">
      <c r="A294" t="s">
        <v>3141</v>
      </c>
      <c r="C294" s="3" t="str">
        <f>HYPERLINK("http://amigo.geneontology.org/amigo/term/GO:0016311","GO:0016311")</f>
        <v>GO:0016311</v>
      </c>
      <c r="D294" t="s">
        <v>529</v>
      </c>
      <c r="E294">
        <v>565</v>
      </c>
      <c r="F294">
        <v>7</v>
      </c>
      <c r="G294">
        <v>4.4153576061206901E-2</v>
      </c>
      <c r="H294">
        <v>0.66230364091810301</v>
      </c>
      <c r="I294" t="s">
        <v>5750</v>
      </c>
    </row>
    <row r="295" spans="1:9" x14ac:dyDescent="0.25">
      <c r="A295" t="s">
        <v>5270</v>
      </c>
      <c r="C295" s="3" t="str">
        <f>HYPERLINK("http://amigo.geneontology.org/amigo/term/GO:0019842","GO:0019842")</f>
        <v>GO:0019842</v>
      </c>
      <c r="D295" t="s">
        <v>4329</v>
      </c>
      <c r="E295">
        <v>448</v>
      </c>
      <c r="F295">
        <v>6</v>
      </c>
      <c r="G295">
        <v>4.41619675260135E-2</v>
      </c>
      <c r="H295">
        <v>0.66242951289020202</v>
      </c>
      <c r="I295" t="s">
        <v>5687</v>
      </c>
    </row>
    <row r="296" spans="1:9" x14ac:dyDescent="0.25">
      <c r="A296" t="s">
        <v>3151</v>
      </c>
      <c r="C296" s="3" t="str">
        <f>HYPERLINK("http://amigo.geneontology.org/amigo/term/GO:0052654","GO:0052654")</f>
        <v>GO:0052654</v>
      </c>
      <c r="D296" t="s">
        <v>5751</v>
      </c>
      <c r="E296">
        <v>8</v>
      </c>
      <c r="F296">
        <v>1</v>
      </c>
      <c r="G296">
        <v>4.4567902624913502E-2</v>
      </c>
      <c r="H296">
        <v>0.66851853937370298</v>
      </c>
      <c r="I296" t="s">
        <v>3022</v>
      </c>
    </row>
    <row r="297" spans="1:9" x14ac:dyDescent="0.25">
      <c r="A297" t="s">
        <v>3156</v>
      </c>
      <c r="C297" s="3" t="str">
        <f>HYPERLINK("http://amigo.geneontology.org/amigo/term/GO:0052655","GO:0052655")</f>
        <v>GO:0052655</v>
      </c>
      <c r="D297" t="s">
        <v>5752</v>
      </c>
      <c r="E297">
        <v>8</v>
      </c>
      <c r="F297">
        <v>1</v>
      </c>
      <c r="G297">
        <v>4.4567902624913502E-2</v>
      </c>
      <c r="H297">
        <v>0.66851853937370298</v>
      </c>
      <c r="I297" t="s">
        <v>3022</v>
      </c>
    </row>
    <row r="298" spans="1:9" x14ac:dyDescent="0.25">
      <c r="A298" t="s">
        <v>5271</v>
      </c>
      <c r="C298" s="3" t="str">
        <f>HYPERLINK("http://amigo.geneontology.org/amigo/term/GO:0052656","GO:0052656")</f>
        <v>GO:0052656</v>
      </c>
      <c r="D298" t="s">
        <v>5753</v>
      </c>
      <c r="E298">
        <v>8</v>
      </c>
      <c r="F298">
        <v>1</v>
      </c>
      <c r="G298">
        <v>4.4567902624913502E-2</v>
      </c>
      <c r="H298">
        <v>0.66851853937370298</v>
      </c>
      <c r="I298" t="s">
        <v>3022</v>
      </c>
    </row>
    <row r="299" spans="1:9" x14ac:dyDescent="0.25">
      <c r="A299" t="s">
        <v>3157</v>
      </c>
      <c r="C299" s="3" t="str">
        <f>HYPERLINK("http://amigo.geneontology.org/amigo/term/GO:0015101","GO:0015101")</f>
        <v>GO:0015101</v>
      </c>
      <c r="D299" t="s">
        <v>5754</v>
      </c>
      <c r="E299">
        <v>8</v>
      </c>
      <c r="F299">
        <v>1</v>
      </c>
      <c r="G299">
        <v>4.4567902624913502E-2</v>
      </c>
      <c r="H299">
        <v>0.66851853937370298</v>
      </c>
      <c r="I299" t="s">
        <v>3924</v>
      </c>
    </row>
    <row r="300" spans="1:9" x14ac:dyDescent="0.25">
      <c r="A300" t="s">
        <v>5755</v>
      </c>
      <c r="C300" s="3" t="str">
        <f>HYPERLINK("http://amigo.geneontology.org/amigo/term/GO:0005372","GO:0005372")</f>
        <v>GO:0005372</v>
      </c>
      <c r="D300" t="s">
        <v>5756</v>
      </c>
      <c r="E300">
        <v>8</v>
      </c>
      <c r="F300">
        <v>1</v>
      </c>
      <c r="G300">
        <v>4.4567902624913502E-2</v>
      </c>
      <c r="H300">
        <v>0.66851853937370298</v>
      </c>
      <c r="I300" t="s">
        <v>3924</v>
      </c>
    </row>
    <row r="301" spans="1:9" x14ac:dyDescent="0.25">
      <c r="A301" t="s">
        <v>3162</v>
      </c>
      <c r="C301" s="3" t="str">
        <f>HYPERLINK("http://amigo.geneontology.org/amigo/term/GO:0015250","GO:0015250")</f>
        <v>GO:0015250</v>
      </c>
      <c r="D301" t="s">
        <v>5757</v>
      </c>
      <c r="E301">
        <v>8</v>
      </c>
      <c r="F301">
        <v>1</v>
      </c>
      <c r="G301">
        <v>4.4567902624913502E-2</v>
      </c>
      <c r="H301">
        <v>0.66851853937370298</v>
      </c>
      <c r="I301" t="s">
        <v>3924</v>
      </c>
    </row>
    <row r="302" spans="1:9" x14ac:dyDescent="0.25">
      <c r="A302" t="s">
        <v>5274</v>
      </c>
      <c r="C302" s="3" t="str">
        <f>HYPERLINK("http://amigo.geneontology.org/amigo/term/GO:0032984","GO:0032984")</f>
        <v>GO:0032984</v>
      </c>
      <c r="D302" t="s">
        <v>1136</v>
      </c>
      <c r="E302">
        <v>59</v>
      </c>
      <c r="F302">
        <v>2</v>
      </c>
      <c r="G302">
        <v>4.4570052775805002E-2</v>
      </c>
      <c r="H302">
        <v>0.66855079163707498</v>
      </c>
      <c r="I302" t="s">
        <v>5139</v>
      </c>
    </row>
    <row r="303" spans="1:9" x14ac:dyDescent="0.25">
      <c r="A303" t="s">
        <v>3188</v>
      </c>
      <c r="C303" s="3" t="str">
        <f>HYPERLINK("http://amigo.geneontology.org/amigo/term/GO:0043624","GO:0043624")</f>
        <v>GO:0043624</v>
      </c>
      <c r="D303" t="s">
        <v>1138</v>
      </c>
      <c r="E303">
        <v>59</v>
      </c>
      <c r="F303">
        <v>2</v>
      </c>
      <c r="G303">
        <v>4.4570052775805002E-2</v>
      </c>
      <c r="H303">
        <v>0.66855079163707498</v>
      </c>
      <c r="I303" t="s">
        <v>5139</v>
      </c>
    </row>
    <row r="304" spans="1:9" x14ac:dyDescent="0.25">
      <c r="A304" t="s">
        <v>5758</v>
      </c>
      <c r="C304" s="3" t="str">
        <f>HYPERLINK("http://amigo.geneontology.org/amigo/term/GO:1901575","GO:1901575")</f>
        <v>GO:1901575</v>
      </c>
      <c r="D304" t="s">
        <v>5759</v>
      </c>
      <c r="E304">
        <v>2326</v>
      </c>
      <c r="F304">
        <v>20</v>
      </c>
      <c r="G304">
        <v>4.5768278348224598E-2</v>
      </c>
      <c r="H304">
        <v>0.68652417522336995</v>
      </c>
      <c r="I304" t="s">
        <v>5760</v>
      </c>
    </row>
    <row r="305" spans="1:9" x14ac:dyDescent="0.25">
      <c r="A305" t="s">
        <v>5761</v>
      </c>
      <c r="C305" s="3" t="str">
        <f>HYPERLINK("http://amigo.geneontology.org/amigo/term/GO:0006520","GO:0006520")</f>
        <v>GO:0006520</v>
      </c>
      <c r="D305" t="s">
        <v>5762</v>
      </c>
      <c r="E305">
        <v>1345</v>
      </c>
      <c r="F305">
        <v>13</v>
      </c>
      <c r="G305">
        <v>4.6116974322420498E-2</v>
      </c>
      <c r="H305">
        <v>0.69175461483630796</v>
      </c>
      <c r="I305" t="s">
        <v>5763</v>
      </c>
    </row>
    <row r="306" spans="1:9" x14ac:dyDescent="0.25">
      <c r="A306" t="s">
        <v>5276</v>
      </c>
      <c r="C306" s="3" t="str">
        <f>HYPERLINK("http://amigo.geneontology.org/amigo/term/GO:0022411","GO:0022411")</f>
        <v>GO:0022411</v>
      </c>
      <c r="D306" t="s">
        <v>1158</v>
      </c>
      <c r="E306">
        <v>62</v>
      </c>
      <c r="F306">
        <v>2</v>
      </c>
      <c r="G306">
        <v>4.8718916545515301E-2</v>
      </c>
      <c r="H306">
        <v>0.73078374818272995</v>
      </c>
      <c r="I306" t="s">
        <v>5139</v>
      </c>
    </row>
    <row r="307" spans="1:9" x14ac:dyDescent="0.25">
      <c r="A307" t="s">
        <v>5764</v>
      </c>
      <c r="C307" s="3" t="str">
        <f>HYPERLINK("http://amigo.geneontology.org/amigo/term/GO:0042578","GO:0042578")</f>
        <v>GO:0042578</v>
      </c>
      <c r="D307" t="s">
        <v>430</v>
      </c>
      <c r="E307">
        <v>827</v>
      </c>
      <c r="F307">
        <v>9</v>
      </c>
      <c r="G307">
        <v>4.8770035739209197E-2</v>
      </c>
      <c r="H307">
        <v>0.73155053608813803</v>
      </c>
      <c r="I307" t="s">
        <v>5688</v>
      </c>
    </row>
    <row r="308" spans="1:9" x14ac:dyDescent="0.25">
      <c r="A308" t="s">
        <v>2156</v>
      </c>
      <c r="C308" s="3" t="str">
        <f>HYPERLINK("http://amigo.geneontology.org/amigo/term/GO:0007015","GO:0007015")</f>
        <v>GO:0007015</v>
      </c>
      <c r="D308" t="s">
        <v>5765</v>
      </c>
      <c r="E308">
        <v>144</v>
      </c>
      <c r="F308">
        <v>3</v>
      </c>
      <c r="G308">
        <v>4.9425290732976003E-2</v>
      </c>
      <c r="H308">
        <v>0.74137936099463997</v>
      </c>
      <c r="I308" t="s">
        <v>5766</v>
      </c>
    </row>
    <row r="309" spans="1:9" x14ac:dyDescent="0.25">
      <c r="A309" t="s">
        <v>3209</v>
      </c>
      <c r="C309" s="3" t="str">
        <f>HYPERLINK("http://amigo.geneontology.org/amigo/term/GO:0010340","GO:0010340")</f>
        <v>GO:0010340</v>
      </c>
      <c r="D309" t="s">
        <v>5767</v>
      </c>
      <c r="E309">
        <v>9</v>
      </c>
      <c r="F309">
        <v>1</v>
      </c>
      <c r="G309">
        <v>4.9997691501531202E-2</v>
      </c>
      <c r="H309">
        <v>0.74996537252296902</v>
      </c>
      <c r="I309" t="s">
        <v>5538</v>
      </c>
    </row>
    <row r="310" spans="1:9" x14ac:dyDescent="0.25">
      <c r="A310" t="s">
        <v>3221</v>
      </c>
      <c r="C310" s="3" t="str">
        <f>HYPERLINK("http://amigo.geneontology.org/amigo/term/GO:0051998","GO:0051998")</f>
        <v>GO:0051998</v>
      </c>
      <c r="D310" t="s">
        <v>5768</v>
      </c>
      <c r="E310">
        <v>9</v>
      </c>
      <c r="F310">
        <v>1</v>
      </c>
      <c r="G310">
        <v>4.9997691501531202E-2</v>
      </c>
      <c r="H310">
        <v>0.74996537252296902</v>
      </c>
      <c r="I310" t="s">
        <v>5538</v>
      </c>
    </row>
    <row r="311" spans="1:9" x14ac:dyDescent="0.25">
      <c r="A311" t="s">
        <v>5282</v>
      </c>
      <c r="C311" s="3" t="str">
        <f>HYPERLINK("http://amigo.geneontology.org/amigo/term/GO:0052745","GO:0052745")</f>
        <v>GO:0052745</v>
      </c>
      <c r="D311" t="s">
        <v>85</v>
      </c>
      <c r="E311">
        <v>9</v>
      </c>
      <c r="F311">
        <v>1</v>
      </c>
      <c r="G311">
        <v>4.9997691501531202E-2</v>
      </c>
      <c r="H311">
        <v>0.74996537252296902</v>
      </c>
      <c r="I311" t="s">
        <v>53</v>
      </c>
    </row>
    <row r="312" spans="1:9" x14ac:dyDescent="0.25">
      <c r="A312" t="s">
        <v>3231</v>
      </c>
      <c r="C312" s="3" t="str">
        <f>HYPERLINK("http://amigo.geneontology.org/amigo/term/GO:0010540","GO:0010540")</f>
        <v>GO:0010540</v>
      </c>
      <c r="D312" t="s">
        <v>5769</v>
      </c>
      <c r="E312">
        <v>9</v>
      </c>
      <c r="F312">
        <v>1</v>
      </c>
      <c r="G312">
        <v>4.9997691501531202E-2</v>
      </c>
      <c r="H312">
        <v>0.74996537252296902</v>
      </c>
      <c r="I312" t="s">
        <v>5699</v>
      </c>
    </row>
    <row r="313" spans="1:9" x14ac:dyDescent="0.25">
      <c r="A313" t="s">
        <v>5770</v>
      </c>
    </row>
    <row r="314" spans="1:9" x14ac:dyDescent="0.25">
      <c r="A314" t="s">
        <v>5284</v>
      </c>
    </row>
    <row r="315" spans="1:9" x14ac:dyDescent="0.25">
      <c r="A315" t="s">
        <v>5286</v>
      </c>
    </row>
    <row r="316" spans="1:9" x14ac:dyDescent="0.25">
      <c r="A316" t="s">
        <v>3238</v>
      </c>
    </row>
    <row r="317" spans="1:9" x14ac:dyDescent="0.25">
      <c r="A317" t="s">
        <v>5771</v>
      </c>
    </row>
    <row r="318" spans="1:9" x14ac:dyDescent="0.25">
      <c r="A318" t="s">
        <v>5772</v>
      </c>
    </row>
    <row r="319" spans="1:9" x14ac:dyDescent="0.25">
      <c r="A319" t="s">
        <v>5773</v>
      </c>
    </row>
    <row r="320" spans="1:9" x14ac:dyDescent="0.25">
      <c r="A320" t="s">
        <v>3244</v>
      </c>
    </row>
    <row r="321" spans="1:1" x14ac:dyDescent="0.25">
      <c r="A321" t="s">
        <v>1683</v>
      </c>
    </row>
    <row r="322" spans="1:1" x14ac:dyDescent="0.25">
      <c r="A322" t="s">
        <v>5289</v>
      </c>
    </row>
    <row r="323" spans="1:1" x14ac:dyDescent="0.25">
      <c r="A323" t="s">
        <v>2157</v>
      </c>
    </row>
    <row r="324" spans="1:1" x14ac:dyDescent="0.25">
      <c r="A324" t="s">
        <v>5774</v>
      </c>
    </row>
    <row r="325" spans="1:1" x14ac:dyDescent="0.25">
      <c r="A325" t="s">
        <v>5295</v>
      </c>
    </row>
    <row r="326" spans="1:1" x14ac:dyDescent="0.25">
      <c r="A326" t="s">
        <v>5775</v>
      </c>
    </row>
    <row r="327" spans="1:1" x14ac:dyDescent="0.25">
      <c r="A327" t="s">
        <v>5776</v>
      </c>
    </row>
    <row r="328" spans="1:1" x14ac:dyDescent="0.25">
      <c r="A328" t="s">
        <v>5300</v>
      </c>
    </row>
    <row r="329" spans="1:1" x14ac:dyDescent="0.25">
      <c r="A329" t="s">
        <v>5301</v>
      </c>
    </row>
    <row r="330" spans="1:1" x14ac:dyDescent="0.25">
      <c r="A330" t="s">
        <v>5777</v>
      </c>
    </row>
    <row r="331" spans="1:1" x14ac:dyDescent="0.25">
      <c r="A331" t="s">
        <v>5303</v>
      </c>
    </row>
    <row r="332" spans="1:1" x14ac:dyDescent="0.25">
      <c r="A332" t="s">
        <v>3295</v>
      </c>
    </row>
    <row r="333" spans="1:1" x14ac:dyDescent="0.25">
      <c r="A333" t="s">
        <v>3298</v>
      </c>
    </row>
    <row r="334" spans="1:1" x14ac:dyDescent="0.25">
      <c r="A334" t="s">
        <v>5305</v>
      </c>
    </row>
    <row r="335" spans="1:1" x14ac:dyDescent="0.25">
      <c r="A335" t="s">
        <v>5778</v>
      </c>
    </row>
    <row r="336" spans="1:1" x14ac:dyDescent="0.25">
      <c r="A336" t="s">
        <v>3308</v>
      </c>
    </row>
    <row r="337" spans="1:1" x14ac:dyDescent="0.25">
      <c r="A337" t="s">
        <v>5308</v>
      </c>
    </row>
    <row r="338" spans="1:1" x14ac:dyDescent="0.25">
      <c r="A338" t="s">
        <v>5779</v>
      </c>
    </row>
    <row r="339" spans="1:1" x14ac:dyDescent="0.25">
      <c r="A339" t="s">
        <v>5310</v>
      </c>
    </row>
    <row r="340" spans="1:1" x14ac:dyDescent="0.25">
      <c r="A340" t="s">
        <v>5780</v>
      </c>
    </row>
    <row r="341" spans="1:1" x14ac:dyDescent="0.25">
      <c r="A341" t="s">
        <v>5312</v>
      </c>
    </row>
    <row r="342" spans="1:1" x14ac:dyDescent="0.25">
      <c r="A342" t="s">
        <v>3335</v>
      </c>
    </row>
    <row r="343" spans="1:1" x14ac:dyDescent="0.25">
      <c r="A343" t="s">
        <v>3345</v>
      </c>
    </row>
    <row r="344" spans="1:1" x14ac:dyDescent="0.25">
      <c r="A344" t="s">
        <v>5314</v>
      </c>
    </row>
    <row r="345" spans="1:1" x14ac:dyDescent="0.25">
      <c r="A345" t="s">
        <v>2158</v>
      </c>
    </row>
    <row r="346" spans="1:1" x14ac:dyDescent="0.25">
      <c r="A346" t="s">
        <v>5781</v>
      </c>
    </row>
    <row r="347" spans="1:1" x14ac:dyDescent="0.25">
      <c r="A347" t="s">
        <v>5319</v>
      </c>
    </row>
    <row r="348" spans="1:1" x14ac:dyDescent="0.25">
      <c r="A348" t="s">
        <v>5782</v>
      </c>
    </row>
    <row r="349" spans="1:1" x14ac:dyDescent="0.25">
      <c r="A349" t="s">
        <v>5325</v>
      </c>
    </row>
    <row r="350" spans="1:1" x14ac:dyDescent="0.25">
      <c r="A350" t="s">
        <v>5783</v>
      </c>
    </row>
    <row r="351" spans="1:1" x14ac:dyDescent="0.25">
      <c r="A351" t="s">
        <v>5784</v>
      </c>
    </row>
    <row r="352" spans="1:1" x14ac:dyDescent="0.25">
      <c r="A352" t="s">
        <v>3392</v>
      </c>
    </row>
    <row r="353" spans="1:1" x14ac:dyDescent="0.25">
      <c r="A353" t="s">
        <v>5785</v>
      </c>
    </row>
    <row r="354" spans="1:1" x14ac:dyDescent="0.25">
      <c r="A354" t="s">
        <v>5327</v>
      </c>
    </row>
    <row r="355" spans="1:1" x14ac:dyDescent="0.25">
      <c r="A355" t="s">
        <v>5786</v>
      </c>
    </row>
    <row r="356" spans="1:1" x14ac:dyDescent="0.25">
      <c r="A356" t="s">
        <v>5787</v>
      </c>
    </row>
    <row r="357" spans="1:1" x14ac:dyDescent="0.25">
      <c r="A357" t="s">
        <v>5788</v>
      </c>
    </row>
    <row r="358" spans="1:1" x14ac:dyDescent="0.25">
      <c r="A358" t="s">
        <v>3400</v>
      </c>
    </row>
    <row r="359" spans="1:1" x14ac:dyDescent="0.25">
      <c r="A359" t="s">
        <v>5789</v>
      </c>
    </row>
    <row r="360" spans="1:1" x14ac:dyDescent="0.25">
      <c r="A360" t="s">
        <v>5330</v>
      </c>
    </row>
    <row r="361" spans="1:1" x14ac:dyDescent="0.25">
      <c r="A361" t="s">
        <v>5332</v>
      </c>
    </row>
    <row r="362" spans="1:1" x14ac:dyDescent="0.25">
      <c r="A362" t="s">
        <v>5790</v>
      </c>
    </row>
    <row r="363" spans="1:1" x14ac:dyDescent="0.25">
      <c r="A363" t="s">
        <v>5791</v>
      </c>
    </row>
    <row r="364" spans="1:1" x14ac:dyDescent="0.25">
      <c r="A364" t="s">
        <v>5792</v>
      </c>
    </row>
    <row r="365" spans="1:1" x14ac:dyDescent="0.25">
      <c r="A365" t="s">
        <v>5334</v>
      </c>
    </row>
    <row r="366" spans="1:1" x14ac:dyDescent="0.25">
      <c r="A366" t="s">
        <v>5793</v>
      </c>
    </row>
    <row r="367" spans="1:1" x14ac:dyDescent="0.25">
      <c r="A367" t="s">
        <v>5335</v>
      </c>
    </row>
    <row r="368" spans="1:1" x14ac:dyDescent="0.25">
      <c r="A368" t="s">
        <v>65</v>
      </c>
    </row>
    <row r="369" spans="1:1" x14ac:dyDescent="0.25">
      <c r="A369" t="s">
        <v>5794</v>
      </c>
    </row>
    <row r="370" spans="1:1" x14ac:dyDescent="0.25">
      <c r="A370" t="s">
        <v>2159</v>
      </c>
    </row>
    <row r="371" spans="1:1" x14ac:dyDescent="0.25">
      <c r="A371" t="s">
        <v>5338</v>
      </c>
    </row>
    <row r="372" spans="1:1" x14ac:dyDescent="0.25">
      <c r="A372" t="s">
        <v>5339</v>
      </c>
    </row>
    <row r="373" spans="1:1" x14ac:dyDescent="0.25">
      <c r="A373" t="s">
        <v>5344</v>
      </c>
    </row>
    <row r="374" spans="1:1" x14ac:dyDescent="0.25">
      <c r="A374" t="s">
        <v>5795</v>
      </c>
    </row>
    <row r="375" spans="1:1" x14ac:dyDescent="0.25">
      <c r="A375" t="s">
        <v>5796</v>
      </c>
    </row>
    <row r="376" spans="1:1" x14ac:dyDescent="0.25">
      <c r="A376" t="s">
        <v>5797</v>
      </c>
    </row>
    <row r="377" spans="1:1" x14ac:dyDescent="0.25">
      <c r="A377" t="s">
        <v>5798</v>
      </c>
    </row>
    <row r="378" spans="1:1" x14ac:dyDescent="0.25">
      <c r="A378" t="s">
        <v>5699</v>
      </c>
    </row>
    <row r="379" spans="1:1" x14ac:dyDescent="0.25">
      <c r="A379" t="s">
        <v>5190</v>
      </c>
    </row>
    <row r="380" spans="1:1" x14ac:dyDescent="0.25">
      <c r="A380" t="s">
        <v>3485</v>
      </c>
    </row>
    <row r="381" spans="1:1" x14ac:dyDescent="0.25">
      <c r="A381" t="s">
        <v>5349</v>
      </c>
    </row>
    <row r="382" spans="1:1" x14ac:dyDescent="0.25">
      <c r="A382" t="s">
        <v>5351</v>
      </c>
    </row>
    <row r="383" spans="1:1" x14ac:dyDescent="0.25">
      <c r="A383" t="s">
        <v>3503</v>
      </c>
    </row>
    <row r="384" spans="1:1" x14ac:dyDescent="0.25">
      <c r="A384" t="s">
        <v>5353</v>
      </c>
    </row>
    <row r="385" spans="1:1" x14ac:dyDescent="0.25">
      <c r="A385" t="s">
        <v>5354</v>
      </c>
    </row>
    <row r="386" spans="1:1" x14ac:dyDescent="0.25">
      <c r="A386" t="s">
        <v>5357</v>
      </c>
    </row>
    <row r="387" spans="1:1" x14ac:dyDescent="0.25">
      <c r="A387" t="s">
        <v>3520</v>
      </c>
    </row>
    <row r="388" spans="1:1" x14ac:dyDescent="0.25">
      <c r="A388" t="s">
        <v>5358</v>
      </c>
    </row>
    <row r="389" spans="1:1" x14ac:dyDescent="0.25">
      <c r="A389" t="s">
        <v>3527</v>
      </c>
    </row>
    <row r="390" spans="1:1" x14ac:dyDescent="0.25">
      <c r="A390" t="s">
        <v>5799</v>
      </c>
    </row>
    <row r="391" spans="1:1" x14ac:dyDescent="0.25">
      <c r="A391" t="s">
        <v>5800</v>
      </c>
    </row>
    <row r="392" spans="1:1" x14ac:dyDescent="0.25">
      <c r="A392" t="s">
        <v>2160</v>
      </c>
    </row>
    <row r="393" spans="1:1" x14ac:dyDescent="0.25">
      <c r="A393" t="s">
        <v>3534</v>
      </c>
    </row>
    <row r="394" spans="1:1" x14ac:dyDescent="0.25">
      <c r="A394" t="s">
        <v>5361</v>
      </c>
    </row>
    <row r="395" spans="1:1" x14ac:dyDescent="0.25">
      <c r="A395" t="s">
        <v>3546</v>
      </c>
    </row>
    <row r="396" spans="1:1" x14ac:dyDescent="0.25">
      <c r="A396" t="s">
        <v>5801</v>
      </c>
    </row>
    <row r="397" spans="1:1" x14ac:dyDescent="0.25">
      <c r="A397" t="s">
        <v>1869</v>
      </c>
    </row>
    <row r="398" spans="1:1" x14ac:dyDescent="0.25">
      <c r="A398" t="s">
        <v>5802</v>
      </c>
    </row>
    <row r="399" spans="1:1" x14ac:dyDescent="0.25">
      <c r="A399" t="s">
        <v>5803</v>
      </c>
    </row>
    <row r="400" spans="1:1" x14ac:dyDescent="0.25">
      <c r="A400" t="s">
        <v>5362</v>
      </c>
    </row>
    <row r="401" spans="1:1" x14ac:dyDescent="0.25">
      <c r="A401" t="s">
        <v>5364</v>
      </c>
    </row>
    <row r="402" spans="1:1" x14ac:dyDescent="0.25">
      <c r="A402" t="s">
        <v>2162</v>
      </c>
    </row>
    <row r="403" spans="1:1" x14ac:dyDescent="0.25">
      <c r="A403" t="s">
        <v>5365</v>
      </c>
    </row>
    <row r="404" spans="1:1" x14ac:dyDescent="0.25">
      <c r="A404" t="s">
        <v>5366</v>
      </c>
    </row>
    <row r="405" spans="1:1" x14ac:dyDescent="0.25">
      <c r="A405" t="s">
        <v>5367</v>
      </c>
    </row>
    <row r="406" spans="1:1" x14ac:dyDescent="0.25">
      <c r="A406" t="s">
        <v>3599</v>
      </c>
    </row>
    <row r="407" spans="1:1" x14ac:dyDescent="0.25">
      <c r="A407" t="s">
        <v>5804</v>
      </c>
    </row>
    <row r="408" spans="1:1" x14ac:dyDescent="0.25">
      <c r="A408" t="s">
        <v>5805</v>
      </c>
    </row>
    <row r="409" spans="1:1" x14ac:dyDescent="0.25">
      <c r="A409" t="s">
        <v>5149</v>
      </c>
    </row>
    <row r="410" spans="1:1" x14ac:dyDescent="0.25">
      <c r="A410" t="s">
        <v>3612</v>
      </c>
    </row>
    <row r="411" spans="1:1" x14ac:dyDescent="0.25">
      <c r="A411" t="s">
        <v>3617</v>
      </c>
    </row>
    <row r="412" spans="1:1" x14ac:dyDescent="0.25">
      <c r="A412" t="s">
        <v>3618</v>
      </c>
    </row>
    <row r="413" spans="1:1" x14ac:dyDescent="0.25">
      <c r="A413" t="s">
        <v>5806</v>
      </c>
    </row>
    <row r="414" spans="1:1" x14ac:dyDescent="0.25">
      <c r="A414" t="s">
        <v>5807</v>
      </c>
    </row>
    <row r="415" spans="1:1" x14ac:dyDescent="0.25">
      <c r="A415" t="s">
        <v>2163</v>
      </c>
    </row>
    <row r="416" spans="1:1" x14ac:dyDescent="0.25">
      <c r="A416" t="s">
        <v>2164</v>
      </c>
    </row>
    <row r="417" spans="1:1" x14ac:dyDescent="0.25">
      <c r="A417" t="s">
        <v>5368</v>
      </c>
    </row>
    <row r="418" spans="1:1" x14ac:dyDescent="0.25">
      <c r="A418" t="s">
        <v>5369</v>
      </c>
    </row>
    <row r="419" spans="1:1" x14ac:dyDescent="0.25">
      <c r="A419" t="s">
        <v>5808</v>
      </c>
    </row>
    <row r="420" spans="1:1" x14ac:dyDescent="0.25">
      <c r="A420" t="s">
        <v>3635</v>
      </c>
    </row>
    <row r="421" spans="1:1" x14ac:dyDescent="0.25">
      <c r="A421" t="s">
        <v>5809</v>
      </c>
    </row>
    <row r="422" spans="1:1" x14ac:dyDescent="0.25">
      <c r="A422" t="s">
        <v>3638</v>
      </c>
    </row>
    <row r="423" spans="1:1" x14ac:dyDescent="0.25">
      <c r="A423" t="s">
        <v>5810</v>
      </c>
    </row>
    <row r="424" spans="1:1" x14ac:dyDescent="0.25">
      <c r="A424" t="s">
        <v>5811</v>
      </c>
    </row>
    <row r="425" spans="1:1" x14ac:dyDescent="0.25">
      <c r="A425" t="s">
        <v>3666</v>
      </c>
    </row>
    <row r="426" spans="1:1" x14ac:dyDescent="0.25">
      <c r="A426" t="s">
        <v>5374</v>
      </c>
    </row>
    <row r="427" spans="1:1" x14ac:dyDescent="0.25">
      <c r="A427" t="s">
        <v>5375</v>
      </c>
    </row>
    <row r="428" spans="1:1" x14ac:dyDescent="0.25">
      <c r="A428" t="s">
        <v>5376</v>
      </c>
    </row>
    <row r="429" spans="1:1" x14ac:dyDescent="0.25">
      <c r="A429" t="s">
        <v>5812</v>
      </c>
    </row>
    <row r="430" spans="1:1" x14ac:dyDescent="0.25">
      <c r="A430" t="s">
        <v>5813</v>
      </c>
    </row>
    <row r="431" spans="1:1" x14ac:dyDescent="0.25">
      <c r="A431" t="s">
        <v>5814</v>
      </c>
    </row>
    <row r="432" spans="1:1" x14ac:dyDescent="0.25">
      <c r="A432" t="s">
        <v>3681</v>
      </c>
    </row>
    <row r="433" spans="1:1" x14ac:dyDescent="0.25">
      <c r="A433" t="s">
        <v>3685</v>
      </c>
    </row>
    <row r="434" spans="1:1" x14ac:dyDescent="0.25">
      <c r="A434" t="s">
        <v>3687</v>
      </c>
    </row>
    <row r="435" spans="1:1" x14ac:dyDescent="0.25">
      <c r="A435" t="s">
        <v>5378</v>
      </c>
    </row>
    <row r="436" spans="1:1" x14ac:dyDescent="0.25">
      <c r="A436" t="s">
        <v>67</v>
      </c>
    </row>
    <row r="437" spans="1:1" x14ac:dyDescent="0.25">
      <c r="A437" t="s">
        <v>5379</v>
      </c>
    </row>
    <row r="438" spans="1:1" x14ac:dyDescent="0.25">
      <c r="A438" t="s">
        <v>3694</v>
      </c>
    </row>
    <row r="439" spans="1:1" x14ac:dyDescent="0.25">
      <c r="A439" t="s">
        <v>5380</v>
      </c>
    </row>
    <row r="440" spans="1:1" x14ac:dyDescent="0.25">
      <c r="A440" t="s">
        <v>3704</v>
      </c>
    </row>
    <row r="441" spans="1:1" x14ac:dyDescent="0.25">
      <c r="A441" t="s">
        <v>2165</v>
      </c>
    </row>
    <row r="442" spans="1:1" x14ac:dyDescent="0.25">
      <c r="A442" t="s">
        <v>1939</v>
      </c>
    </row>
    <row r="443" spans="1:1" x14ac:dyDescent="0.25">
      <c r="A443" t="s">
        <v>2166</v>
      </c>
    </row>
    <row r="444" spans="1:1" x14ac:dyDescent="0.25">
      <c r="A444" t="s">
        <v>5382</v>
      </c>
    </row>
    <row r="445" spans="1:1" x14ac:dyDescent="0.25">
      <c r="A445" t="s">
        <v>5383</v>
      </c>
    </row>
    <row r="446" spans="1:1" x14ac:dyDescent="0.25">
      <c r="A446" t="s">
        <v>5384</v>
      </c>
    </row>
    <row r="447" spans="1:1" x14ac:dyDescent="0.25">
      <c r="A447" t="s">
        <v>5815</v>
      </c>
    </row>
    <row r="448" spans="1:1" x14ac:dyDescent="0.25">
      <c r="A448" t="s">
        <v>5816</v>
      </c>
    </row>
    <row r="449" spans="1:1" x14ac:dyDescent="0.25">
      <c r="A449" t="s">
        <v>5817</v>
      </c>
    </row>
    <row r="450" spans="1:1" x14ac:dyDescent="0.25">
      <c r="A450" t="s">
        <v>3741</v>
      </c>
    </row>
    <row r="451" spans="1:1" x14ac:dyDescent="0.25">
      <c r="A451" t="s">
        <v>5818</v>
      </c>
    </row>
    <row r="452" spans="1:1" x14ac:dyDescent="0.25">
      <c r="A452" t="s">
        <v>5385</v>
      </c>
    </row>
    <row r="453" spans="1:1" x14ac:dyDescent="0.25">
      <c r="A453" t="s">
        <v>5386</v>
      </c>
    </row>
    <row r="454" spans="1:1" x14ac:dyDescent="0.25">
      <c r="A454" t="s">
        <v>5387</v>
      </c>
    </row>
    <row r="455" spans="1:1" x14ac:dyDescent="0.25">
      <c r="A455" t="s">
        <v>5819</v>
      </c>
    </row>
    <row r="456" spans="1:1" x14ac:dyDescent="0.25">
      <c r="A456" t="s">
        <v>5820</v>
      </c>
    </row>
    <row r="457" spans="1:1" x14ac:dyDescent="0.25">
      <c r="A457" t="s">
        <v>5821</v>
      </c>
    </row>
    <row r="458" spans="1:1" x14ac:dyDescent="0.25">
      <c r="A458" t="s">
        <v>3766</v>
      </c>
    </row>
    <row r="459" spans="1:1" x14ac:dyDescent="0.25">
      <c r="A459" t="s">
        <v>5388</v>
      </c>
    </row>
    <row r="460" spans="1:1" x14ac:dyDescent="0.25">
      <c r="A460" t="s">
        <v>5822</v>
      </c>
    </row>
    <row r="461" spans="1:1" x14ac:dyDescent="0.25">
      <c r="A461" t="s">
        <v>5823</v>
      </c>
    </row>
    <row r="462" spans="1:1" x14ac:dyDescent="0.25">
      <c r="A462" t="s">
        <v>5389</v>
      </c>
    </row>
    <row r="463" spans="1:1" x14ac:dyDescent="0.25">
      <c r="A463" t="s">
        <v>69</v>
      </c>
    </row>
    <row r="464" spans="1:1" x14ac:dyDescent="0.25">
      <c r="A464" t="s">
        <v>5390</v>
      </c>
    </row>
    <row r="465" spans="1:1" x14ac:dyDescent="0.25">
      <c r="A465" t="s">
        <v>5824</v>
      </c>
    </row>
    <row r="466" spans="1:1" x14ac:dyDescent="0.25">
      <c r="A466" t="s">
        <v>5825</v>
      </c>
    </row>
    <row r="467" spans="1:1" x14ac:dyDescent="0.25">
      <c r="A467" t="s">
        <v>5826</v>
      </c>
    </row>
    <row r="468" spans="1:1" x14ac:dyDescent="0.25">
      <c r="A468" t="s">
        <v>71</v>
      </c>
    </row>
    <row r="469" spans="1:1" x14ac:dyDescent="0.25">
      <c r="A469" t="s">
        <v>3789</v>
      </c>
    </row>
    <row r="470" spans="1:1" x14ac:dyDescent="0.25">
      <c r="A470" t="s">
        <v>1974</v>
      </c>
    </row>
    <row r="471" spans="1:1" x14ac:dyDescent="0.25">
      <c r="A471" t="s">
        <v>5391</v>
      </c>
    </row>
    <row r="472" spans="1:1" x14ac:dyDescent="0.25">
      <c r="A472" t="s">
        <v>5393</v>
      </c>
    </row>
    <row r="473" spans="1:1" x14ac:dyDescent="0.25">
      <c r="A473" t="s">
        <v>5827</v>
      </c>
    </row>
    <row r="474" spans="1:1" x14ac:dyDescent="0.25">
      <c r="A474" t="s">
        <v>1978</v>
      </c>
    </row>
    <row r="475" spans="1:1" x14ac:dyDescent="0.25">
      <c r="A475" t="s">
        <v>5394</v>
      </c>
    </row>
    <row r="476" spans="1:1" x14ac:dyDescent="0.25">
      <c r="A476" t="s">
        <v>5395</v>
      </c>
    </row>
    <row r="477" spans="1:1" x14ac:dyDescent="0.25">
      <c r="A477" t="s">
        <v>5828</v>
      </c>
    </row>
    <row r="478" spans="1:1" x14ac:dyDescent="0.25">
      <c r="A478" t="s">
        <v>5223</v>
      </c>
    </row>
    <row r="479" spans="1:1" x14ac:dyDescent="0.25">
      <c r="A479" t="s">
        <v>5290</v>
      </c>
    </row>
    <row r="480" spans="1:1" x14ac:dyDescent="0.25">
      <c r="A480" t="s">
        <v>4950</v>
      </c>
    </row>
    <row r="481" spans="1:1" x14ac:dyDescent="0.25">
      <c r="A481" t="s">
        <v>5829</v>
      </c>
    </row>
    <row r="482" spans="1:1" x14ac:dyDescent="0.25">
      <c r="A482" t="s">
        <v>5398</v>
      </c>
    </row>
    <row r="483" spans="1:1" x14ac:dyDescent="0.25">
      <c r="A483" t="s">
        <v>5830</v>
      </c>
    </row>
    <row r="484" spans="1:1" x14ac:dyDescent="0.25">
      <c r="A484" t="s">
        <v>1991</v>
      </c>
    </row>
    <row r="485" spans="1:1" x14ac:dyDescent="0.25">
      <c r="A485" t="s">
        <v>3842</v>
      </c>
    </row>
    <row r="486" spans="1:1" x14ac:dyDescent="0.25">
      <c r="A486" t="s">
        <v>5831</v>
      </c>
    </row>
    <row r="487" spans="1:1" x14ac:dyDescent="0.25">
      <c r="A487" t="s">
        <v>5832</v>
      </c>
    </row>
    <row r="488" spans="1:1" x14ac:dyDescent="0.25">
      <c r="A488" t="s">
        <v>5400</v>
      </c>
    </row>
    <row r="489" spans="1:1" x14ac:dyDescent="0.25">
      <c r="A489" t="s">
        <v>3849</v>
      </c>
    </row>
    <row r="490" spans="1:1" x14ac:dyDescent="0.25">
      <c r="A490" t="s">
        <v>3850</v>
      </c>
    </row>
    <row r="491" spans="1:1" x14ac:dyDescent="0.25">
      <c r="A491" t="s">
        <v>3852</v>
      </c>
    </row>
    <row r="492" spans="1:1" x14ac:dyDescent="0.25">
      <c r="A492" t="s">
        <v>3853</v>
      </c>
    </row>
    <row r="493" spans="1:1" x14ac:dyDescent="0.25">
      <c r="A493" t="s">
        <v>3854</v>
      </c>
    </row>
    <row r="494" spans="1:1" x14ac:dyDescent="0.25">
      <c r="A494" t="s">
        <v>5401</v>
      </c>
    </row>
    <row r="495" spans="1:1" x14ac:dyDescent="0.25">
      <c r="A495" t="s">
        <v>5402</v>
      </c>
    </row>
    <row r="496" spans="1:1" x14ac:dyDescent="0.25">
      <c r="A496" t="s">
        <v>5833</v>
      </c>
    </row>
    <row r="497" spans="1:1" x14ac:dyDescent="0.25">
      <c r="A497" t="s">
        <v>5403</v>
      </c>
    </row>
    <row r="498" spans="1:1" x14ac:dyDescent="0.25">
      <c r="A498" t="s">
        <v>2167</v>
      </c>
    </row>
    <row r="499" spans="1:1" x14ac:dyDescent="0.25">
      <c r="A499" t="s">
        <v>5834</v>
      </c>
    </row>
    <row r="500" spans="1:1" x14ac:dyDescent="0.25">
      <c r="A500" t="s">
        <v>3875</v>
      </c>
    </row>
    <row r="501" spans="1:1" x14ac:dyDescent="0.25">
      <c r="A501" t="s">
        <v>3879</v>
      </c>
    </row>
    <row r="502" spans="1:1" x14ac:dyDescent="0.25">
      <c r="A502" t="s">
        <v>2168</v>
      </c>
    </row>
    <row r="503" spans="1:1" x14ac:dyDescent="0.25">
      <c r="A503" t="s">
        <v>5835</v>
      </c>
    </row>
    <row r="504" spans="1:1" x14ac:dyDescent="0.25">
      <c r="A504" t="s">
        <v>5836</v>
      </c>
    </row>
    <row r="505" spans="1:1" x14ac:dyDescent="0.25">
      <c r="A505" t="s">
        <v>5406</v>
      </c>
    </row>
    <row r="506" spans="1:1" x14ac:dyDescent="0.25">
      <c r="A506" t="s">
        <v>5407</v>
      </c>
    </row>
    <row r="507" spans="1:1" x14ac:dyDescent="0.25">
      <c r="A507" t="s">
        <v>75</v>
      </c>
    </row>
    <row r="508" spans="1:1" x14ac:dyDescent="0.25">
      <c r="A508" t="s">
        <v>2169</v>
      </c>
    </row>
    <row r="509" spans="1:1" x14ac:dyDescent="0.25">
      <c r="A509" t="s">
        <v>5837</v>
      </c>
    </row>
    <row r="510" spans="1:1" x14ac:dyDescent="0.25">
      <c r="A510" t="s">
        <v>5408</v>
      </c>
    </row>
    <row r="511" spans="1:1" x14ac:dyDescent="0.25">
      <c r="A511" t="s">
        <v>3914</v>
      </c>
    </row>
    <row r="512" spans="1:1" x14ac:dyDescent="0.25">
      <c r="A512" t="s">
        <v>5409</v>
      </c>
    </row>
    <row r="513" spans="1:1" x14ac:dyDescent="0.25">
      <c r="A513" t="s">
        <v>3923</v>
      </c>
    </row>
    <row r="514" spans="1:1" x14ac:dyDescent="0.25">
      <c r="A514" t="s">
        <v>5838</v>
      </c>
    </row>
    <row r="515" spans="1:1" x14ac:dyDescent="0.25">
      <c r="A515" t="s">
        <v>3924</v>
      </c>
    </row>
    <row r="516" spans="1:1" x14ac:dyDescent="0.25">
      <c r="A516" t="s">
        <v>5839</v>
      </c>
    </row>
    <row r="517" spans="1:1" x14ac:dyDescent="0.25">
      <c r="A517" t="s">
        <v>2046</v>
      </c>
    </row>
    <row r="518" spans="1:1" x14ac:dyDescent="0.25">
      <c r="A518" t="s">
        <v>3939</v>
      </c>
    </row>
    <row r="519" spans="1:1" x14ac:dyDescent="0.25">
      <c r="A519" t="s">
        <v>5411</v>
      </c>
    </row>
    <row r="520" spans="1:1" x14ac:dyDescent="0.25">
      <c r="A520" t="s">
        <v>5412</v>
      </c>
    </row>
    <row r="521" spans="1:1" x14ac:dyDescent="0.25">
      <c r="A521" t="s">
        <v>3944</v>
      </c>
    </row>
    <row r="522" spans="1:1" x14ac:dyDescent="0.25">
      <c r="A522" t="s">
        <v>3946</v>
      </c>
    </row>
    <row r="523" spans="1:1" x14ac:dyDescent="0.25">
      <c r="A523" t="s">
        <v>5413</v>
      </c>
    </row>
    <row r="524" spans="1:1" x14ac:dyDescent="0.25">
      <c r="A524" t="s">
        <v>2054</v>
      </c>
    </row>
    <row r="525" spans="1:1" x14ac:dyDescent="0.25">
      <c r="A525" t="s">
        <v>5414</v>
      </c>
    </row>
    <row r="526" spans="1:1" x14ac:dyDescent="0.25">
      <c r="A526" t="s">
        <v>5415</v>
      </c>
    </row>
    <row r="527" spans="1:1" x14ac:dyDescent="0.25">
      <c r="A527" t="s">
        <v>5840</v>
      </c>
    </row>
    <row r="528" spans="1:1" x14ac:dyDescent="0.25">
      <c r="A528" t="s">
        <v>3960</v>
      </c>
    </row>
    <row r="529" spans="1:1" x14ac:dyDescent="0.25">
      <c r="A529" t="s">
        <v>3964</v>
      </c>
    </row>
    <row r="530" spans="1:1" x14ac:dyDescent="0.25">
      <c r="A530" t="s">
        <v>3968</v>
      </c>
    </row>
    <row r="531" spans="1:1" x14ac:dyDescent="0.25">
      <c r="A531" t="s">
        <v>2074</v>
      </c>
    </row>
    <row r="532" spans="1:1" x14ac:dyDescent="0.25">
      <c r="A532" t="s">
        <v>5416</v>
      </c>
    </row>
    <row r="533" spans="1:1" x14ac:dyDescent="0.25">
      <c r="A533" t="s">
        <v>5841</v>
      </c>
    </row>
    <row r="534" spans="1:1" x14ac:dyDescent="0.25">
      <c r="A534" t="s">
        <v>5417</v>
      </c>
    </row>
    <row r="535" spans="1:1" x14ac:dyDescent="0.25">
      <c r="A535" t="s">
        <v>5842</v>
      </c>
    </row>
    <row r="536" spans="1:1" x14ac:dyDescent="0.25">
      <c r="A536" t="s">
        <v>5419</v>
      </c>
    </row>
    <row r="537" spans="1:1" x14ac:dyDescent="0.25">
      <c r="A537" t="s">
        <v>5843</v>
      </c>
    </row>
    <row r="538" spans="1:1" x14ac:dyDescent="0.25">
      <c r="A538" t="s">
        <v>5844</v>
      </c>
    </row>
    <row r="539" spans="1:1" x14ac:dyDescent="0.25">
      <c r="A539" t="s">
        <v>5420</v>
      </c>
    </row>
    <row r="540" spans="1:1" x14ac:dyDescent="0.25">
      <c r="A540" t="s">
        <v>77</v>
      </c>
    </row>
    <row r="541" spans="1:1" x14ac:dyDescent="0.25">
      <c r="A541" t="s">
        <v>5845</v>
      </c>
    </row>
    <row r="542" spans="1:1" x14ac:dyDescent="0.25">
      <c r="A542" t="s">
        <v>5422</v>
      </c>
    </row>
    <row r="543" spans="1:1" x14ac:dyDescent="0.25">
      <c r="A543" t="s">
        <v>5423</v>
      </c>
    </row>
    <row r="544" spans="1:1" x14ac:dyDescent="0.25">
      <c r="A544" t="s">
        <v>5424</v>
      </c>
    </row>
    <row r="545" spans="1:1" x14ac:dyDescent="0.25">
      <c r="A545" t="s">
        <v>5846</v>
      </c>
    </row>
    <row r="546" spans="1:1" x14ac:dyDescent="0.25">
      <c r="A546" t="s">
        <v>5425</v>
      </c>
    </row>
    <row r="547" spans="1:1" x14ac:dyDescent="0.25">
      <c r="A547" t="s">
        <v>4012</v>
      </c>
    </row>
    <row r="548" spans="1:1" x14ac:dyDescent="0.25">
      <c r="A548" t="s">
        <v>5427</v>
      </c>
    </row>
    <row r="549" spans="1:1" x14ac:dyDescent="0.25">
      <c r="A549" t="s">
        <v>5428</v>
      </c>
    </row>
    <row r="550" spans="1:1" x14ac:dyDescent="0.25">
      <c r="A550" t="s">
        <v>5430</v>
      </c>
    </row>
    <row r="551" spans="1:1" x14ac:dyDescent="0.25">
      <c r="A551" t="s">
        <v>5847</v>
      </c>
    </row>
    <row r="552" spans="1:1" x14ac:dyDescent="0.25">
      <c r="A552" t="s">
        <v>5848</v>
      </c>
    </row>
    <row r="553" spans="1:1" x14ac:dyDescent="0.25">
      <c r="A553" t="s">
        <v>2115</v>
      </c>
    </row>
    <row r="554" spans="1:1" x14ac:dyDescent="0.25">
      <c r="A554" t="s">
        <v>5431</v>
      </c>
    </row>
    <row r="555" spans="1:1" x14ac:dyDescent="0.25">
      <c r="A555" t="s">
        <v>5849</v>
      </c>
    </row>
    <row r="556" spans="1:1" x14ac:dyDescent="0.25">
      <c r="A556" t="s">
        <v>4044</v>
      </c>
    </row>
    <row r="557" spans="1:1" x14ac:dyDescent="0.25">
      <c r="A557" t="s">
        <v>4045</v>
      </c>
    </row>
    <row r="558" spans="1:1" x14ac:dyDescent="0.25">
      <c r="A558" t="s">
        <v>2170</v>
      </c>
    </row>
    <row r="559" spans="1:1" x14ac:dyDescent="0.25">
      <c r="A559" t="s">
        <v>4047</v>
      </c>
    </row>
    <row r="560" spans="1:1" x14ac:dyDescent="0.25">
      <c r="A560" t="s">
        <v>4049</v>
      </c>
    </row>
    <row r="561" spans="1:1" x14ac:dyDescent="0.25">
      <c r="A561" t="s">
        <v>5850</v>
      </c>
    </row>
    <row r="562" spans="1:1" x14ac:dyDescent="0.25">
      <c r="A562" t="s">
        <v>4065</v>
      </c>
    </row>
    <row r="563" spans="1:1" x14ac:dyDescent="0.25">
      <c r="A563" t="s">
        <v>4069</v>
      </c>
    </row>
    <row r="564" spans="1:1" x14ac:dyDescent="0.25">
      <c r="A564" t="s">
        <v>5851</v>
      </c>
    </row>
    <row r="565" spans="1:1" x14ac:dyDescent="0.25">
      <c r="A565" t="s">
        <v>2171</v>
      </c>
    </row>
    <row r="566" spans="1:1" x14ac:dyDescent="0.25">
      <c r="A566" t="s">
        <v>5852</v>
      </c>
    </row>
    <row r="567" spans="1:1" x14ac:dyDescent="0.25">
      <c r="A567" t="s">
        <v>5853</v>
      </c>
    </row>
    <row r="568" spans="1:1" x14ac:dyDescent="0.25">
      <c r="A568" t="s">
        <v>5436</v>
      </c>
    </row>
    <row r="569" spans="1:1" x14ac:dyDescent="0.25">
      <c r="A569" t="s">
        <v>5854</v>
      </c>
    </row>
    <row r="570" spans="1:1" x14ac:dyDescent="0.25">
      <c r="A570" t="s">
        <v>5855</v>
      </c>
    </row>
    <row r="571" spans="1:1" x14ac:dyDescent="0.25">
      <c r="A571" t="s">
        <v>4086</v>
      </c>
    </row>
    <row r="572" spans="1:1" x14ac:dyDescent="0.25">
      <c r="A572" t="s">
        <v>5439</v>
      </c>
    </row>
    <row r="573" spans="1:1" x14ac:dyDescent="0.25">
      <c r="A573" t="s">
        <v>5856</v>
      </c>
    </row>
    <row r="574" spans="1:1" x14ac:dyDescent="0.25">
      <c r="A574" t="s">
        <v>5440</v>
      </c>
    </row>
  </sheetData>
  <sortState ref="C11:I311">
    <sortCondition ref="G11:G311"/>
  </sortState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3" customWidth="1"/>
    <col min="3" max="3" width="16.85546875" customWidth="1"/>
    <col min="4" max="4" width="34.42578125" customWidth="1"/>
  </cols>
  <sheetData>
    <row r="1" spans="1:9" ht="20.25" x14ac:dyDescent="0.3">
      <c r="A1" s="12" t="s">
        <v>5857</v>
      </c>
    </row>
    <row r="2" spans="1:9" x14ac:dyDescent="0.25">
      <c r="A2" s="6" t="s">
        <v>5858</v>
      </c>
      <c r="B2" s="8">
        <f>279/7100</f>
        <v>3.9295774647887326E-2</v>
      </c>
      <c r="C2" t="s">
        <v>2</v>
      </c>
      <c r="D2">
        <v>219</v>
      </c>
    </row>
    <row r="3" spans="1:9" x14ac:dyDescent="0.25">
      <c r="A3" t="s">
        <v>4101</v>
      </c>
      <c r="C3" t="s">
        <v>4</v>
      </c>
      <c r="D3">
        <v>77079</v>
      </c>
    </row>
    <row r="4" spans="1:9" x14ac:dyDescent="0.25">
      <c r="A4" t="s">
        <v>5859</v>
      </c>
      <c r="C4" t="s">
        <v>6</v>
      </c>
      <c r="D4" t="s">
        <v>7</v>
      </c>
    </row>
    <row r="5" spans="1:9" x14ac:dyDescent="0.25">
      <c r="A5" t="s">
        <v>79</v>
      </c>
      <c r="C5" t="s">
        <v>9</v>
      </c>
      <c r="D5" t="s">
        <v>10</v>
      </c>
    </row>
    <row r="6" spans="1:9" x14ac:dyDescent="0.25">
      <c r="A6" t="s">
        <v>196</v>
      </c>
      <c r="C6" t="s">
        <v>12</v>
      </c>
      <c r="D6" t="s">
        <v>13</v>
      </c>
    </row>
    <row r="7" spans="1:9" x14ac:dyDescent="0.25">
      <c r="A7" t="s">
        <v>5860</v>
      </c>
      <c r="C7" t="s">
        <v>15</v>
      </c>
      <c r="D7" t="s">
        <v>16</v>
      </c>
    </row>
    <row r="8" spans="1:9" x14ac:dyDescent="0.25">
      <c r="A8" t="s">
        <v>5861</v>
      </c>
      <c r="C8" t="s">
        <v>18</v>
      </c>
      <c r="D8" t="s">
        <v>19</v>
      </c>
    </row>
    <row r="9" spans="1:9" x14ac:dyDescent="0.25">
      <c r="A9" t="s">
        <v>245</v>
      </c>
      <c r="C9" t="s">
        <v>21</v>
      </c>
      <c r="D9">
        <v>3</v>
      </c>
    </row>
    <row r="10" spans="1:9" x14ac:dyDescent="0.25">
      <c r="A10" t="s">
        <v>266</v>
      </c>
    </row>
    <row r="11" spans="1:9" x14ac:dyDescent="0.25">
      <c r="A11" t="s">
        <v>2246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4165</v>
      </c>
      <c r="C12" t="str">
        <f>HYPERLINK("http://amigo.geneontology.org/cgi-bin/amigo/term-details.cgi?term=GO:0008017","GO:0008017")</f>
        <v>GO:0008017</v>
      </c>
      <c r="D12" t="s">
        <v>5862</v>
      </c>
      <c r="E12">
        <v>244</v>
      </c>
      <c r="F12">
        <v>9</v>
      </c>
      <c r="G12" s="4">
        <v>4.1799650716655801E-8</v>
      </c>
      <c r="H12" s="4">
        <v>1.8872542298570101E-4</v>
      </c>
      <c r="I12" t="s">
        <v>5863</v>
      </c>
    </row>
    <row r="13" spans="1:9" x14ac:dyDescent="0.25">
      <c r="A13" t="s">
        <v>4167</v>
      </c>
      <c r="C13" t="str">
        <f>HYPERLINK("http://amigo.geneontology.org/cgi-bin/amigo/term-details.cgi?term=GO:0015631","GO:0015631")</f>
        <v>GO:0015631</v>
      </c>
      <c r="D13" t="s">
        <v>5864</v>
      </c>
      <c r="E13">
        <v>275</v>
      </c>
      <c r="F13">
        <v>9</v>
      </c>
      <c r="G13" s="4">
        <v>1.15639585896993E-7</v>
      </c>
      <c r="H13" s="4">
        <v>2.6099854536951498E-4</v>
      </c>
      <c r="I13" t="s">
        <v>5863</v>
      </c>
    </row>
    <row r="14" spans="1:9" x14ac:dyDescent="0.25">
      <c r="A14" t="s">
        <v>4169</v>
      </c>
      <c r="C14" t="str">
        <f>HYPERLINK("http://amigo.geneontology.org/cgi-bin/amigo/term-details.cgi?term=GO:0008092","GO:0008092")</f>
        <v>GO:0008092</v>
      </c>
      <c r="D14" t="s">
        <v>448</v>
      </c>
      <c r="E14">
        <v>457</v>
      </c>
      <c r="F14">
        <v>10</v>
      </c>
      <c r="G14" s="4">
        <v>9.1832328672564502E-7</v>
      </c>
      <c r="H14">
        <v>1.38207654652209E-3</v>
      </c>
      <c r="I14" t="s">
        <v>5865</v>
      </c>
    </row>
    <row r="15" spans="1:9" x14ac:dyDescent="0.25">
      <c r="A15" t="s">
        <v>5866</v>
      </c>
      <c r="C15" t="str">
        <f>HYPERLINK("http://amigo.geneontology.org/cgi-bin/amigo/term-details.cgi?term=GO:0016705","GO:0016705")</f>
        <v>GO:0016705</v>
      </c>
      <c r="D15" t="s">
        <v>4121</v>
      </c>
      <c r="E15">
        <v>2131</v>
      </c>
      <c r="F15">
        <v>21</v>
      </c>
      <c r="G15" s="4">
        <v>9.5106523684172997E-7</v>
      </c>
      <c r="H15">
        <v>1.07280158715747E-3</v>
      </c>
      <c r="I15" t="s">
        <v>5867</v>
      </c>
    </row>
    <row r="16" spans="1:9" x14ac:dyDescent="0.25">
      <c r="A16" t="s">
        <v>4183</v>
      </c>
      <c r="C16" t="str">
        <f>HYPERLINK("http://amigo.geneontology.org/cgi-bin/amigo/term-details.cgi?term=GO:0005506","GO:0005506")</f>
        <v>GO:0005506</v>
      </c>
      <c r="D16" t="s">
        <v>1214</v>
      </c>
      <c r="E16">
        <v>1961</v>
      </c>
      <c r="F16">
        <v>20</v>
      </c>
      <c r="G16" s="4">
        <v>1.03858739712282E-6</v>
      </c>
      <c r="H16" s="4">
        <v>9.3784441960191199E-4</v>
      </c>
      <c r="I16" t="s">
        <v>5868</v>
      </c>
    </row>
    <row r="17" spans="1:9" x14ac:dyDescent="0.25">
      <c r="A17" t="s">
        <v>4189</v>
      </c>
      <c r="C17" t="str">
        <f>HYPERLINK("http://amigo.geneontology.org/cgi-bin/amigo/term-details.cgi?term=GO:0016682","GO:0016682")</f>
        <v>GO:0016682</v>
      </c>
      <c r="D17" t="s">
        <v>864</v>
      </c>
      <c r="E17">
        <v>126</v>
      </c>
      <c r="F17">
        <v>6</v>
      </c>
      <c r="G17" s="4">
        <v>1.8207254071067199E-6</v>
      </c>
      <c r="H17">
        <v>1.36918550614425E-3</v>
      </c>
      <c r="I17" t="s">
        <v>5869</v>
      </c>
    </row>
    <row r="18" spans="1:9" x14ac:dyDescent="0.25">
      <c r="A18" t="s">
        <v>5870</v>
      </c>
      <c r="C18" t="str">
        <f>HYPERLINK("http://amigo.geneontology.org/cgi-bin/amigo/term-details.cgi?term=GO:0046906","GO:0046906")</f>
        <v>GO:0046906</v>
      </c>
      <c r="D18" t="s">
        <v>1085</v>
      </c>
      <c r="E18">
        <v>2625</v>
      </c>
      <c r="F18">
        <v>23</v>
      </c>
      <c r="G18" s="4">
        <v>2.0580558847920701E-6</v>
      </c>
      <c r="H18">
        <v>1.32744604569088E-3</v>
      </c>
      <c r="I18" t="s">
        <v>5871</v>
      </c>
    </row>
    <row r="19" spans="1:9" x14ac:dyDescent="0.25">
      <c r="A19" t="s">
        <v>4199</v>
      </c>
      <c r="C19" t="str">
        <f>HYPERLINK("http://amigo.geneontology.org/cgi-bin/amigo/term-details.cgi?term=GO:0016679","GO:0016679")</f>
        <v>GO:0016679</v>
      </c>
      <c r="D19" t="s">
        <v>1062</v>
      </c>
      <c r="E19">
        <v>147</v>
      </c>
      <c r="F19">
        <v>6</v>
      </c>
      <c r="G19" s="4">
        <v>4.4463044303309903E-6</v>
      </c>
      <c r="H19">
        <v>2.50771569870667E-3</v>
      </c>
      <c r="I19" t="s">
        <v>5869</v>
      </c>
    </row>
    <row r="20" spans="1:9" x14ac:dyDescent="0.25">
      <c r="A20" t="s">
        <v>331</v>
      </c>
      <c r="C20" t="str">
        <f>HYPERLINK("http://amigo.geneontology.org/cgi-bin/amigo/term-details.cgi?term=GO:0046271","GO:0046271")</f>
        <v>GO:0046271</v>
      </c>
      <c r="D20" t="s">
        <v>1009</v>
      </c>
      <c r="E20">
        <v>85</v>
      </c>
      <c r="F20">
        <v>5</v>
      </c>
      <c r="G20" s="4">
        <v>4.8219008740925798E-6</v>
      </c>
      <c r="H20">
        <v>1.9769793583779599E-3</v>
      </c>
      <c r="I20" t="s">
        <v>4371</v>
      </c>
    </row>
    <row r="21" spans="1:9" x14ac:dyDescent="0.25">
      <c r="A21" t="s">
        <v>5872</v>
      </c>
      <c r="C21" t="str">
        <f>HYPERLINK("http://amigo.geneontology.org/cgi-bin/amigo/term-details.cgi?term=GO:0046274","GO:0046274")</f>
        <v>GO:0046274</v>
      </c>
      <c r="D21" t="s">
        <v>1012</v>
      </c>
      <c r="E21">
        <v>85</v>
      </c>
      <c r="F21">
        <v>5</v>
      </c>
      <c r="G21" s="4">
        <v>4.8219008740925798E-6</v>
      </c>
      <c r="H21">
        <v>2.1746772942157501E-3</v>
      </c>
      <c r="I21" t="s">
        <v>4371</v>
      </c>
    </row>
    <row r="22" spans="1:9" x14ac:dyDescent="0.25">
      <c r="A22" t="s">
        <v>5873</v>
      </c>
      <c r="C22" t="str">
        <f>HYPERLINK("http://amigo.geneontology.org/cgi-bin/amigo/term-details.cgi?term=GO:0052716","GO:0052716")</f>
        <v>GO:0052716</v>
      </c>
      <c r="D22" t="s">
        <v>1014</v>
      </c>
      <c r="E22">
        <v>85</v>
      </c>
      <c r="F22">
        <v>5</v>
      </c>
      <c r="G22" s="4">
        <v>4.8219008740925798E-6</v>
      </c>
      <c r="H22">
        <v>2.4157723379203801E-3</v>
      </c>
      <c r="I22" t="s">
        <v>4371</v>
      </c>
    </row>
    <row r="23" spans="1:9" x14ac:dyDescent="0.25">
      <c r="A23" t="s">
        <v>4220</v>
      </c>
      <c r="C23" t="str">
        <f>HYPERLINK("http://amigo.geneontology.org/cgi-bin/amigo/term-details.cgi?term=GO:0009808","GO:0009808")</f>
        <v>GO:0009808</v>
      </c>
      <c r="D23" t="s">
        <v>1093</v>
      </c>
      <c r="E23">
        <v>93</v>
      </c>
      <c r="F23">
        <v>5</v>
      </c>
      <c r="G23" s="4">
        <v>7.5002820860510596E-6</v>
      </c>
      <c r="H23">
        <v>2.8201060643552002E-3</v>
      </c>
      <c r="I23" t="s">
        <v>4371</v>
      </c>
    </row>
    <row r="24" spans="1:9" x14ac:dyDescent="0.25">
      <c r="A24" t="s">
        <v>361</v>
      </c>
      <c r="C24" t="str">
        <f>HYPERLINK("http://amigo.geneontology.org/cgi-bin/amigo/term-details.cgi?term=GO:0020037","GO:0020037")</f>
        <v>GO:0020037</v>
      </c>
      <c r="D24" t="s">
        <v>1181</v>
      </c>
      <c r="E24">
        <v>2527</v>
      </c>
      <c r="F24">
        <v>21</v>
      </c>
      <c r="G24" s="4">
        <v>1.29293958874232E-5</v>
      </c>
      <c r="H24">
        <v>4.4865003729358602E-3</v>
      </c>
      <c r="I24" t="s">
        <v>5874</v>
      </c>
    </row>
    <row r="25" spans="1:9" x14ac:dyDescent="0.25">
      <c r="A25" t="s">
        <v>5875</v>
      </c>
      <c r="C25" t="str">
        <f>HYPERLINK("http://amigo.geneontology.org/cgi-bin/amigo/term-details.cgi?term=GO:0043733","GO:0043733")</f>
        <v>GO:0043733</v>
      </c>
      <c r="D25" t="s">
        <v>4292</v>
      </c>
      <c r="E25">
        <v>19</v>
      </c>
      <c r="F25">
        <v>3</v>
      </c>
      <c r="G25" s="4">
        <v>2.11976051214934E-5</v>
      </c>
      <c r="H25">
        <v>6.3804791415695101E-3</v>
      </c>
      <c r="I25" t="s">
        <v>4293</v>
      </c>
    </row>
    <row r="26" spans="1:9" x14ac:dyDescent="0.25">
      <c r="A26" t="s">
        <v>4224</v>
      </c>
      <c r="C26" t="str">
        <f>HYPERLINK("http://amigo.geneontology.org/cgi-bin/amigo/term-details.cgi?term=GO:0008725","GO:0008725")</f>
        <v>GO:0008725</v>
      </c>
      <c r="D26" t="s">
        <v>4294</v>
      </c>
      <c r="E26">
        <v>19</v>
      </c>
      <c r="F26">
        <v>3</v>
      </c>
      <c r="G26" s="4">
        <v>2.11976051214934E-5</v>
      </c>
      <c r="H26">
        <v>6.8256288491208702E-3</v>
      </c>
      <c r="I26" t="s">
        <v>4293</v>
      </c>
    </row>
    <row r="27" spans="1:9" x14ac:dyDescent="0.25">
      <c r="A27" t="s">
        <v>4228</v>
      </c>
      <c r="C27" t="str">
        <f>HYPERLINK("http://amigo.geneontology.org/cgi-bin/amigo/term-details.cgi?term=GO:0003905","GO:0003905")</f>
        <v>GO:0003905</v>
      </c>
      <c r="D27" t="s">
        <v>4306</v>
      </c>
      <c r="E27">
        <v>20</v>
      </c>
      <c r="F27">
        <v>3</v>
      </c>
      <c r="G27" s="4">
        <v>2.48860525062215E-5</v>
      </c>
      <c r="H27">
        <v>7.0178668067544603E-3</v>
      </c>
      <c r="I27" t="s">
        <v>4293</v>
      </c>
    </row>
    <row r="28" spans="1:9" x14ac:dyDescent="0.25">
      <c r="A28" t="s">
        <v>82</v>
      </c>
      <c r="C28" t="str">
        <f>HYPERLINK("http://amigo.geneontology.org/cgi-bin/amigo/term-details.cgi?term=GO:0044430","GO:0044430")</f>
        <v>GO:0044430</v>
      </c>
      <c r="D28" t="s">
        <v>1548</v>
      </c>
      <c r="E28">
        <v>429</v>
      </c>
      <c r="F28">
        <v>8</v>
      </c>
      <c r="G28" s="4">
        <v>3.5821112995523597E-5</v>
      </c>
      <c r="H28">
        <v>9.4925949438137598E-3</v>
      </c>
      <c r="I28" t="s">
        <v>5876</v>
      </c>
    </row>
    <row r="29" spans="1:9" x14ac:dyDescent="0.25">
      <c r="A29" t="s">
        <v>4240</v>
      </c>
      <c r="C29" t="str">
        <f>HYPERLINK("http://amigo.geneontology.org/cgi-bin/amigo/term-details.cgi?term=GO:0007017","GO:0007017")</f>
        <v>GO:0007017</v>
      </c>
      <c r="D29" t="s">
        <v>5877</v>
      </c>
      <c r="E29">
        <v>452</v>
      </c>
      <c r="F29">
        <v>8</v>
      </c>
      <c r="G29" s="4">
        <v>5.1634555193251203E-5</v>
      </c>
      <c r="H29">
        <v>1.29086387983128E-2</v>
      </c>
      <c r="I29" t="s">
        <v>5878</v>
      </c>
    </row>
    <row r="30" spans="1:9" x14ac:dyDescent="0.25">
      <c r="A30" t="s">
        <v>5879</v>
      </c>
      <c r="C30" t="str">
        <f>HYPERLINK("http://amigo.geneontology.org/cgi-bin/amigo/term-details.cgi?term=GO:0055114","GO:0055114")</f>
        <v>GO:0055114</v>
      </c>
      <c r="D30" t="s">
        <v>454</v>
      </c>
      <c r="E30">
        <v>6698</v>
      </c>
      <c r="F30">
        <v>37</v>
      </c>
      <c r="G30" s="4">
        <v>7.2305411570678207E-5</v>
      </c>
      <c r="H30">
        <v>1.7136382542250701E-2</v>
      </c>
      <c r="I30" t="s">
        <v>5880</v>
      </c>
    </row>
    <row r="31" spans="1:9" x14ac:dyDescent="0.25">
      <c r="A31" t="s">
        <v>5881</v>
      </c>
      <c r="C31" t="str">
        <f>HYPERLINK("http://amigo.geneontology.org/cgi-bin/amigo/term-details.cgi?term=GO:0015630","GO:0015630")</f>
        <v>GO:0015630</v>
      </c>
      <c r="D31" t="s">
        <v>5882</v>
      </c>
      <c r="E31">
        <v>354</v>
      </c>
      <c r="F31">
        <v>7</v>
      </c>
      <c r="G31" s="4">
        <v>7.6904601853608205E-5</v>
      </c>
      <c r="H31">
        <v>1.73035354170618E-2</v>
      </c>
      <c r="I31" t="s">
        <v>5883</v>
      </c>
    </row>
    <row r="32" spans="1:9" x14ac:dyDescent="0.25">
      <c r="A32" t="s">
        <v>423</v>
      </c>
      <c r="C32" t="str">
        <f>HYPERLINK("http://amigo.geneontology.org/cgi-bin/amigo/term-details.cgi?term=GO:0005874","GO:0005874")</f>
        <v>GO:0005874</v>
      </c>
      <c r="D32" t="s">
        <v>5884</v>
      </c>
      <c r="E32">
        <v>251</v>
      </c>
      <c r="F32">
        <v>6</v>
      </c>
      <c r="G32" s="4">
        <v>9.0072231825480295E-5</v>
      </c>
      <c r="H32">
        <v>1.9365529842478201E-2</v>
      </c>
      <c r="I32" t="s">
        <v>5885</v>
      </c>
    </row>
    <row r="33" spans="1:9" x14ac:dyDescent="0.25">
      <c r="A33" t="s">
        <v>4266</v>
      </c>
      <c r="C33" t="str">
        <f>HYPERLINK("http://amigo.geneontology.org/cgi-bin/amigo/term-details.cgi?term=GO:0009698","GO:0009698")</f>
        <v>GO:0009698</v>
      </c>
      <c r="D33" t="s">
        <v>5618</v>
      </c>
      <c r="E33">
        <v>157</v>
      </c>
      <c r="F33">
        <v>5</v>
      </c>
      <c r="G33" s="4">
        <v>9.2844479929371303E-5</v>
      </c>
      <c r="H33">
        <v>1.9033118385521099E-2</v>
      </c>
      <c r="I33" t="s">
        <v>4371</v>
      </c>
    </row>
    <row r="34" spans="1:9" x14ac:dyDescent="0.25">
      <c r="A34" t="s">
        <v>4268</v>
      </c>
      <c r="C34" t="str">
        <f>HYPERLINK("http://amigo.geneontology.org/cgi-bin/amigo/term-details.cgi?term=GO:0099081","GO:0099081")</f>
        <v>GO:0099081</v>
      </c>
      <c r="D34" t="s">
        <v>5886</v>
      </c>
      <c r="E34">
        <v>259</v>
      </c>
      <c r="F34">
        <v>6</v>
      </c>
      <c r="G34" s="4">
        <v>1.06906794614249E-4</v>
      </c>
      <c r="H34">
        <v>1.9243223030564801E-2</v>
      </c>
      <c r="I34" t="s">
        <v>5885</v>
      </c>
    </row>
    <row r="35" spans="1:9" x14ac:dyDescent="0.25">
      <c r="A35" t="s">
        <v>4272</v>
      </c>
      <c r="C35" t="str">
        <f>HYPERLINK("http://amigo.geneontology.org/cgi-bin/amigo/term-details.cgi?term=GO:0099512","GO:0099512")</f>
        <v>GO:0099512</v>
      </c>
      <c r="D35" t="s">
        <v>5887</v>
      </c>
      <c r="E35">
        <v>259</v>
      </c>
      <c r="F35">
        <v>6</v>
      </c>
      <c r="G35" s="4">
        <v>1.06906794614249E-4</v>
      </c>
      <c r="H35">
        <v>2.0098477387478799E-2</v>
      </c>
      <c r="I35" t="s">
        <v>5885</v>
      </c>
    </row>
    <row r="36" spans="1:9" x14ac:dyDescent="0.25">
      <c r="A36" t="s">
        <v>4284</v>
      </c>
      <c r="C36" t="str">
        <f>HYPERLINK("http://amigo.geneontology.org/cgi-bin/amigo/term-details.cgi?term=GO:0099513","GO:0099513")</f>
        <v>GO:0099513</v>
      </c>
      <c r="D36" t="s">
        <v>5888</v>
      </c>
      <c r="E36">
        <v>259</v>
      </c>
      <c r="F36">
        <v>6</v>
      </c>
      <c r="G36" s="4">
        <v>1.06906794614249E-4</v>
      </c>
      <c r="H36">
        <v>2.0953731744392801E-2</v>
      </c>
      <c r="I36" t="s">
        <v>5885</v>
      </c>
    </row>
    <row r="37" spans="1:9" x14ac:dyDescent="0.25">
      <c r="A37" t="s">
        <v>456</v>
      </c>
      <c r="C37" t="str">
        <f>HYPERLINK("http://amigo.geneontology.org/cgi-bin/amigo/term-details.cgi?term=GO:0005856","GO:0005856")</f>
        <v>GO:0005856</v>
      </c>
      <c r="D37" t="s">
        <v>759</v>
      </c>
      <c r="E37">
        <v>516</v>
      </c>
      <c r="F37">
        <v>8</v>
      </c>
      <c r="G37" s="4">
        <v>1.28646712376783E-4</v>
      </c>
      <c r="H37">
        <v>2.2255881241183498E-2</v>
      </c>
      <c r="I37" t="s">
        <v>5876</v>
      </c>
    </row>
    <row r="38" spans="1:9" x14ac:dyDescent="0.25">
      <c r="A38" t="s">
        <v>4295</v>
      </c>
      <c r="C38" t="str">
        <f>HYPERLINK("http://amigo.geneontology.org/cgi-bin/amigo/term-details.cgi?term=GO:0016491","GO:0016491")</f>
        <v>GO:0016491</v>
      </c>
      <c r="D38" t="s">
        <v>315</v>
      </c>
      <c r="E38">
        <v>6975</v>
      </c>
      <c r="F38">
        <v>37</v>
      </c>
      <c r="G38" s="4">
        <v>1.6422449050481399E-4</v>
      </c>
      <c r="H38">
        <v>2.7425489914303901E-2</v>
      </c>
      <c r="I38" t="s">
        <v>5880</v>
      </c>
    </row>
    <row r="39" spans="1:9" x14ac:dyDescent="0.25">
      <c r="A39" t="s">
        <v>4299</v>
      </c>
      <c r="C39" t="str">
        <f>HYPERLINK("http://amigo.geneontology.org/cgi-bin/amigo/term-details.cgi?term=GO:0006928","GO:0006928")</f>
        <v>GO:0006928</v>
      </c>
      <c r="D39" t="s">
        <v>1350</v>
      </c>
      <c r="E39">
        <v>180</v>
      </c>
      <c r="F39">
        <v>5</v>
      </c>
      <c r="G39" s="4">
        <v>1.75913723410062E-4</v>
      </c>
      <c r="H39">
        <v>2.8322109469019901E-2</v>
      </c>
      <c r="I39" t="s">
        <v>5889</v>
      </c>
    </row>
    <row r="40" spans="1:9" x14ac:dyDescent="0.25">
      <c r="A40" t="s">
        <v>4319</v>
      </c>
      <c r="C40" t="str">
        <f>HYPERLINK("http://amigo.geneontology.org/cgi-bin/amigo/term-details.cgi?term=GO:0019104","GO:0019104")</f>
        <v>GO:0019104</v>
      </c>
      <c r="D40" t="s">
        <v>4431</v>
      </c>
      <c r="E40">
        <v>39</v>
      </c>
      <c r="F40">
        <v>3</v>
      </c>
      <c r="G40" s="4">
        <v>1.9171116237200899E-4</v>
      </c>
      <c r="H40">
        <v>2.9715230167661501E-2</v>
      </c>
      <c r="I40" t="s">
        <v>4293</v>
      </c>
    </row>
    <row r="41" spans="1:9" x14ac:dyDescent="0.25">
      <c r="A41" t="s">
        <v>5890</v>
      </c>
      <c r="C41" t="str">
        <f>HYPERLINK("http://amigo.geneontology.org/cgi-bin/amigo/term-details.cgi?term=GO:0048037","GO:0048037")</f>
        <v>GO:0048037</v>
      </c>
      <c r="D41" t="s">
        <v>4125</v>
      </c>
      <c r="E41">
        <v>4750</v>
      </c>
      <c r="F41">
        <v>28</v>
      </c>
      <c r="G41" s="4">
        <v>2.1369899387931E-4</v>
      </c>
      <c r="H41">
        <v>3.2054849081896597E-2</v>
      </c>
      <c r="I41" t="s">
        <v>5891</v>
      </c>
    </row>
    <row r="42" spans="1:9" x14ac:dyDescent="0.25">
      <c r="A42" t="s">
        <v>3</v>
      </c>
      <c r="C42" t="str">
        <f>HYPERLINK("http://amigo.geneontology.org/cgi-bin/amigo/term-details.cgi?term=GO:0003774","GO:0003774")</f>
        <v>GO:0003774</v>
      </c>
      <c r="D42" t="s">
        <v>689</v>
      </c>
      <c r="E42">
        <v>198</v>
      </c>
      <c r="F42">
        <v>5</v>
      </c>
      <c r="G42" s="4">
        <v>2.7326101016351398E-4</v>
      </c>
      <c r="H42">
        <v>3.9622846473709603E-2</v>
      </c>
      <c r="I42" t="s">
        <v>5889</v>
      </c>
    </row>
    <row r="43" spans="1:9" x14ac:dyDescent="0.25">
      <c r="A43" t="s">
        <v>4324</v>
      </c>
      <c r="C43" t="str">
        <f>HYPERLINK("http://amigo.geneontology.org/cgi-bin/amigo/term-details.cgi?term=GO:0004185","GO:0004185")</f>
        <v>GO:0004185</v>
      </c>
      <c r="D43" t="s">
        <v>5892</v>
      </c>
      <c r="E43">
        <v>214</v>
      </c>
      <c r="F43">
        <v>5</v>
      </c>
      <c r="G43" s="4">
        <v>3.9001193157583801E-4</v>
      </c>
      <c r="H43">
        <v>5.4991682352193101E-2</v>
      </c>
      <c r="I43" t="s">
        <v>5893</v>
      </c>
    </row>
    <row r="44" spans="1:9" x14ac:dyDescent="0.25">
      <c r="A44" t="s">
        <v>4333</v>
      </c>
      <c r="C44" t="str">
        <f>HYPERLINK("http://amigo.geneontology.org/cgi-bin/amigo/term-details.cgi?term=GO:0004180","GO:0004180")</f>
        <v>GO:0004180</v>
      </c>
      <c r="D44" t="s">
        <v>5894</v>
      </c>
      <c r="E44">
        <v>225</v>
      </c>
      <c r="F44">
        <v>5</v>
      </c>
      <c r="G44" s="4">
        <v>4.8977982519483702E-4</v>
      </c>
      <c r="H44">
        <v>6.6610056226497794E-2</v>
      </c>
      <c r="I44" t="s">
        <v>5893</v>
      </c>
    </row>
    <row r="45" spans="1:9" x14ac:dyDescent="0.25">
      <c r="A45" t="s">
        <v>528</v>
      </c>
      <c r="C45" t="str">
        <f>HYPERLINK("http://amigo.geneontology.org/cgi-bin/amigo/term-details.cgi?term=GO:0071804","GO:0071804")</f>
        <v>GO:0071804</v>
      </c>
      <c r="D45" t="s">
        <v>305</v>
      </c>
      <c r="E45">
        <v>128</v>
      </c>
      <c r="F45">
        <v>4</v>
      </c>
      <c r="G45" s="4">
        <v>5.1345312178353896E-4</v>
      </c>
      <c r="H45">
        <v>6.6235452710076595E-2</v>
      </c>
      <c r="I45" t="s">
        <v>5895</v>
      </c>
    </row>
    <row r="46" spans="1:9" x14ac:dyDescent="0.25">
      <c r="A46" t="s">
        <v>4340</v>
      </c>
      <c r="C46" t="str">
        <f>HYPERLINK("http://amigo.geneontology.org/cgi-bin/amigo/term-details.cgi?term=GO:0071805","GO:0071805")</f>
        <v>GO:0071805</v>
      </c>
      <c r="D46" t="s">
        <v>308</v>
      </c>
      <c r="E46">
        <v>128</v>
      </c>
      <c r="F46">
        <v>4</v>
      </c>
      <c r="G46" s="4">
        <v>5.1345312178353896E-4</v>
      </c>
      <c r="H46">
        <v>6.7775812075427197E-2</v>
      </c>
      <c r="I46" t="s">
        <v>5895</v>
      </c>
    </row>
    <row r="47" spans="1:9" x14ac:dyDescent="0.25">
      <c r="A47" t="s">
        <v>563</v>
      </c>
      <c r="C47" t="str">
        <f>HYPERLINK("http://amigo.geneontology.org/cgi-bin/amigo/term-details.cgi?term=GO:0008083","GO:0008083")</f>
        <v>GO:0008083</v>
      </c>
      <c r="D47" t="s">
        <v>32</v>
      </c>
      <c r="E47">
        <v>12</v>
      </c>
      <c r="F47">
        <v>2</v>
      </c>
      <c r="G47" s="4">
        <v>5.2050792459471895E-4</v>
      </c>
      <c r="H47">
        <v>6.5063490574339897E-2</v>
      </c>
      <c r="I47" t="s">
        <v>4374</v>
      </c>
    </row>
    <row r="48" spans="1:9" x14ac:dyDescent="0.25">
      <c r="A48" t="s">
        <v>566</v>
      </c>
      <c r="C48" t="str">
        <f>HYPERLINK("http://amigo.geneontology.org/cgi-bin/amigo/term-details.cgi?term=GO:0070008","GO:0070008")</f>
        <v>GO:0070008</v>
      </c>
      <c r="D48" t="s">
        <v>5896</v>
      </c>
      <c r="E48">
        <v>232</v>
      </c>
      <c r="F48">
        <v>5</v>
      </c>
      <c r="G48" s="4">
        <v>5.6256024822467999E-4</v>
      </c>
      <c r="H48">
        <v>6.8632350283410901E-2</v>
      </c>
      <c r="I48" t="s">
        <v>5893</v>
      </c>
    </row>
    <row r="49" spans="1:9" x14ac:dyDescent="0.25">
      <c r="A49" t="s">
        <v>637</v>
      </c>
      <c r="C49" t="str">
        <f>HYPERLINK("http://amigo.geneontology.org/cgi-bin/amigo/term-details.cgi?term=GO:0031224","GO:0031224")</f>
        <v>GO:0031224</v>
      </c>
      <c r="D49" t="s">
        <v>191</v>
      </c>
      <c r="E49">
        <v>7435</v>
      </c>
      <c r="F49">
        <v>37</v>
      </c>
      <c r="G49" s="4">
        <v>5.6273500495028505E-4</v>
      </c>
      <c r="H49">
        <v>6.6402730584133596E-2</v>
      </c>
      <c r="I49" t="s">
        <v>5897</v>
      </c>
    </row>
    <row r="50" spans="1:9" x14ac:dyDescent="0.25">
      <c r="A50" t="s">
        <v>4408</v>
      </c>
      <c r="C50" t="str">
        <f>HYPERLINK("http://amigo.geneontology.org/cgi-bin/amigo/term-details.cgi?term=GO:0005452","GO:0005452")</f>
        <v>GO:0005452</v>
      </c>
      <c r="D50" t="s">
        <v>5535</v>
      </c>
      <c r="E50">
        <v>13</v>
      </c>
      <c r="F50">
        <v>2</v>
      </c>
      <c r="G50" s="4">
        <v>6.1399376205872598E-4</v>
      </c>
      <c r="H50">
        <v>7.0609282636753506E-2</v>
      </c>
      <c r="I50" t="s">
        <v>5898</v>
      </c>
    </row>
    <row r="51" spans="1:9" x14ac:dyDescent="0.25">
      <c r="A51" t="s">
        <v>5899</v>
      </c>
      <c r="C51" t="str">
        <f>HYPERLINK("http://amigo.geneontology.org/cgi-bin/amigo/term-details.cgi?term=GO:0019748","GO:0019748")</f>
        <v>GO:0019748</v>
      </c>
      <c r="D51" t="s">
        <v>5900</v>
      </c>
      <c r="E51">
        <v>362</v>
      </c>
      <c r="F51">
        <v>6</v>
      </c>
      <c r="G51" s="4">
        <v>6.3675512675696498E-4</v>
      </c>
      <c r="H51">
        <v>7.13165741967801E-2</v>
      </c>
      <c r="I51" t="s">
        <v>5901</v>
      </c>
    </row>
    <row r="52" spans="1:9" x14ac:dyDescent="0.25">
      <c r="A52" t="s">
        <v>5902</v>
      </c>
      <c r="C52" t="str">
        <f>HYPERLINK("http://amigo.geneontology.org/cgi-bin/amigo/term-details.cgi?term=GO:0071554","GO:0071554")</f>
        <v>GO:0071554</v>
      </c>
      <c r="D52" t="s">
        <v>206</v>
      </c>
      <c r="E52">
        <v>1000</v>
      </c>
      <c r="F52">
        <v>10</v>
      </c>
      <c r="G52" s="4">
        <v>6.4608206362653598E-4</v>
      </c>
      <c r="H52">
        <v>7.1069026998918997E-2</v>
      </c>
      <c r="I52" t="s">
        <v>5903</v>
      </c>
    </row>
    <row r="53" spans="1:9" x14ac:dyDescent="0.25">
      <c r="A53" t="s">
        <v>4428</v>
      </c>
      <c r="C53" t="str">
        <f>HYPERLINK("http://amigo.geneontology.org/cgi-bin/amigo/term-details.cgi?term=GO:0016021","GO:0016021")</f>
        <v>GO:0016021</v>
      </c>
      <c r="D53" t="s">
        <v>203</v>
      </c>
      <c r="E53">
        <v>7362</v>
      </c>
      <c r="F53">
        <v>36</v>
      </c>
      <c r="G53" s="4">
        <v>9.2462045967663098E-4</v>
      </c>
      <c r="H53">
        <v>9.8934389185399499E-2</v>
      </c>
      <c r="I53" t="s">
        <v>5904</v>
      </c>
    </row>
    <row r="54" spans="1:9" x14ac:dyDescent="0.25">
      <c r="A54" t="s">
        <v>5905</v>
      </c>
      <c r="C54" t="str">
        <f>HYPERLINK("http://amigo.geneontology.org/cgi-bin/amigo/term-details.cgi?term=GO:0030545","GO:0030545")</f>
        <v>GO:0030545</v>
      </c>
      <c r="D54" t="s">
        <v>35</v>
      </c>
      <c r="E54">
        <v>16</v>
      </c>
      <c r="F54">
        <v>2</v>
      </c>
      <c r="G54" s="4">
        <v>9.3931130475131096E-4</v>
      </c>
      <c r="H54">
        <v>9.3931130475131103E-2</v>
      </c>
      <c r="I54" t="s">
        <v>4374</v>
      </c>
    </row>
    <row r="55" spans="1:9" x14ac:dyDescent="0.25">
      <c r="A55" t="s">
        <v>4438</v>
      </c>
      <c r="C55" t="str">
        <f>HYPERLINK("http://amigo.geneontology.org/cgi-bin/amigo/term-details.cgi?term=GO:0048018","GO:0048018")</f>
        <v>GO:0048018</v>
      </c>
      <c r="D55" t="s">
        <v>37</v>
      </c>
      <c r="E55">
        <v>16</v>
      </c>
      <c r="F55">
        <v>2</v>
      </c>
      <c r="G55" s="4">
        <v>9.3931130475131096E-4</v>
      </c>
      <c r="H55">
        <v>9.5809753084633797E-2</v>
      </c>
      <c r="I55" t="s">
        <v>4374</v>
      </c>
    </row>
    <row r="56" spans="1:9" x14ac:dyDescent="0.25">
      <c r="A56" t="s">
        <v>5906</v>
      </c>
      <c r="C56" t="str">
        <f>HYPERLINK("http://amigo.geneontology.org/cgi-bin/amigo/term-details.cgi?term=GO:0004030","GO:0004030")</f>
        <v>GO:0004030</v>
      </c>
      <c r="D56" t="s">
        <v>4432</v>
      </c>
      <c r="E56">
        <v>16</v>
      </c>
      <c r="F56">
        <v>2</v>
      </c>
      <c r="G56" s="4">
        <v>9.3931130475131096E-4</v>
      </c>
      <c r="H56">
        <v>9.8627686998887701E-2</v>
      </c>
      <c r="I56" t="s">
        <v>5907</v>
      </c>
    </row>
    <row r="57" spans="1:9" x14ac:dyDescent="0.25">
      <c r="A57" t="s">
        <v>5908</v>
      </c>
      <c r="C57" t="str">
        <f>HYPERLINK("http://amigo.geneontology.org/cgi-bin/amigo/term-details.cgi?term=GO:0016620","GO:0016620")</f>
        <v>GO:0016620</v>
      </c>
      <c r="D57" t="s">
        <v>803</v>
      </c>
      <c r="E57">
        <v>152</v>
      </c>
      <c r="F57">
        <v>4</v>
      </c>
      <c r="G57" s="4">
        <v>9.7563986252947497E-4</v>
      </c>
      <c r="H57">
        <v>9.5612706527888502E-2</v>
      </c>
      <c r="I57" t="s">
        <v>5909</v>
      </c>
    </row>
    <row r="58" spans="1:9" x14ac:dyDescent="0.25">
      <c r="A58" t="s">
        <v>723</v>
      </c>
      <c r="C58" t="str">
        <f>HYPERLINK("http://amigo.geneontology.org/cgi-bin/amigo/term-details.cgi?term=GO:0006284","GO:0006284")</f>
        <v>GO:0006284</v>
      </c>
      <c r="D58" t="s">
        <v>5910</v>
      </c>
      <c r="E58">
        <v>68</v>
      </c>
      <c r="F58">
        <v>3</v>
      </c>
      <c r="G58" s="4">
        <v>9.8946562133770993E-4</v>
      </c>
      <c r="H58">
        <v>9.4988699648420202E-2</v>
      </c>
      <c r="I58" t="s">
        <v>4293</v>
      </c>
    </row>
    <row r="59" spans="1:9" x14ac:dyDescent="0.25">
      <c r="A59" t="s">
        <v>5911</v>
      </c>
      <c r="C59" t="str">
        <f>HYPERLINK("http://amigo.geneontology.org/cgi-bin/amigo/term-details.cgi?term=GO:0000910","GO:0000910")</f>
        <v>GO:0000910</v>
      </c>
      <c r="D59" t="s">
        <v>5912</v>
      </c>
      <c r="E59">
        <v>154</v>
      </c>
      <c r="F59">
        <v>4</v>
      </c>
      <c r="G59">
        <v>1.0240201373576899E-3</v>
      </c>
      <c r="H59">
        <v>9.6257892911623594E-2</v>
      </c>
      <c r="I59" t="s">
        <v>5913</v>
      </c>
    </row>
    <row r="60" spans="1:9" x14ac:dyDescent="0.25">
      <c r="A60" t="s">
        <v>4472</v>
      </c>
      <c r="C60" t="str">
        <f>HYPERLINK("http://amigo.geneontology.org/cgi-bin/amigo/term-details.cgi?term=GO:0005819","GO:0005819")</f>
        <v>GO:0005819</v>
      </c>
      <c r="D60" t="s">
        <v>5914</v>
      </c>
      <c r="E60">
        <v>72</v>
      </c>
      <c r="F60">
        <v>3</v>
      </c>
      <c r="G60">
        <v>1.1677209879073201E-3</v>
      </c>
      <c r="H60">
        <v>0.107430330887473</v>
      </c>
      <c r="I60" t="s">
        <v>5915</v>
      </c>
    </row>
    <row r="61" spans="1:9" x14ac:dyDescent="0.25">
      <c r="A61" t="s">
        <v>4477</v>
      </c>
      <c r="C61" t="str">
        <f>HYPERLINK("http://amigo.geneontology.org/cgi-bin/amigo/term-details.cgi?term=GO:0015079","GO:0015079")</f>
        <v>GO:0015079</v>
      </c>
      <c r="D61" t="s">
        <v>264</v>
      </c>
      <c r="E61">
        <v>160</v>
      </c>
      <c r="F61">
        <v>4</v>
      </c>
      <c r="G61">
        <v>1.17924695900486E-3</v>
      </c>
      <c r="H61">
        <v>0.106132226310438</v>
      </c>
      <c r="I61" t="s">
        <v>5895</v>
      </c>
    </row>
    <row r="62" spans="1:9" x14ac:dyDescent="0.25">
      <c r="A62" t="s">
        <v>4486</v>
      </c>
      <c r="C62" t="str">
        <f>HYPERLINK("http://amigo.geneontology.org/cgi-bin/amigo/term-details.cgi?term=GO:0016798","GO:0016798")</f>
        <v>GO:0016798</v>
      </c>
      <c r="D62" t="s">
        <v>177</v>
      </c>
      <c r="E62">
        <v>1691</v>
      </c>
      <c r="F62">
        <v>13</v>
      </c>
      <c r="G62">
        <v>1.2137606862951799E-3</v>
      </c>
      <c r="H62">
        <v>0.106810940393976</v>
      </c>
      <c r="I62" t="s">
        <v>5916</v>
      </c>
    </row>
    <row r="63" spans="1:9" x14ac:dyDescent="0.25">
      <c r="A63" t="s">
        <v>4489</v>
      </c>
      <c r="C63" t="str">
        <f>HYPERLINK("http://amigo.geneontology.org/cgi-bin/amigo/term-details.cgi?term=GO:0003777","GO:0003777")</f>
        <v>GO:0003777</v>
      </c>
      <c r="D63" t="s">
        <v>5917</v>
      </c>
      <c r="E63">
        <v>163</v>
      </c>
      <c r="F63">
        <v>4</v>
      </c>
      <c r="G63">
        <v>1.2627231236055801E-3</v>
      </c>
      <c r="H63">
        <v>0.107331465506475</v>
      </c>
      <c r="I63" t="s">
        <v>5918</v>
      </c>
    </row>
    <row r="64" spans="1:9" x14ac:dyDescent="0.25">
      <c r="A64" t="s">
        <v>4491</v>
      </c>
      <c r="C64" t="str">
        <f>HYPERLINK("http://amigo.geneontology.org/cgi-bin/amigo/term-details.cgi?term=GO:0007018","GO:0007018")</f>
        <v>GO:0007018</v>
      </c>
      <c r="D64" t="s">
        <v>5919</v>
      </c>
      <c r="E64">
        <v>163</v>
      </c>
      <c r="F64">
        <v>4</v>
      </c>
      <c r="G64">
        <v>1.2627231236055801E-3</v>
      </c>
      <c r="H64">
        <v>0.10859418863008</v>
      </c>
      <c r="I64" t="s">
        <v>5918</v>
      </c>
    </row>
    <row r="65" spans="1:9" x14ac:dyDescent="0.25">
      <c r="A65" t="s">
        <v>4492</v>
      </c>
      <c r="C65" t="str">
        <f>HYPERLINK("http://amigo.geneontology.org/cgi-bin/amigo/term-details.cgi?term=GO:0071669","GO:0071669")</f>
        <v>GO:0071669</v>
      </c>
      <c r="D65" t="s">
        <v>596</v>
      </c>
      <c r="E65">
        <v>290</v>
      </c>
      <c r="F65">
        <v>5</v>
      </c>
      <c r="G65">
        <v>1.5172193377115499E-3</v>
      </c>
      <c r="H65">
        <v>0.125929205030058</v>
      </c>
      <c r="I65" t="s">
        <v>5920</v>
      </c>
    </row>
    <row r="66" spans="1:9" x14ac:dyDescent="0.25">
      <c r="A66" t="s">
        <v>4499</v>
      </c>
      <c r="C66" t="str">
        <f>HYPERLINK("http://amigo.geneontology.org/cgi-bin/amigo/term-details.cgi?term=GO:0005102","GO:0005102")</f>
        <v>GO:0005102</v>
      </c>
      <c r="D66" t="s">
        <v>39</v>
      </c>
      <c r="E66">
        <v>21</v>
      </c>
      <c r="F66">
        <v>2</v>
      </c>
      <c r="G66">
        <v>1.6284816840094699E-3</v>
      </c>
      <c r="H66">
        <v>0.13027853472075701</v>
      </c>
      <c r="I66" t="s">
        <v>4374</v>
      </c>
    </row>
    <row r="67" spans="1:9" x14ac:dyDescent="0.25">
      <c r="A67" t="s">
        <v>833</v>
      </c>
      <c r="C67" t="str">
        <f>HYPERLINK("http://amigo.geneontology.org/cgi-bin/amigo/term-details.cgi?term=GO:0000922","GO:0000922")</f>
        <v>GO:0000922</v>
      </c>
      <c r="D67" t="s">
        <v>5921</v>
      </c>
      <c r="E67">
        <v>21</v>
      </c>
      <c r="F67">
        <v>2</v>
      </c>
      <c r="G67">
        <v>1.6284816840094699E-3</v>
      </c>
      <c r="H67">
        <v>0.13353549808877599</v>
      </c>
      <c r="I67" t="s">
        <v>5922</v>
      </c>
    </row>
    <row r="68" spans="1:9" x14ac:dyDescent="0.25">
      <c r="A68" t="s">
        <v>4505</v>
      </c>
      <c r="C68" t="str">
        <f>HYPERLINK("http://amigo.geneontology.org/cgi-bin/amigo/term-details.cgi?term=GO:0016747","GO:0016747")</f>
        <v>GO:0016747</v>
      </c>
      <c r="D68" t="s">
        <v>708</v>
      </c>
      <c r="E68">
        <v>1353</v>
      </c>
      <c r="F68">
        <v>11</v>
      </c>
      <c r="G68">
        <v>1.8546226099897701E-3</v>
      </c>
      <c r="H68">
        <v>0.14651518618919199</v>
      </c>
      <c r="I68" t="s">
        <v>5923</v>
      </c>
    </row>
    <row r="69" spans="1:9" x14ac:dyDescent="0.25">
      <c r="A69" t="s">
        <v>5924</v>
      </c>
      <c r="C69" t="str">
        <f>HYPERLINK("http://amigo.geneontology.org/cgi-bin/amigo/term-details.cgi?term=GO:0016903","GO:0016903")</f>
        <v>GO:0016903</v>
      </c>
      <c r="D69" t="s">
        <v>992</v>
      </c>
      <c r="E69">
        <v>182</v>
      </c>
      <c r="F69">
        <v>4</v>
      </c>
      <c r="G69">
        <v>1.88959575409073E-3</v>
      </c>
      <c r="H69">
        <v>0.14549887306498599</v>
      </c>
      <c r="I69" t="s">
        <v>5909</v>
      </c>
    </row>
    <row r="70" spans="1:9" x14ac:dyDescent="0.25">
      <c r="A70" t="s">
        <v>4510</v>
      </c>
      <c r="C70" t="str">
        <f>HYPERLINK("http://amigo.geneontology.org/cgi-bin/amigo/term-details.cgi?term=GO:0006813","GO:0006813")</f>
        <v>GO:0006813</v>
      </c>
      <c r="D70" t="s">
        <v>212</v>
      </c>
      <c r="E70">
        <v>188</v>
      </c>
      <c r="F70">
        <v>4</v>
      </c>
      <c r="G70">
        <v>2.12543323238177E-3</v>
      </c>
      <c r="H70">
        <v>0.16153292566101399</v>
      </c>
      <c r="I70" t="s">
        <v>5895</v>
      </c>
    </row>
    <row r="71" spans="1:9" x14ac:dyDescent="0.25">
      <c r="A71" t="s">
        <v>5925</v>
      </c>
      <c r="C71" t="str">
        <f>HYPERLINK("http://amigo.geneontology.org/cgi-bin/amigo/term-details.cgi?term=GO:0008238","GO:0008238")</f>
        <v>GO:0008238</v>
      </c>
      <c r="D71" t="s">
        <v>5926</v>
      </c>
      <c r="E71">
        <v>334</v>
      </c>
      <c r="F71">
        <v>5</v>
      </c>
      <c r="G71">
        <v>2.7947377154546099E-3</v>
      </c>
      <c r="H71">
        <v>0.20960532865909501</v>
      </c>
      <c r="I71" t="s">
        <v>5893</v>
      </c>
    </row>
    <row r="72" spans="1:9" x14ac:dyDescent="0.25">
      <c r="A72" t="s">
        <v>5141</v>
      </c>
      <c r="C72" t="str">
        <f>HYPERLINK("http://amigo.geneontology.org/cgi-bin/amigo/term-details.cgi?term=GO:0006857","GO:0006857")</f>
        <v>GO:0006857</v>
      </c>
      <c r="D72" t="s">
        <v>5927</v>
      </c>
      <c r="E72">
        <v>98</v>
      </c>
      <c r="F72">
        <v>3</v>
      </c>
      <c r="G72">
        <v>2.8211035226106298E-3</v>
      </c>
      <c r="H72">
        <v>0.20876166067318599</v>
      </c>
      <c r="I72" t="s">
        <v>5928</v>
      </c>
    </row>
    <row r="73" spans="1:9" x14ac:dyDescent="0.25">
      <c r="A73" t="s">
        <v>4515</v>
      </c>
      <c r="C73" t="str">
        <f>HYPERLINK("http://amigo.geneontology.org/cgi-bin/amigo/term-details.cgi?term=GO:0000226","GO:0000226")</f>
        <v>GO:0000226</v>
      </c>
      <c r="D73" t="s">
        <v>5929</v>
      </c>
      <c r="E73">
        <v>212</v>
      </c>
      <c r="F73">
        <v>4</v>
      </c>
      <c r="G73">
        <v>3.2723455305137101E-3</v>
      </c>
      <c r="H73">
        <v>0.235608878196987</v>
      </c>
      <c r="I73" t="s">
        <v>5913</v>
      </c>
    </row>
    <row r="74" spans="1:9" x14ac:dyDescent="0.25">
      <c r="A74" t="s">
        <v>887</v>
      </c>
      <c r="C74" t="str">
        <f>HYPERLINK("http://amigo.geneontology.org/cgi-bin/amigo/term-details.cgi?term=GO:0008171","GO:0008171")</f>
        <v>GO:0008171</v>
      </c>
      <c r="D74" t="s">
        <v>95</v>
      </c>
      <c r="E74">
        <v>216</v>
      </c>
      <c r="F74">
        <v>4</v>
      </c>
      <c r="G74">
        <v>3.49744750978777E-3</v>
      </c>
      <c r="H74">
        <v>0.24831877319493101</v>
      </c>
      <c r="I74" t="s">
        <v>5930</v>
      </c>
    </row>
    <row r="75" spans="1:9" x14ac:dyDescent="0.25">
      <c r="A75" t="s">
        <v>4516</v>
      </c>
      <c r="C75" t="str">
        <f>HYPERLINK("http://amigo.geneontology.org/cgi-bin/amigo/term-details.cgi?term=GO:0045492","GO:0045492")</f>
        <v>GO:0045492</v>
      </c>
      <c r="D75" t="s">
        <v>4278</v>
      </c>
      <c r="E75">
        <v>107</v>
      </c>
      <c r="F75">
        <v>3</v>
      </c>
      <c r="G75">
        <v>3.6133821536376599E-3</v>
      </c>
      <c r="H75">
        <v>0.25293675075463601</v>
      </c>
      <c r="I75" t="s">
        <v>5931</v>
      </c>
    </row>
    <row r="76" spans="1:9" x14ac:dyDescent="0.25">
      <c r="A76" t="s">
        <v>97</v>
      </c>
      <c r="C76" t="str">
        <f>HYPERLINK("http://amigo.geneontology.org/cgi-bin/amigo/term-details.cgi?term=GO:0048046","GO:0048046")</f>
        <v>GO:0048046</v>
      </c>
      <c r="D76" t="s">
        <v>413</v>
      </c>
      <c r="E76">
        <v>357</v>
      </c>
      <c r="F76">
        <v>5</v>
      </c>
      <c r="G76">
        <v>3.7079906393854101E-3</v>
      </c>
      <c r="H76">
        <v>0.25585135411759302</v>
      </c>
      <c r="I76" t="s">
        <v>4371</v>
      </c>
    </row>
    <row r="77" spans="1:9" x14ac:dyDescent="0.25">
      <c r="A77" t="s">
        <v>896</v>
      </c>
      <c r="C77" t="str">
        <f>HYPERLINK("http://amigo.geneontology.org/cgi-bin/amigo/term-details.cgi?term=GO:0004564","GO:0004564")</f>
        <v>GO:0004564</v>
      </c>
      <c r="D77" t="s">
        <v>404</v>
      </c>
      <c r="E77">
        <v>32</v>
      </c>
      <c r="F77">
        <v>2</v>
      </c>
      <c r="G77">
        <v>3.7680721701630498E-3</v>
      </c>
      <c r="H77">
        <v>0.248692763230761</v>
      </c>
      <c r="I77" t="s">
        <v>5932</v>
      </c>
    </row>
    <row r="78" spans="1:9" x14ac:dyDescent="0.25">
      <c r="A78" t="s">
        <v>4527</v>
      </c>
      <c r="C78" t="str">
        <f>HYPERLINK("http://amigo.geneontology.org/cgi-bin/amigo/term-details.cgi?term=GO:0090599","GO:0090599")</f>
        <v>GO:0090599</v>
      </c>
      <c r="D78" t="s">
        <v>407</v>
      </c>
      <c r="E78">
        <v>32</v>
      </c>
      <c r="F78">
        <v>2</v>
      </c>
      <c r="G78">
        <v>3.7680721701630498E-3</v>
      </c>
      <c r="H78">
        <v>0.25246083540092401</v>
      </c>
      <c r="I78" t="s">
        <v>5932</v>
      </c>
    </row>
    <row r="79" spans="1:9" x14ac:dyDescent="0.25">
      <c r="A79" t="s">
        <v>5933</v>
      </c>
      <c r="C79" t="str">
        <f>HYPERLINK("http://amigo.geneontology.org/cgi-bin/amigo/term-details.cgi?term=GO:0004575","GO:0004575")</f>
        <v>GO:0004575</v>
      </c>
      <c r="D79" t="s">
        <v>409</v>
      </c>
      <c r="E79">
        <v>32</v>
      </c>
      <c r="F79">
        <v>2</v>
      </c>
      <c r="G79">
        <v>3.7680721701630498E-3</v>
      </c>
      <c r="H79">
        <v>0.25622890757108802</v>
      </c>
      <c r="I79" t="s">
        <v>5932</v>
      </c>
    </row>
    <row r="80" spans="1:9" x14ac:dyDescent="0.25">
      <c r="A80" t="s">
        <v>920</v>
      </c>
      <c r="C80" t="str">
        <f>HYPERLINK("http://amigo.geneontology.org/cgi-bin/amigo/term-details.cgi?term=GO:0070592","GO:0070592")</f>
        <v>GO:0070592</v>
      </c>
      <c r="D80" t="s">
        <v>4288</v>
      </c>
      <c r="E80">
        <v>112</v>
      </c>
      <c r="F80">
        <v>3</v>
      </c>
      <c r="G80">
        <v>4.1064325398821201E-3</v>
      </c>
      <c r="H80">
        <v>0.26691811509233698</v>
      </c>
      <c r="I80" t="s">
        <v>5931</v>
      </c>
    </row>
    <row r="81" spans="1:9" x14ac:dyDescent="0.25">
      <c r="A81" t="s">
        <v>935</v>
      </c>
      <c r="C81" t="str">
        <f>HYPERLINK("http://amigo.geneontology.org/cgi-bin/amigo/term-details.cgi?term=GO:0016746","GO:0016746")</f>
        <v>GO:0016746</v>
      </c>
      <c r="D81" t="s">
        <v>742</v>
      </c>
      <c r="E81">
        <v>1506</v>
      </c>
      <c r="F81">
        <v>11</v>
      </c>
      <c r="G81">
        <v>4.1673748662746802E-3</v>
      </c>
      <c r="H81">
        <v>0.26671199144157898</v>
      </c>
      <c r="I81" t="s">
        <v>5923</v>
      </c>
    </row>
    <row r="82" spans="1:9" x14ac:dyDescent="0.25">
      <c r="A82" t="s">
        <v>948</v>
      </c>
      <c r="C82" t="str">
        <f>HYPERLINK("http://amigo.geneontology.org/cgi-bin/amigo/term-details.cgi?term=GO:0070589","GO:0070589")</f>
        <v>GO:0070589</v>
      </c>
      <c r="D82" t="s">
        <v>4302</v>
      </c>
      <c r="E82">
        <v>117</v>
      </c>
      <c r="F82">
        <v>3</v>
      </c>
      <c r="G82">
        <v>4.6384395871015196E-3</v>
      </c>
      <c r="H82">
        <v>0.28758325440029398</v>
      </c>
      <c r="I82" t="s">
        <v>5931</v>
      </c>
    </row>
    <row r="83" spans="1:9" x14ac:dyDescent="0.25">
      <c r="A83" t="s">
        <v>959</v>
      </c>
      <c r="C83" t="str">
        <f>HYPERLINK("http://amigo.geneontology.org/cgi-bin/amigo/term-details.cgi?term=GO:0044038","GO:0044038")</f>
        <v>GO:0044038</v>
      </c>
      <c r="D83" t="s">
        <v>4304</v>
      </c>
      <c r="E83">
        <v>117</v>
      </c>
      <c r="F83">
        <v>3</v>
      </c>
      <c r="G83">
        <v>4.6384395871015196E-3</v>
      </c>
      <c r="H83">
        <v>0.292221693987395</v>
      </c>
      <c r="I83" t="s">
        <v>5931</v>
      </c>
    </row>
    <row r="84" spans="1:9" x14ac:dyDescent="0.25">
      <c r="A84" t="s">
        <v>961</v>
      </c>
      <c r="C84" t="str">
        <f>HYPERLINK("http://amigo.geneontology.org/cgi-bin/amigo/term-details.cgi?term=GO:0009664","GO:0009664")</f>
        <v>GO:0009664</v>
      </c>
      <c r="D84" t="s">
        <v>538</v>
      </c>
      <c r="E84">
        <v>234</v>
      </c>
      <c r="F84">
        <v>4</v>
      </c>
      <c r="G84">
        <v>4.6410041045802097E-3</v>
      </c>
      <c r="H84">
        <v>0.28310125037939299</v>
      </c>
      <c r="I84" t="s">
        <v>5934</v>
      </c>
    </row>
    <row r="85" spans="1:9" x14ac:dyDescent="0.25">
      <c r="A85" t="s">
        <v>4539</v>
      </c>
      <c r="C85" t="str">
        <f>HYPERLINK("http://amigo.geneontology.org/cgi-bin/amigo/term-details.cgi?term=GO:0045491","GO:0045491")</f>
        <v>GO:0045491</v>
      </c>
      <c r="D85" t="s">
        <v>4259</v>
      </c>
      <c r="E85">
        <v>120</v>
      </c>
      <c r="F85">
        <v>3</v>
      </c>
      <c r="G85">
        <v>4.9767000914137704E-3</v>
      </c>
      <c r="H85">
        <v>0.30357870557624</v>
      </c>
      <c r="I85" t="s">
        <v>5931</v>
      </c>
    </row>
    <row r="86" spans="1:9" x14ac:dyDescent="0.25">
      <c r="A86" t="s">
        <v>5935</v>
      </c>
      <c r="C86" t="str">
        <f>HYPERLINK("http://amigo.geneontology.org/cgi-bin/amigo/term-details.cgi?term=GO:0016157","GO:0016157")</f>
        <v>GO:0016157</v>
      </c>
      <c r="D86" t="s">
        <v>378</v>
      </c>
      <c r="E86">
        <v>37</v>
      </c>
      <c r="F86">
        <v>2</v>
      </c>
      <c r="G86">
        <v>5.0125869370895304E-3</v>
      </c>
      <c r="H86">
        <v>0.30075521622537199</v>
      </c>
      <c r="I86" t="s">
        <v>5936</v>
      </c>
    </row>
    <row r="87" spans="1:9" x14ac:dyDescent="0.25">
      <c r="A87" t="s">
        <v>4550</v>
      </c>
      <c r="C87" t="str">
        <f>HYPERLINK("http://amigo.geneontology.org/cgi-bin/amigo/term-details.cgi?term=GO:0044036","GO:0044036")</f>
        <v>GO:0044036</v>
      </c>
      <c r="D87" t="s">
        <v>828</v>
      </c>
      <c r="E87">
        <v>388</v>
      </c>
      <c r="F87">
        <v>5</v>
      </c>
      <c r="G87">
        <v>5.25359864792332E-3</v>
      </c>
      <c r="H87">
        <v>0.309962320227476</v>
      </c>
      <c r="I87" t="s">
        <v>5937</v>
      </c>
    </row>
    <row r="88" spans="1:9" x14ac:dyDescent="0.25">
      <c r="A88" t="s">
        <v>5938</v>
      </c>
      <c r="C88" t="str">
        <f>HYPERLINK("http://amigo.geneontology.org/cgi-bin/amigo/term-details.cgi?term=GO:0044425","GO:0044425")</f>
        <v>GO:0044425</v>
      </c>
      <c r="D88" t="s">
        <v>215</v>
      </c>
      <c r="E88">
        <v>8465</v>
      </c>
      <c r="F88">
        <v>37</v>
      </c>
      <c r="G88">
        <v>5.3480693847505504E-3</v>
      </c>
      <c r="H88">
        <v>0.310188024315532</v>
      </c>
      <c r="I88" t="s">
        <v>5897</v>
      </c>
    </row>
    <row r="89" spans="1:9" x14ac:dyDescent="0.25">
      <c r="A89" t="s">
        <v>1082</v>
      </c>
      <c r="C89" t="str">
        <f>HYPERLINK("http://amigo.geneontology.org/cgi-bin/amigo/term-details.cgi?term=GO:0005975","GO:0005975")</f>
        <v>GO:0005975</v>
      </c>
      <c r="D89" t="s">
        <v>171</v>
      </c>
      <c r="E89">
        <v>2990</v>
      </c>
      <c r="F89">
        <v>17</v>
      </c>
      <c r="G89">
        <v>5.4982278374071701E-3</v>
      </c>
      <c r="H89">
        <v>0.31339898673220901</v>
      </c>
      <c r="I89" t="s">
        <v>5939</v>
      </c>
    </row>
    <row r="90" spans="1:9" x14ac:dyDescent="0.25">
      <c r="A90" t="s">
        <v>5940</v>
      </c>
      <c r="C90" t="str">
        <f>HYPERLINK("http://amigo.geneontology.org/cgi-bin/amigo/term-details.cgi?term=GO:0080019","GO:0080019")</f>
        <v>GO:0080019</v>
      </c>
      <c r="D90" t="s">
        <v>138</v>
      </c>
      <c r="E90">
        <v>40</v>
      </c>
      <c r="F90">
        <v>2</v>
      </c>
      <c r="G90">
        <v>5.8378727403522604E-3</v>
      </c>
      <c r="H90">
        <v>0.332758746200079</v>
      </c>
      <c r="I90" t="s">
        <v>5941</v>
      </c>
    </row>
    <row r="91" spans="1:9" x14ac:dyDescent="0.25">
      <c r="A91" t="s">
        <v>1099</v>
      </c>
      <c r="C91" t="str">
        <f>HYPERLINK("http://amigo.geneontology.org/cgi-bin/amigo/term-details.cgi?term=GO:0005871","GO:0005871")</f>
        <v>GO:0005871</v>
      </c>
      <c r="D91" t="s">
        <v>1275</v>
      </c>
      <c r="E91">
        <v>130</v>
      </c>
      <c r="F91">
        <v>3</v>
      </c>
      <c r="G91">
        <v>6.2099200169124904E-3</v>
      </c>
      <c r="H91">
        <v>0.34775552094709899</v>
      </c>
      <c r="I91" t="s">
        <v>5942</v>
      </c>
    </row>
    <row r="92" spans="1:9" x14ac:dyDescent="0.25">
      <c r="A92" t="s">
        <v>5943</v>
      </c>
      <c r="C92" t="str">
        <f>HYPERLINK("http://amigo.geneontology.org/cgi-bin/amigo/term-details.cgi?term=GO:0010410","GO:0010410")</f>
        <v>GO:0010410</v>
      </c>
      <c r="D92" t="s">
        <v>624</v>
      </c>
      <c r="E92">
        <v>267</v>
      </c>
      <c r="F92">
        <v>4</v>
      </c>
      <c r="G92">
        <v>7.3428306958414399E-3</v>
      </c>
      <c r="H92">
        <v>0.40385568827127899</v>
      </c>
      <c r="I92" t="s">
        <v>5944</v>
      </c>
    </row>
    <row r="93" spans="1:9" x14ac:dyDescent="0.25">
      <c r="A93" t="s">
        <v>1108</v>
      </c>
      <c r="C93" t="str">
        <f>HYPERLINK("http://amigo.geneontology.org/cgi-bin/amigo/term-details.cgi?term=GO:0010383","GO:0010383")</f>
        <v>GO:0010383</v>
      </c>
      <c r="D93" t="s">
        <v>638</v>
      </c>
      <c r="E93">
        <v>272</v>
      </c>
      <c r="F93">
        <v>4</v>
      </c>
      <c r="G93">
        <v>7.8259757582385507E-3</v>
      </c>
      <c r="H93">
        <v>0.43042866670312002</v>
      </c>
      <c r="I93" t="s">
        <v>5944</v>
      </c>
    </row>
    <row r="94" spans="1:9" x14ac:dyDescent="0.25">
      <c r="A94" t="s">
        <v>2706</v>
      </c>
      <c r="C94" t="str">
        <f>HYPERLINK("http://amigo.geneontology.org/cgi-bin/amigo/term-details.cgi?term=GO:0007010","GO:0007010")</f>
        <v>GO:0007010</v>
      </c>
      <c r="D94" t="s">
        <v>5945</v>
      </c>
      <c r="E94">
        <v>430</v>
      </c>
      <c r="F94">
        <v>5</v>
      </c>
      <c r="G94">
        <v>8.0085690680971496E-3</v>
      </c>
      <c r="H94">
        <v>0.43246272967724603</v>
      </c>
      <c r="I94" t="s">
        <v>5946</v>
      </c>
    </row>
    <row r="95" spans="1:9" x14ac:dyDescent="0.25">
      <c r="A95" t="s">
        <v>4573</v>
      </c>
      <c r="C95" t="str">
        <f>HYPERLINK("http://amigo.geneontology.org/cgi-bin/amigo/term-details.cgi?term=GO:0016740","GO:0016740")</f>
        <v>GO:0016740</v>
      </c>
      <c r="D95" t="s">
        <v>855</v>
      </c>
      <c r="E95">
        <v>12925</v>
      </c>
      <c r="F95">
        <v>51</v>
      </c>
      <c r="G95">
        <v>8.0335314869316304E-3</v>
      </c>
      <c r="H95">
        <v>0.42577716880737598</v>
      </c>
      <c r="I95" t="s">
        <v>5947</v>
      </c>
    </row>
    <row r="96" spans="1:9" x14ac:dyDescent="0.25">
      <c r="A96" t="s">
        <v>5948</v>
      </c>
      <c r="C96" t="str">
        <f>HYPERLINK("http://amigo.geneontology.org/cgi-bin/amigo/term-details.cgi?term=GO:0010599","GO:0010599")</f>
        <v>GO:0010599</v>
      </c>
      <c r="D96" t="s">
        <v>899</v>
      </c>
      <c r="E96">
        <v>3</v>
      </c>
      <c r="F96">
        <v>1</v>
      </c>
      <c r="G96">
        <v>8.4996373618222692E-3</v>
      </c>
      <c r="H96">
        <v>0.44198114281475798</v>
      </c>
      <c r="I96" t="s">
        <v>887</v>
      </c>
    </row>
    <row r="97" spans="1:9" x14ac:dyDescent="0.25">
      <c r="A97" t="s">
        <v>1164</v>
      </c>
      <c r="C97" t="str">
        <f>HYPERLINK("http://amigo.geneontology.org/cgi-bin/amigo/term-details.cgi?term=GO:0016461","GO:0016461")</f>
        <v>GO:0016461</v>
      </c>
      <c r="D97" t="s">
        <v>5949</v>
      </c>
      <c r="E97">
        <v>3</v>
      </c>
      <c r="F97">
        <v>1</v>
      </c>
      <c r="G97">
        <v>8.4996373618222692E-3</v>
      </c>
      <c r="H97">
        <v>0.45048078017658</v>
      </c>
      <c r="I97" t="s">
        <v>5950</v>
      </c>
    </row>
    <row r="98" spans="1:9" x14ac:dyDescent="0.25">
      <c r="A98" t="s">
        <v>5951</v>
      </c>
      <c r="C98" t="str">
        <f>HYPERLINK("http://amigo.geneontology.org/cgi-bin/amigo/term-details.cgi?term=GO:0015103","GO:0015103")</f>
        <v>GO:0015103</v>
      </c>
      <c r="D98" t="s">
        <v>1258</v>
      </c>
      <c r="E98">
        <v>149</v>
      </c>
      <c r="F98">
        <v>3</v>
      </c>
      <c r="G98">
        <v>9.0170755527642105E-3</v>
      </c>
      <c r="H98">
        <v>0.45987085319097398</v>
      </c>
      <c r="I98" t="s">
        <v>5952</v>
      </c>
    </row>
    <row r="99" spans="1:9" x14ac:dyDescent="0.25">
      <c r="A99" t="s">
        <v>4576</v>
      </c>
      <c r="C99" t="str">
        <f>HYPERLINK("http://amigo.geneontology.org/cgi-bin/amigo/term-details.cgi?term=GO:0005507","GO:0005507")</f>
        <v>GO:0005507</v>
      </c>
      <c r="D99" t="s">
        <v>767</v>
      </c>
      <c r="E99">
        <v>451</v>
      </c>
      <c r="F99">
        <v>5</v>
      </c>
      <c r="G99">
        <v>9.7056028737174099E-3</v>
      </c>
      <c r="H99">
        <v>0.49498574655958799</v>
      </c>
      <c r="I99" t="s">
        <v>4371</v>
      </c>
    </row>
    <row r="100" spans="1:9" x14ac:dyDescent="0.25">
      <c r="A100" t="s">
        <v>2764</v>
      </c>
      <c r="C100" t="str">
        <f>HYPERLINK("http://amigo.geneontology.org/cgi-bin/amigo/term-details.cgi?term=GO:0016799","GO:0016799")</f>
        <v>GO:0016799</v>
      </c>
      <c r="D100" t="s">
        <v>5953</v>
      </c>
      <c r="E100">
        <v>159</v>
      </c>
      <c r="F100">
        <v>3</v>
      </c>
      <c r="G100">
        <v>1.07473922202861E-2</v>
      </c>
      <c r="H100">
        <v>0.53736961101430902</v>
      </c>
      <c r="I100" t="s">
        <v>4293</v>
      </c>
    </row>
    <row r="101" spans="1:9" x14ac:dyDescent="0.25">
      <c r="A101" t="s">
        <v>5954</v>
      </c>
      <c r="C101" t="str">
        <f>HYPERLINK("http://amigo.geneontology.org/cgi-bin/amigo/term-details.cgi?term=GO:0005985","GO:0005985")</f>
        <v>GO:0005985</v>
      </c>
      <c r="D101" t="s">
        <v>481</v>
      </c>
      <c r="E101">
        <v>55</v>
      </c>
      <c r="F101">
        <v>2</v>
      </c>
      <c r="G101">
        <v>1.0808698912851701E-2</v>
      </c>
      <c r="H101">
        <v>0.54043494564258598</v>
      </c>
      <c r="I101" t="s">
        <v>5936</v>
      </c>
    </row>
    <row r="102" spans="1:9" x14ac:dyDescent="0.25">
      <c r="A102" t="s">
        <v>4579</v>
      </c>
      <c r="C102" t="str">
        <f>HYPERLINK("http://amigo.geneontology.org/cgi-bin/amigo/term-details.cgi?term=GO:0060145","GO:0060145")</f>
        <v>GO:0060145</v>
      </c>
      <c r="D102" t="s">
        <v>1047</v>
      </c>
      <c r="E102">
        <v>4</v>
      </c>
      <c r="F102">
        <v>1</v>
      </c>
      <c r="G102">
        <v>1.1316838297982201E-2</v>
      </c>
      <c r="H102">
        <v>0.55452507660113004</v>
      </c>
      <c r="I102" t="s">
        <v>887</v>
      </c>
    </row>
    <row r="103" spans="1:9" x14ac:dyDescent="0.25">
      <c r="A103" t="s">
        <v>4580</v>
      </c>
      <c r="C103" t="str">
        <f>HYPERLINK("http://amigo.geneontology.org/cgi-bin/amigo/term-details.cgi?term=GO:0004553","GO:0004553")</f>
        <v>GO:0004553</v>
      </c>
      <c r="D103" t="s">
        <v>174</v>
      </c>
      <c r="E103">
        <v>1509</v>
      </c>
      <c r="F103">
        <v>10</v>
      </c>
      <c r="G103">
        <v>1.1704765035722001E-2</v>
      </c>
      <c r="H103">
        <v>0.57353348675037796</v>
      </c>
      <c r="I103" t="s">
        <v>5955</v>
      </c>
    </row>
    <row r="104" spans="1:9" x14ac:dyDescent="0.25">
      <c r="A104" t="s">
        <v>2771</v>
      </c>
      <c r="C104" t="str">
        <f>HYPERLINK("http://amigo.geneontology.org/cgi-bin/amigo/term-details.cgi?term=GO:0015926","GO:0015926")</f>
        <v>GO:0015926</v>
      </c>
      <c r="D104" t="s">
        <v>401</v>
      </c>
      <c r="E104">
        <v>59</v>
      </c>
      <c r="F104">
        <v>2</v>
      </c>
      <c r="G104">
        <v>1.2361579495551001E-2</v>
      </c>
      <c r="H104">
        <v>0.59335581578644903</v>
      </c>
      <c r="I104" t="s">
        <v>5932</v>
      </c>
    </row>
    <row r="105" spans="1:9" x14ac:dyDescent="0.25">
      <c r="A105" t="s">
        <v>1210</v>
      </c>
      <c r="C105" t="str">
        <f>HYPERLINK("http://amigo.geneontology.org/cgi-bin/amigo/term-details.cgi?term=GO:0006810","GO:0006810")</f>
        <v>GO:0006810</v>
      </c>
      <c r="D105" t="s">
        <v>318</v>
      </c>
      <c r="E105">
        <v>6357</v>
      </c>
      <c r="F105">
        <v>28</v>
      </c>
      <c r="G105">
        <v>1.3846741798220701E-2</v>
      </c>
      <c r="H105">
        <v>0.66464360631459396</v>
      </c>
      <c r="I105" t="s">
        <v>5956</v>
      </c>
    </row>
    <row r="106" spans="1:9" x14ac:dyDescent="0.25">
      <c r="A106" t="s">
        <v>4581</v>
      </c>
      <c r="C106" t="str">
        <f>HYPERLINK("http://amigo.geneontology.org/cgi-bin/amigo/term-details.cgi?term=GO:0005267","GO:0005267")</f>
        <v>GO:0005267</v>
      </c>
      <c r="D106" t="s">
        <v>310</v>
      </c>
      <c r="E106">
        <v>65</v>
      </c>
      <c r="F106">
        <v>2</v>
      </c>
      <c r="G106">
        <v>1.48613558568751E-2</v>
      </c>
      <c r="H106">
        <v>0.69848372527313196</v>
      </c>
      <c r="I106" t="s">
        <v>5957</v>
      </c>
    </row>
    <row r="107" spans="1:9" x14ac:dyDescent="0.25">
      <c r="A107" t="s">
        <v>4583</v>
      </c>
      <c r="C107" t="str">
        <f>HYPERLINK("http://amigo.geneontology.org/cgi-bin/amigo/term-details.cgi?term=GO:0015293","GO:0015293")</f>
        <v>GO:0015293</v>
      </c>
      <c r="D107" t="s">
        <v>5958</v>
      </c>
      <c r="E107">
        <v>67</v>
      </c>
      <c r="F107">
        <v>2</v>
      </c>
      <c r="G107">
        <v>1.5738949160059201E-2</v>
      </c>
      <c r="H107">
        <v>0.73973061052278599</v>
      </c>
      <c r="I107" t="s">
        <v>5959</v>
      </c>
    </row>
    <row r="108" spans="1:9" x14ac:dyDescent="0.25">
      <c r="A108" t="s">
        <v>5960</v>
      </c>
      <c r="C108" t="str">
        <f>HYPERLINK("http://amigo.geneontology.org/cgi-bin/amigo/term-details.cgi?term=GO:0005261","GO:0005261")</f>
        <v>GO:0005261</v>
      </c>
      <c r="D108" t="s">
        <v>321</v>
      </c>
      <c r="E108">
        <v>68</v>
      </c>
      <c r="F108">
        <v>2</v>
      </c>
      <c r="G108">
        <v>1.61859032070516E-2</v>
      </c>
      <c r="H108">
        <v>0.74455154752437602</v>
      </c>
      <c r="I108" t="s">
        <v>5957</v>
      </c>
    </row>
    <row r="109" spans="1:9" x14ac:dyDescent="0.25">
      <c r="A109" t="s">
        <v>1221</v>
      </c>
      <c r="C109" t="str">
        <f>HYPERLINK("http://amigo.geneontology.org/cgi-bin/amigo/term-details.cgi?term=GO:0005875","GO:0005875")</f>
        <v>GO:0005875</v>
      </c>
      <c r="D109" t="s">
        <v>1470</v>
      </c>
      <c r="E109">
        <v>188</v>
      </c>
      <c r="F109">
        <v>3</v>
      </c>
      <c r="G109">
        <v>1.6787137984652999E-2</v>
      </c>
      <c r="H109">
        <v>0.77220834729403798</v>
      </c>
      <c r="I109" t="s">
        <v>5942</v>
      </c>
    </row>
    <row r="110" spans="1:9" x14ac:dyDescent="0.25">
      <c r="A110" t="s">
        <v>5961</v>
      </c>
      <c r="C110" t="str">
        <f>HYPERLINK("http://amigo.geneontology.org/cgi-bin/amigo/term-details.cgi?term=GO:0051301","GO:0051301")</f>
        <v>GO:0051301</v>
      </c>
      <c r="D110" t="s">
        <v>5962</v>
      </c>
      <c r="E110">
        <v>342</v>
      </c>
      <c r="F110">
        <v>4</v>
      </c>
      <c r="G110">
        <v>1.68764004739318E-2</v>
      </c>
      <c r="H110">
        <v>0.75943802132693194</v>
      </c>
      <c r="I110" t="s">
        <v>5913</v>
      </c>
    </row>
    <row r="111" spans="1:9" x14ac:dyDescent="0.25">
      <c r="A111" t="s">
        <v>4592</v>
      </c>
      <c r="C111" t="str">
        <f>HYPERLINK("http://amigo.geneontology.org/cgi-bin/amigo/term-details.cgi?term=GO:0010236","GO:0010236")</f>
        <v>GO:0010236</v>
      </c>
      <c r="D111" t="s">
        <v>5963</v>
      </c>
      <c r="E111">
        <v>6</v>
      </c>
      <c r="F111">
        <v>1</v>
      </c>
      <c r="G111">
        <v>1.6927357975528998E-2</v>
      </c>
      <c r="H111">
        <v>0.74480375092327999</v>
      </c>
      <c r="I111" t="s">
        <v>1588</v>
      </c>
    </row>
    <row r="112" spans="1:9" x14ac:dyDescent="0.25">
      <c r="A112" t="s">
        <v>4595</v>
      </c>
      <c r="C112" t="str">
        <f>HYPERLINK("http://amigo.geneontology.org/cgi-bin/amigo/term-details.cgi?term=GO:0051741","GO:0051741")</f>
        <v>GO:0051741</v>
      </c>
      <c r="D112" t="s">
        <v>5964</v>
      </c>
      <c r="E112">
        <v>6</v>
      </c>
      <c r="F112">
        <v>1</v>
      </c>
      <c r="G112">
        <v>1.6927357975528998E-2</v>
      </c>
      <c r="H112">
        <v>0.76173110889880902</v>
      </c>
      <c r="I112" t="s">
        <v>1588</v>
      </c>
    </row>
    <row r="113" spans="1:9" x14ac:dyDescent="0.25">
      <c r="A113" t="s">
        <v>4598</v>
      </c>
      <c r="C113" t="str">
        <f>HYPERLINK("http://amigo.geneontology.org/cgi-bin/amigo/term-details.cgi?term=GO:0010413","GO:0010413")</f>
        <v>GO:0010413</v>
      </c>
      <c r="D113" t="s">
        <v>5965</v>
      </c>
      <c r="E113">
        <v>70</v>
      </c>
      <c r="F113">
        <v>2</v>
      </c>
      <c r="G113">
        <v>1.7095955566111699E-2</v>
      </c>
      <c r="H113">
        <v>0.75222204490891398</v>
      </c>
      <c r="I113" t="s">
        <v>5966</v>
      </c>
    </row>
    <row r="114" spans="1:9" x14ac:dyDescent="0.25">
      <c r="A114" t="s">
        <v>5967</v>
      </c>
      <c r="C114" t="str">
        <f>HYPERLINK("http://amigo.geneontology.org/cgi-bin/amigo/term-details.cgi?term=GO:0051234","GO:0051234")</f>
        <v>GO:0051234</v>
      </c>
      <c r="D114" t="s">
        <v>344</v>
      </c>
      <c r="E114">
        <v>6485</v>
      </c>
      <c r="F114">
        <v>28</v>
      </c>
      <c r="G114">
        <v>1.7594993765314999E-2</v>
      </c>
      <c r="H114">
        <v>0.75658473190854603</v>
      </c>
      <c r="I114" t="s">
        <v>5956</v>
      </c>
    </row>
    <row r="115" spans="1:9" x14ac:dyDescent="0.25">
      <c r="A115" t="s">
        <v>5968</v>
      </c>
      <c r="C115" t="str">
        <f>HYPERLINK("http://amigo.geneontology.org/cgi-bin/amigo/term-details.cgi?term=GO:0015291","GO:0015291")</f>
        <v>GO:0015291</v>
      </c>
      <c r="D115" t="s">
        <v>439</v>
      </c>
      <c r="E115">
        <v>527</v>
      </c>
      <c r="F115">
        <v>5</v>
      </c>
      <c r="G115">
        <v>1.78855280419573E-2</v>
      </c>
      <c r="H115">
        <v>0.76907770580416701</v>
      </c>
      <c r="I115" t="s">
        <v>5969</v>
      </c>
    </row>
    <row r="116" spans="1:9" x14ac:dyDescent="0.25">
      <c r="A116" t="s">
        <v>5970</v>
      </c>
      <c r="C116" t="str">
        <f>HYPERLINK("http://amigo.geneontology.org/cgi-bin/amigo/term-details.cgi?term=GO:0004617","GO:0004617")</f>
        <v>GO:0004617</v>
      </c>
      <c r="D116" t="s">
        <v>5971</v>
      </c>
      <c r="E116">
        <v>8</v>
      </c>
      <c r="F116">
        <v>1</v>
      </c>
      <c r="G116">
        <v>2.2506183974135299E-2</v>
      </c>
      <c r="H116">
        <v>0.94525972691368598</v>
      </c>
      <c r="I116" t="s">
        <v>5860</v>
      </c>
    </row>
    <row r="117" spans="1:9" x14ac:dyDescent="0.25">
      <c r="A117" t="s">
        <v>5972</v>
      </c>
      <c r="C117" t="str">
        <f>HYPERLINK("http://amigo.geneontology.org/cgi-bin/amigo/term-details.cgi?term=GO:0000234","GO:0000234")</f>
        <v>GO:0000234</v>
      </c>
      <c r="D117" t="s">
        <v>499</v>
      </c>
      <c r="E117">
        <v>8</v>
      </c>
      <c r="F117">
        <v>1</v>
      </c>
      <c r="G117">
        <v>2.2506183974135299E-2</v>
      </c>
      <c r="H117">
        <v>0.94525972691368598</v>
      </c>
      <c r="I117" t="s">
        <v>245</v>
      </c>
    </row>
    <row r="118" spans="1:9" x14ac:dyDescent="0.25">
      <c r="A118" t="s">
        <v>5973</v>
      </c>
      <c r="C118" t="str">
        <f>HYPERLINK("http://amigo.geneontology.org/cgi-bin/amigo/term-details.cgi?term=GO:0006656","GO:0006656")</f>
        <v>GO:0006656</v>
      </c>
      <c r="D118" t="s">
        <v>502</v>
      </c>
      <c r="E118">
        <v>8</v>
      </c>
      <c r="F118">
        <v>1</v>
      </c>
      <c r="G118">
        <v>2.2506183974135299E-2</v>
      </c>
      <c r="H118">
        <v>0.96776591088782105</v>
      </c>
      <c r="I118" t="s">
        <v>245</v>
      </c>
    </row>
    <row r="119" spans="1:9" x14ac:dyDescent="0.25">
      <c r="A119" t="s">
        <v>4613</v>
      </c>
      <c r="C119" t="str">
        <f>HYPERLINK("http://amigo.geneontology.org/cgi-bin/amigo/term-details.cgi?term=GO:0071555","GO:0071555")</f>
        <v>GO:0071555</v>
      </c>
      <c r="D119" t="s">
        <v>194</v>
      </c>
      <c r="E119">
        <v>577</v>
      </c>
      <c r="F119">
        <v>5</v>
      </c>
      <c r="G119">
        <v>2.5208114294593399E-2</v>
      </c>
      <c r="H119">
        <v>1</v>
      </c>
      <c r="I119" t="s">
        <v>5974</v>
      </c>
    </row>
    <row r="120" spans="1:9" x14ac:dyDescent="0.25">
      <c r="A120" t="s">
        <v>1324</v>
      </c>
      <c r="C120" t="str">
        <f>HYPERLINK("http://amigo.geneontology.org/cgi-bin/amigo/term-details.cgi?term=GO:0018298","GO:0018298")</f>
        <v>GO:0018298</v>
      </c>
      <c r="D120" t="s">
        <v>1300</v>
      </c>
      <c r="E120">
        <v>90</v>
      </c>
      <c r="F120">
        <v>2</v>
      </c>
      <c r="G120">
        <v>2.7324409119616401E-2</v>
      </c>
      <c r="H120">
        <v>1</v>
      </c>
      <c r="I120" t="s">
        <v>5975</v>
      </c>
    </row>
    <row r="121" spans="1:9" x14ac:dyDescent="0.25">
      <c r="A121" t="s">
        <v>4617</v>
      </c>
      <c r="C121" t="str">
        <f>HYPERLINK("http://amigo.geneontology.org/cgi-bin/amigo/term-details.cgi?term=GO:0016168","GO:0016168")</f>
        <v>GO:0016168</v>
      </c>
      <c r="D121" t="s">
        <v>5976</v>
      </c>
      <c r="E121">
        <v>91</v>
      </c>
      <c r="F121">
        <v>2</v>
      </c>
      <c r="G121">
        <v>2.7887062146666902E-2</v>
      </c>
      <c r="H121">
        <v>1</v>
      </c>
      <c r="I121" t="s">
        <v>5975</v>
      </c>
    </row>
    <row r="122" spans="1:9" x14ac:dyDescent="0.25">
      <c r="A122" t="s">
        <v>5977</v>
      </c>
      <c r="C122" t="str">
        <f>HYPERLINK("http://amigo.geneontology.org/cgi-bin/amigo/term-details.cgi?term=GO:0046873","GO:0046873")</f>
        <v>GO:0046873</v>
      </c>
      <c r="D122" t="s">
        <v>273</v>
      </c>
      <c r="E122">
        <v>411</v>
      </c>
      <c r="F122">
        <v>4</v>
      </c>
      <c r="G122">
        <v>3.0421159562718899E-2</v>
      </c>
      <c r="H122">
        <v>1</v>
      </c>
      <c r="I122" t="s">
        <v>5895</v>
      </c>
    </row>
    <row r="123" spans="1:9" x14ac:dyDescent="0.25">
      <c r="A123" t="s">
        <v>2875</v>
      </c>
      <c r="C123" t="str">
        <f>HYPERLINK("http://amigo.geneontology.org/cgi-bin/amigo/term-details.cgi?term=GO:0045229","GO:0045229")</f>
        <v>GO:0045229</v>
      </c>
      <c r="D123" t="s">
        <v>197</v>
      </c>
      <c r="E123">
        <v>609</v>
      </c>
      <c r="F123">
        <v>5</v>
      </c>
      <c r="G123">
        <v>3.07753797627381E-2</v>
      </c>
      <c r="H123">
        <v>1</v>
      </c>
      <c r="I123" t="s">
        <v>5974</v>
      </c>
    </row>
    <row r="124" spans="1:9" x14ac:dyDescent="0.25">
      <c r="A124" t="s">
        <v>4618</v>
      </c>
      <c r="C124" t="str">
        <f>HYPERLINK("http://amigo.geneontology.org/cgi-bin/amigo/term-details.cgi?term=GO:0008168","GO:0008168")</f>
        <v>GO:0008168</v>
      </c>
      <c r="D124" t="s">
        <v>4398</v>
      </c>
      <c r="E124">
        <v>1051</v>
      </c>
      <c r="F124">
        <v>7</v>
      </c>
      <c r="G124">
        <v>3.1581514970777602E-2</v>
      </c>
      <c r="H124">
        <v>1</v>
      </c>
      <c r="I124" t="s">
        <v>5978</v>
      </c>
    </row>
    <row r="125" spans="1:9" x14ac:dyDescent="0.25">
      <c r="A125" t="s">
        <v>1342</v>
      </c>
      <c r="C125" t="str">
        <f>HYPERLINK("http://amigo.geneontology.org/cgi-bin/amigo/term-details.cgi?term=GO:0009765","GO:0009765")</f>
        <v>GO:0009765</v>
      </c>
      <c r="D125" t="s">
        <v>5979</v>
      </c>
      <c r="E125">
        <v>100</v>
      </c>
      <c r="F125">
        <v>2</v>
      </c>
      <c r="G125">
        <v>3.3156452256152401E-2</v>
      </c>
      <c r="H125">
        <v>1</v>
      </c>
      <c r="I125" t="s">
        <v>5975</v>
      </c>
    </row>
    <row r="126" spans="1:9" x14ac:dyDescent="0.25">
      <c r="A126" t="s">
        <v>4619</v>
      </c>
      <c r="C126" t="str">
        <f>HYPERLINK("http://amigo.geneontology.org/cgi-bin/amigo/term-details.cgi?term=GO:0040034","GO:0040034")</f>
        <v>GO:0040034</v>
      </c>
      <c r="D126" t="s">
        <v>4373</v>
      </c>
      <c r="E126">
        <v>12</v>
      </c>
      <c r="F126">
        <v>1</v>
      </c>
      <c r="G126">
        <v>3.3569466810824698E-2</v>
      </c>
      <c r="H126">
        <v>1</v>
      </c>
      <c r="I126" t="s">
        <v>887</v>
      </c>
    </row>
    <row r="127" spans="1:9" x14ac:dyDescent="0.25">
      <c r="A127" t="s">
        <v>4624</v>
      </c>
      <c r="C127" t="str">
        <f>HYPERLINK("http://amigo.geneontology.org/cgi-bin/amigo/term-details.cgi?term=GO:0051645","GO:0051645")</f>
        <v>GO:0051645</v>
      </c>
      <c r="D127" t="s">
        <v>5980</v>
      </c>
      <c r="E127">
        <v>12</v>
      </c>
      <c r="F127">
        <v>1</v>
      </c>
      <c r="G127">
        <v>3.3569466810824698E-2</v>
      </c>
      <c r="H127">
        <v>1</v>
      </c>
      <c r="I127" t="s">
        <v>5950</v>
      </c>
    </row>
    <row r="128" spans="1:9" x14ac:dyDescent="0.25">
      <c r="A128" t="s">
        <v>5981</v>
      </c>
      <c r="C128" t="str">
        <f>HYPERLINK("http://amigo.geneontology.org/cgi-bin/amigo/term-details.cgi?term=GO:0060151","GO:0060151")</f>
        <v>GO:0060151</v>
      </c>
      <c r="D128" t="s">
        <v>5982</v>
      </c>
      <c r="E128">
        <v>12</v>
      </c>
      <c r="F128">
        <v>1</v>
      </c>
      <c r="G128">
        <v>3.3569466810824698E-2</v>
      </c>
      <c r="H128">
        <v>1</v>
      </c>
      <c r="I128" t="s">
        <v>5950</v>
      </c>
    </row>
    <row r="129" spans="1:9" x14ac:dyDescent="0.25">
      <c r="A129" t="s">
        <v>4626</v>
      </c>
      <c r="C129" t="str">
        <f>HYPERLINK("http://amigo.geneontology.org/cgi-bin/amigo/term-details.cgi?term=GO:0016706","GO:0016706")</f>
        <v>GO:0016706</v>
      </c>
      <c r="D129" t="s">
        <v>5638</v>
      </c>
      <c r="E129">
        <v>251</v>
      </c>
      <c r="F129">
        <v>3</v>
      </c>
      <c r="G129">
        <v>3.5271757105247402E-2</v>
      </c>
      <c r="H129">
        <v>1</v>
      </c>
      <c r="I129" t="s">
        <v>5983</v>
      </c>
    </row>
    <row r="130" spans="1:9" x14ac:dyDescent="0.25">
      <c r="A130" t="s">
        <v>4631</v>
      </c>
      <c r="C130" t="str">
        <f>HYPERLINK("http://amigo.geneontology.org/cgi-bin/amigo/term-details.cgi?term=GO:0046914","GO:0046914")</f>
        <v>GO:0046914</v>
      </c>
      <c r="D130" t="s">
        <v>5615</v>
      </c>
      <c r="E130">
        <v>7516</v>
      </c>
      <c r="F130">
        <v>30</v>
      </c>
      <c r="G130">
        <v>3.62647586437723E-2</v>
      </c>
      <c r="H130">
        <v>1</v>
      </c>
      <c r="I130" t="s">
        <v>5984</v>
      </c>
    </row>
    <row r="131" spans="1:9" x14ac:dyDescent="0.25">
      <c r="A131" t="s">
        <v>4632</v>
      </c>
      <c r="C131" t="str">
        <f>HYPERLINK("http://amigo.geneontology.org/cgi-bin/amigo/term-details.cgi?term=GO:0009624","GO:0009624")</f>
        <v>GO:0009624</v>
      </c>
      <c r="D131" t="s">
        <v>5985</v>
      </c>
      <c r="E131">
        <v>13</v>
      </c>
      <c r="F131">
        <v>1</v>
      </c>
      <c r="G131">
        <v>3.6315756230710303E-2</v>
      </c>
      <c r="H131">
        <v>1</v>
      </c>
      <c r="I131" t="s">
        <v>5950</v>
      </c>
    </row>
    <row r="132" spans="1:9" x14ac:dyDescent="0.25">
      <c r="A132" t="s">
        <v>4636</v>
      </c>
      <c r="C132" t="str">
        <f>HYPERLINK("http://amigo.geneontology.org/cgi-bin/amigo/term-details.cgi?term=GO:0016741","GO:0016741")</f>
        <v>GO:0016741</v>
      </c>
      <c r="D132" t="s">
        <v>4447</v>
      </c>
      <c r="E132">
        <v>1089</v>
      </c>
      <c r="F132">
        <v>7</v>
      </c>
      <c r="G132">
        <v>3.7115563236449697E-2</v>
      </c>
      <c r="H132">
        <v>1</v>
      </c>
      <c r="I132" t="s">
        <v>5978</v>
      </c>
    </row>
    <row r="133" spans="1:9" x14ac:dyDescent="0.25">
      <c r="A133" t="s">
        <v>4637</v>
      </c>
      <c r="C133" t="str">
        <f>HYPERLINK("http://amigo.geneontology.org/cgi-bin/amigo/term-details.cgi?term=GO:0006633","GO:0006633")</f>
        <v>GO:0006633</v>
      </c>
      <c r="D133" t="s">
        <v>287</v>
      </c>
      <c r="E133">
        <v>444</v>
      </c>
      <c r="F133">
        <v>4</v>
      </c>
      <c r="G133">
        <v>3.8642142391173001E-2</v>
      </c>
      <c r="H133">
        <v>1</v>
      </c>
      <c r="I133" t="s">
        <v>5986</v>
      </c>
    </row>
    <row r="134" spans="1:9" x14ac:dyDescent="0.25">
      <c r="A134" t="s">
        <v>1394</v>
      </c>
      <c r="C134" t="str">
        <f>HYPERLINK("http://amigo.geneontology.org/cgi-bin/amigo/term-details.cgi?term=GO:0008198","GO:0008198")</f>
        <v>GO:0008198</v>
      </c>
      <c r="D134" t="s">
        <v>4402</v>
      </c>
      <c r="E134">
        <v>14</v>
      </c>
      <c r="F134">
        <v>1</v>
      </c>
      <c r="G134">
        <v>3.9054277105581098E-2</v>
      </c>
      <c r="H134">
        <v>1</v>
      </c>
      <c r="I134" t="s">
        <v>4910</v>
      </c>
    </row>
    <row r="135" spans="1:9" x14ac:dyDescent="0.25">
      <c r="A135" t="s">
        <v>1396</v>
      </c>
      <c r="C135" t="str">
        <f>HYPERLINK("http://amigo.geneontology.org/cgi-bin/amigo/term-details.cgi?term=GO:0055085","GO:0055085")</f>
        <v>GO:0055085</v>
      </c>
      <c r="D135" t="s">
        <v>240</v>
      </c>
      <c r="E135">
        <v>2653</v>
      </c>
      <c r="F135">
        <v>13</v>
      </c>
      <c r="G135">
        <v>4.0943408633817499E-2</v>
      </c>
      <c r="H135">
        <v>1</v>
      </c>
      <c r="I135" t="s">
        <v>5987</v>
      </c>
    </row>
    <row r="136" spans="1:9" x14ac:dyDescent="0.25">
      <c r="A136" t="s">
        <v>4641</v>
      </c>
      <c r="C136" t="str">
        <f>HYPERLINK("http://amigo.geneontology.org/cgi-bin/amigo/term-details.cgi?term=GO:0006650","GO:0006650")</f>
        <v>GO:0006650</v>
      </c>
      <c r="D136" t="s">
        <v>293</v>
      </c>
      <c r="E136">
        <v>457</v>
      </c>
      <c r="F136">
        <v>4</v>
      </c>
      <c r="G136">
        <v>4.2196622042630499E-2</v>
      </c>
      <c r="H136">
        <v>1</v>
      </c>
      <c r="I136" t="s">
        <v>5988</v>
      </c>
    </row>
    <row r="137" spans="1:9" x14ac:dyDescent="0.25">
      <c r="A137" t="s">
        <v>1406</v>
      </c>
      <c r="C137" t="str">
        <f>HYPERLINK("http://amigo.geneontology.org/cgi-bin/amigo/term-details.cgi?term=GO:0016787","GO:0016787")</f>
        <v>GO:0016787</v>
      </c>
      <c r="D137" t="s">
        <v>98</v>
      </c>
      <c r="E137">
        <v>9814</v>
      </c>
      <c r="F137">
        <v>37</v>
      </c>
      <c r="G137">
        <v>4.4100697540597297E-2</v>
      </c>
      <c r="H137">
        <v>1</v>
      </c>
      <c r="I137" t="s">
        <v>5989</v>
      </c>
    </row>
    <row r="138" spans="1:9" x14ac:dyDescent="0.25">
      <c r="A138" t="s">
        <v>5990</v>
      </c>
      <c r="C138" t="str">
        <f>HYPERLINK("http://amigo.geneontology.org/cgi-bin/amigo/term-details.cgi?term=GO:0006775","GO:0006775")</f>
        <v>GO:0006775</v>
      </c>
      <c r="D138" t="s">
        <v>5991</v>
      </c>
      <c r="E138">
        <v>16</v>
      </c>
      <c r="F138">
        <v>1</v>
      </c>
      <c r="G138">
        <v>4.45081006368847E-2</v>
      </c>
      <c r="H138">
        <v>1</v>
      </c>
      <c r="I138" t="s">
        <v>1588</v>
      </c>
    </row>
    <row r="139" spans="1:9" x14ac:dyDescent="0.25">
      <c r="A139" t="s">
        <v>5992</v>
      </c>
      <c r="C139" t="str">
        <f>HYPERLINK("http://amigo.geneontology.org/cgi-bin/amigo/term-details.cgi?term=GO:0042360","GO:0042360")</f>
        <v>GO:0042360</v>
      </c>
      <c r="D139" t="s">
        <v>5993</v>
      </c>
      <c r="E139">
        <v>16</v>
      </c>
      <c r="F139">
        <v>1</v>
      </c>
      <c r="G139">
        <v>4.45081006368847E-2</v>
      </c>
      <c r="H139">
        <v>1</v>
      </c>
      <c r="I139" t="s">
        <v>1588</v>
      </c>
    </row>
    <row r="140" spans="1:9" x14ac:dyDescent="0.25">
      <c r="A140" t="s">
        <v>5994</v>
      </c>
      <c r="C140" t="str">
        <f>HYPERLINK("http://amigo.geneontology.org/cgi-bin/amigo/term-details.cgi?term=GO:0042362","GO:0042362")</f>
        <v>GO:0042362</v>
      </c>
      <c r="D140" t="s">
        <v>5995</v>
      </c>
      <c r="E140">
        <v>16</v>
      </c>
      <c r="F140">
        <v>1</v>
      </c>
      <c r="G140">
        <v>4.45081006368847E-2</v>
      </c>
      <c r="H140">
        <v>1</v>
      </c>
      <c r="I140" t="s">
        <v>1588</v>
      </c>
    </row>
    <row r="141" spans="1:9" x14ac:dyDescent="0.25">
      <c r="A141" t="s">
        <v>4647</v>
      </c>
      <c r="C141" t="str">
        <f>HYPERLINK("http://amigo.geneontology.org/cgi-bin/amigo/term-details.cgi?term=GO:0010189","GO:0010189")</f>
        <v>GO:0010189</v>
      </c>
      <c r="D141" t="s">
        <v>5996</v>
      </c>
      <c r="E141">
        <v>16</v>
      </c>
      <c r="F141">
        <v>1</v>
      </c>
      <c r="G141">
        <v>4.45081006368847E-2</v>
      </c>
      <c r="H141">
        <v>1</v>
      </c>
      <c r="I141" t="s">
        <v>1588</v>
      </c>
    </row>
    <row r="142" spans="1:9" x14ac:dyDescent="0.25">
      <c r="A142" t="s">
        <v>5997</v>
      </c>
      <c r="C142" t="str">
        <f>HYPERLINK("http://amigo.geneontology.org/cgi-bin/amigo/term-details.cgi?term=GO:0051646","GO:0051646")</f>
        <v>GO:0051646</v>
      </c>
      <c r="D142" t="s">
        <v>5998</v>
      </c>
      <c r="E142">
        <v>16</v>
      </c>
      <c r="F142">
        <v>1</v>
      </c>
      <c r="G142">
        <v>4.45081006368847E-2</v>
      </c>
      <c r="H142">
        <v>1</v>
      </c>
      <c r="I142" t="s">
        <v>5950</v>
      </c>
    </row>
    <row r="143" spans="1:9" x14ac:dyDescent="0.25">
      <c r="A143" t="s">
        <v>4652</v>
      </c>
      <c r="C143" t="str">
        <f>HYPERLINK("http://amigo.geneontology.org/cgi-bin/amigo/term-details.cgi?term=GO:0005216","GO:0005216")</f>
        <v>GO:0005216</v>
      </c>
      <c r="D143" t="s">
        <v>424</v>
      </c>
      <c r="E143">
        <v>276</v>
      </c>
      <c r="F143">
        <v>3</v>
      </c>
      <c r="G143">
        <v>4.4626381278009497E-2</v>
      </c>
      <c r="H143">
        <v>1</v>
      </c>
      <c r="I143" t="s">
        <v>5999</v>
      </c>
    </row>
    <row r="144" spans="1:9" x14ac:dyDescent="0.25">
      <c r="A144" t="s">
        <v>2968</v>
      </c>
      <c r="C144" t="str">
        <f>HYPERLINK("http://amigo.geneontology.org/cgi-bin/amigo/term-details.cgi?term=GO:0022402","GO:0022402")</f>
        <v>GO:0022402</v>
      </c>
      <c r="D144" t="s">
        <v>6000</v>
      </c>
      <c r="E144">
        <v>467</v>
      </c>
      <c r="F144">
        <v>4</v>
      </c>
      <c r="G144">
        <v>4.5052554260638797E-2</v>
      </c>
      <c r="H144">
        <v>1</v>
      </c>
      <c r="I144" t="s">
        <v>5913</v>
      </c>
    </row>
    <row r="145" spans="1:9" x14ac:dyDescent="0.25">
      <c r="A145" t="s">
        <v>4655</v>
      </c>
      <c r="C145" t="str">
        <f>HYPERLINK("http://amigo.geneontology.org/cgi-bin/amigo/term-details.cgi?term=GO:0009522","GO:0009522")</f>
        <v>GO:0009522</v>
      </c>
      <c r="D145" t="s">
        <v>6001</v>
      </c>
      <c r="E145">
        <v>120</v>
      </c>
      <c r="F145">
        <v>2</v>
      </c>
      <c r="G145">
        <v>4.6104978268265401E-2</v>
      </c>
      <c r="H145">
        <v>1</v>
      </c>
      <c r="I145" t="s">
        <v>5975</v>
      </c>
    </row>
    <row r="146" spans="1:9" x14ac:dyDescent="0.25">
      <c r="A146" t="s">
        <v>1469</v>
      </c>
      <c r="C146" t="str">
        <f>HYPERLINK("http://amigo.geneontology.org/cgi-bin/amigo/term-details.cgi?term=GO:0090224","GO:0090224")</f>
        <v>GO:0090224</v>
      </c>
      <c r="D146" t="s">
        <v>6002</v>
      </c>
      <c r="E146">
        <v>17</v>
      </c>
      <c r="F146">
        <v>1</v>
      </c>
      <c r="G146">
        <v>4.7223446858122103E-2</v>
      </c>
      <c r="H146">
        <v>1</v>
      </c>
      <c r="I146" t="s">
        <v>4755</v>
      </c>
    </row>
    <row r="147" spans="1:9" x14ac:dyDescent="0.25">
      <c r="A147" t="s">
        <v>6003</v>
      </c>
      <c r="C147" t="str">
        <f>HYPERLINK("http://amigo.geneontology.org/cgi-bin/amigo/term-details.cgi?term=GO:0060236","GO:0060236")</f>
        <v>GO:0060236</v>
      </c>
      <c r="D147" t="s">
        <v>6004</v>
      </c>
      <c r="E147">
        <v>17</v>
      </c>
      <c r="F147">
        <v>1</v>
      </c>
      <c r="G147">
        <v>4.7223446858122103E-2</v>
      </c>
      <c r="H147">
        <v>1</v>
      </c>
      <c r="I147" t="s">
        <v>4755</v>
      </c>
    </row>
    <row r="148" spans="1:9" x14ac:dyDescent="0.25">
      <c r="A148" t="s">
        <v>4661</v>
      </c>
      <c r="C148" t="str">
        <f>HYPERLINK("http://amigo.geneontology.org/cgi-bin/amigo/term-details.cgi?term=GO:0030048","GO:0030048")</f>
        <v>GO:0030048</v>
      </c>
      <c r="D148" t="s">
        <v>6005</v>
      </c>
      <c r="E148">
        <v>17</v>
      </c>
      <c r="F148">
        <v>1</v>
      </c>
      <c r="G148">
        <v>4.7223446858122103E-2</v>
      </c>
      <c r="H148">
        <v>1</v>
      </c>
      <c r="I148" t="s">
        <v>5950</v>
      </c>
    </row>
    <row r="149" spans="1:9" x14ac:dyDescent="0.25">
      <c r="A149" t="s">
        <v>4662</v>
      </c>
      <c r="C149" t="str">
        <f>HYPERLINK("http://amigo.geneontology.org/cgi-bin/amigo/term-details.cgi?term=GO:0022838","GO:0022838")</f>
        <v>GO:0022838</v>
      </c>
      <c r="D149" t="s">
        <v>398</v>
      </c>
      <c r="E149">
        <v>284</v>
      </c>
      <c r="F149">
        <v>3</v>
      </c>
      <c r="G149">
        <v>4.7854917626157602E-2</v>
      </c>
      <c r="H149">
        <v>1</v>
      </c>
      <c r="I149" t="s">
        <v>5999</v>
      </c>
    </row>
    <row r="150" spans="1:9" x14ac:dyDescent="0.25">
      <c r="A150" t="s">
        <v>4663</v>
      </c>
      <c r="C150" t="str">
        <f>HYPERLINK("http://amigo.geneontology.org/cgi-bin/amigo/term-details.cgi?term=GO:0022832","GO:0022832")</f>
        <v>GO:0022832</v>
      </c>
      <c r="D150" t="s">
        <v>373</v>
      </c>
      <c r="E150">
        <v>124</v>
      </c>
      <c r="F150">
        <v>2</v>
      </c>
      <c r="G150">
        <v>4.8884706487216198E-2</v>
      </c>
      <c r="H150">
        <v>1</v>
      </c>
      <c r="I150" t="s">
        <v>6006</v>
      </c>
    </row>
    <row r="151" spans="1:9" x14ac:dyDescent="0.25">
      <c r="A151" t="s">
        <v>4665</v>
      </c>
      <c r="C151" t="str">
        <f>HYPERLINK("http://amigo.geneontology.org/cgi-bin/amigo/term-details.cgi?term=GO:0005244","GO:0005244")</f>
        <v>GO:0005244</v>
      </c>
      <c r="D151" t="s">
        <v>376</v>
      </c>
      <c r="E151">
        <v>124</v>
      </c>
      <c r="F151">
        <v>2</v>
      </c>
      <c r="G151">
        <v>4.8884706487216198E-2</v>
      </c>
      <c r="H151">
        <v>1</v>
      </c>
      <c r="I151" t="s">
        <v>6006</v>
      </c>
    </row>
    <row r="152" spans="1:9" x14ac:dyDescent="0.25">
      <c r="A152" t="s">
        <v>1522</v>
      </c>
      <c r="C152" t="str">
        <f>HYPERLINK("http://amigo.geneontology.org/cgi-bin/amigo/term-details.cgi?term=GO:0008643","GO:0008643")</f>
        <v>GO:0008643</v>
      </c>
      <c r="D152" t="s">
        <v>80</v>
      </c>
      <c r="E152">
        <v>124</v>
      </c>
      <c r="F152">
        <v>2</v>
      </c>
      <c r="G152">
        <v>4.8884706487216198E-2</v>
      </c>
      <c r="H152">
        <v>1</v>
      </c>
      <c r="I152" t="s">
        <v>5959</v>
      </c>
    </row>
    <row r="153" spans="1:9" x14ac:dyDescent="0.25">
      <c r="A153" t="s">
        <v>4668</v>
      </c>
      <c r="C153" t="str">
        <f>HYPERLINK("http://amigo.geneontology.org/cgi-bin/amigo/term-details.cgi?term=GO:0006564","GO:0006564")</f>
        <v>GO:0006564</v>
      </c>
      <c r="D153" t="s">
        <v>6007</v>
      </c>
      <c r="E153">
        <v>18</v>
      </c>
      <c r="F153">
        <v>1</v>
      </c>
      <c r="G153">
        <v>4.9931111661774802E-2</v>
      </c>
      <c r="H153">
        <v>1</v>
      </c>
      <c r="I153" t="s">
        <v>5860</v>
      </c>
    </row>
    <row r="154" spans="1:9" x14ac:dyDescent="0.25">
      <c r="A154" t="s">
        <v>4672</v>
      </c>
    </row>
    <row r="155" spans="1:9" x14ac:dyDescent="0.25">
      <c r="A155" t="s">
        <v>11</v>
      </c>
    </row>
    <row r="156" spans="1:9" x14ac:dyDescent="0.25">
      <c r="A156" t="s">
        <v>6008</v>
      </c>
    </row>
    <row r="157" spans="1:9" x14ac:dyDescent="0.25">
      <c r="A157" t="s">
        <v>4674</v>
      </c>
    </row>
    <row r="158" spans="1:9" x14ac:dyDescent="0.25">
      <c r="A158" t="s">
        <v>4675</v>
      </c>
    </row>
    <row r="159" spans="1:9" x14ac:dyDescent="0.25">
      <c r="A159" t="s">
        <v>1567</v>
      </c>
    </row>
    <row r="160" spans="1:9" x14ac:dyDescent="0.25">
      <c r="A160" t="s">
        <v>4681</v>
      </c>
    </row>
    <row r="161" spans="1:1" x14ac:dyDescent="0.25">
      <c r="A161" t="s">
        <v>1588</v>
      </c>
    </row>
    <row r="162" spans="1:1" x14ac:dyDescent="0.25">
      <c r="A162" t="s">
        <v>4697</v>
      </c>
    </row>
    <row r="163" spans="1:1" x14ac:dyDescent="0.25">
      <c r="A163" t="s">
        <v>4699</v>
      </c>
    </row>
    <row r="164" spans="1:1" x14ac:dyDescent="0.25">
      <c r="A164" t="s">
        <v>6009</v>
      </c>
    </row>
    <row r="165" spans="1:1" x14ac:dyDescent="0.25">
      <c r="A165" t="s">
        <v>4700</v>
      </c>
    </row>
    <row r="166" spans="1:1" x14ac:dyDescent="0.25">
      <c r="A166" t="s">
        <v>6010</v>
      </c>
    </row>
    <row r="167" spans="1:1" x14ac:dyDescent="0.25">
      <c r="A167" t="s">
        <v>6011</v>
      </c>
    </row>
    <row r="168" spans="1:1" x14ac:dyDescent="0.25">
      <c r="A168" t="s">
        <v>4703</v>
      </c>
    </row>
    <row r="169" spans="1:1" x14ac:dyDescent="0.25">
      <c r="A169" t="s">
        <v>6012</v>
      </c>
    </row>
    <row r="170" spans="1:1" x14ac:dyDescent="0.25">
      <c r="A170" t="s">
        <v>4706</v>
      </c>
    </row>
    <row r="171" spans="1:1" x14ac:dyDescent="0.25">
      <c r="A171" t="s">
        <v>1619</v>
      </c>
    </row>
    <row r="172" spans="1:1" x14ac:dyDescent="0.25">
      <c r="A172" t="s">
        <v>4707</v>
      </c>
    </row>
    <row r="173" spans="1:1" x14ac:dyDescent="0.25">
      <c r="A173" t="s">
        <v>4714</v>
      </c>
    </row>
    <row r="174" spans="1:1" x14ac:dyDescent="0.25">
      <c r="A174" t="s">
        <v>4717</v>
      </c>
    </row>
    <row r="175" spans="1:1" x14ac:dyDescent="0.25">
      <c r="A175" t="s">
        <v>4721</v>
      </c>
    </row>
    <row r="176" spans="1:1" x14ac:dyDescent="0.25">
      <c r="A176" t="s">
        <v>4723</v>
      </c>
    </row>
    <row r="177" spans="1:1" x14ac:dyDescent="0.25">
      <c r="A177" t="s">
        <v>4724</v>
      </c>
    </row>
    <row r="178" spans="1:1" x14ac:dyDescent="0.25">
      <c r="A178" t="s">
        <v>3180</v>
      </c>
    </row>
    <row r="179" spans="1:1" x14ac:dyDescent="0.25">
      <c r="A179" t="s">
        <v>4726</v>
      </c>
    </row>
    <row r="180" spans="1:1" x14ac:dyDescent="0.25">
      <c r="A180" t="s">
        <v>1663</v>
      </c>
    </row>
    <row r="181" spans="1:1" x14ac:dyDescent="0.25">
      <c r="A181" t="s">
        <v>4735</v>
      </c>
    </row>
    <row r="182" spans="1:1" x14ac:dyDescent="0.25">
      <c r="A182" t="s">
        <v>6013</v>
      </c>
    </row>
    <row r="183" spans="1:1" x14ac:dyDescent="0.25">
      <c r="A183" t="s">
        <v>1686</v>
      </c>
    </row>
    <row r="184" spans="1:1" x14ac:dyDescent="0.25">
      <c r="A184" t="s">
        <v>1689</v>
      </c>
    </row>
    <row r="185" spans="1:1" x14ac:dyDescent="0.25">
      <c r="A185" t="s">
        <v>1697</v>
      </c>
    </row>
    <row r="186" spans="1:1" x14ac:dyDescent="0.25">
      <c r="A186" t="s">
        <v>6014</v>
      </c>
    </row>
    <row r="187" spans="1:1" x14ac:dyDescent="0.25">
      <c r="A187" t="s">
        <v>6015</v>
      </c>
    </row>
    <row r="188" spans="1:1" x14ac:dyDescent="0.25">
      <c r="A188" t="s">
        <v>4755</v>
      </c>
    </row>
    <row r="189" spans="1:1" x14ac:dyDescent="0.25">
      <c r="A189" t="s">
        <v>6016</v>
      </c>
    </row>
    <row r="190" spans="1:1" x14ac:dyDescent="0.25">
      <c r="A190" t="s">
        <v>4760</v>
      </c>
    </row>
    <row r="191" spans="1:1" x14ac:dyDescent="0.25">
      <c r="A191" t="s">
        <v>6017</v>
      </c>
    </row>
    <row r="192" spans="1:1" x14ac:dyDescent="0.25">
      <c r="A192" t="s">
        <v>4768</v>
      </c>
    </row>
    <row r="193" spans="1:1" x14ac:dyDescent="0.25">
      <c r="A193" t="s">
        <v>4771</v>
      </c>
    </row>
    <row r="194" spans="1:1" x14ac:dyDescent="0.25">
      <c r="A194" t="s">
        <v>4772</v>
      </c>
    </row>
    <row r="195" spans="1:1" x14ac:dyDescent="0.25">
      <c r="A195" t="s">
        <v>1747</v>
      </c>
    </row>
    <row r="196" spans="1:1" x14ac:dyDescent="0.25">
      <c r="A196" t="s">
        <v>6018</v>
      </c>
    </row>
    <row r="197" spans="1:1" x14ac:dyDescent="0.25">
      <c r="A197" t="s">
        <v>1757</v>
      </c>
    </row>
    <row r="198" spans="1:1" x14ac:dyDescent="0.25">
      <c r="A198" t="s">
        <v>4785</v>
      </c>
    </row>
    <row r="199" spans="1:1" x14ac:dyDescent="0.25">
      <c r="A199" t="s">
        <v>4787</v>
      </c>
    </row>
    <row r="200" spans="1:1" x14ac:dyDescent="0.25">
      <c r="A200" t="s">
        <v>1772</v>
      </c>
    </row>
    <row r="201" spans="1:1" x14ac:dyDescent="0.25">
      <c r="A201" t="s">
        <v>4803</v>
      </c>
    </row>
    <row r="202" spans="1:1" x14ac:dyDescent="0.25">
      <c r="A202" t="s">
        <v>4810</v>
      </c>
    </row>
    <row r="203" spans="1:1" x14ac:dyDescent="0.25">
      <c r="A203" t="s">
        <v>4811</v>
      </c>
    </row>
    <row r="204" spans="1:1" x14ac:dyDescent="0.25">
      <c r="A204" t="s">
        <v>4812</v>
      </c>
    </row>
    <row r="205" spans="1:1" x14ac:dyDescent="0.25">
      <c r="A205" t="s">
        <v>1810</v>
      </c>
    </row>
    <row r="206" spans="1:1" x14ac:dyDescent="0.25">
      <c r="A206" t="s">
        <v>1812</v>
      </c>
    </row>
    <row r="207" spans="1:1" x14ac:dyDescent="0.25">
      <c r="A207" t="s">
        <v>6019</v>
      </c>
    </row>
    <row r="208" spans="1:1" x14ac:dyDescent="0.25">
      <c r="A208" t="s">
        <v>6020</v>
      </c>
    </row>
    <row r="209" spans="1:1" x14ac:dyDescent="0.25">
      <c r="A209" t="s">
        <v>6021</v>
      </c>
    </row>
    <row r="210" spans="1:1" x14ac:dyDescent="0.25">
      <c r="A210" t="s">
        <v>5950</v>
      </c>
    </row>
    <row r="211" spans="1:1" x14ac:dyDescent="0.25">
      <c r="A211" t="s">
        <v>4843</v>
      </c>
    </row>
    <row r="212" spans="1:1" x14ac:dyDescent="0.25">
      <c r="A212" t="s">
        <v>4846</v>
      </c>
    </row>
    <row r="213" spans="1:1" x14ac:dyDescent="0.25">
      <c r="A213" t="s">
        <v>4849</v>
      </c>
    </row>
    <row r="214" spans="1:1" x14ac:dyDescent="0.25">
      <c r="A214" t="s">
        <v>4851</v>
      </c>
    </row>
    <row r="215" spans="1:1" x14ac:dyDescent="0.25">
      <c r="A215" t="s">
        <v>4854</v>
      </c>
    </row>
    <row r="216" spans="1:1" x14ac:dyDescent="0.25">
      <c r="A216" t="s">
        <v>4855</v>
      </c>
    </row>
    <row r="217" spans="1:1" x14ac:dyDescent="0.25">
      <c r="A217" t="s">
        <v>4857</v>
      </c>
    </row>
    <row r="218" spans="1:1" x14ac:dyDescent="0.25">
      <c r="A218" t="s">
        <v>4858</v>
      </c>
    </row>
    <row r="219" spans="1:1" x14ac:dyDescent="0.25">
      <c r="A219" t="s">
        <v>4859</v>
      </c>
    </row>
    <row r="220" spans="1:1" x14ac:dyDescent="0.25">
      <c r="A220" t="s">
        <v>4867</v>
      </c>
    </row>
    <row r="221" spans="1:1" x14ac:dyDescent="0.25">
      <c r="A221" t="s">
        <v>6022</v>
      </c>
    </row>
    <row r="222" spans="1:1" x14ac:dyDescent="0.25">
      <c r="A222" t="s">
        <v>4870</v>
      </c>
    </row>
    <row r="223" spans="1:1" x14ac:dyDescent="0.25">
      <c r="A223" t="s">
        <v>6023</v>
      </c>
    </row>
    <row r="224" spans="1:1" x14ac:dyDescent="0.25">
      <c r="A224" t="s">
        <v>17</v>
      </c>
    </row>
    <row r="225" spans="1:1" x14ac:dyDescent="0.25">
      <c r="A225" t="s">
        <v>3604</v>
      </c>
    </row>
    <row r="226" spans="1:1" x14ac:dyDescent="0.25">
      <c r="A226" t="s">
        <v>4879</v>
      </c>
    </row>
    <row r="227" spans="1:1" x14ac:dyDescent="0.25">
      <c r="A227" t="s">
        <v>4889</v>
      </c>
    </row>
    <row r="228" spans="1:1" x14ac:dyDescent="0.25">
      <c r="A228" t="s">
        <v>4910</v>
      </c>
    </row>
    <row r="229" spans="1:1" x14ac:dyDescent="0.25">
      <c r="A229" t="s">
        <v>6024</v>
      </c>
    </row>
    <row r="230" spans="1:1" x14ac:dyDescent="0.25">
      <c r="A230" t="s">
        <v>4914</v>
      </c>
    </row>
    <row r="231" spans="1:1" x14ac:dyDescent="0.25">
      <c r="A231" t="s">
        <v>4922</v>
      </c>
    </row>
    <row r="232" spans="1:1" x14ac:dyDescent="0.25">
      <c r="A232" t="s">
        <v>4923</v>
      </c>
    </row>
    <row r="233" spans="1:1" x14ac:dyDescent="0.25">
      <c r="A233" t="s">
        <v>4925</v>
      </c>
    </row>
    <row r="234" spans="1:1" x14ac:dyDescent="0.25">
      <c r="A234" t="s">
        <v>1971</v>
      </c>
    </row>
    <row r="235" spans="1:1" x14ac:dyDescent="0.25">
      <c r="A235" t="s">
        <v>6025</v>
      </c>
    </row>
    <row r="236" spans="1:1" x14ac:dyDescent="0.25">
      <c r="A236" t="s">
        <v>4946</v>
      </c>
    </row>
    <row r="237" spans="1:1" x14ac:dyDescent="0.25">
      <c r="A237" t="s">
        <v>6026</v>
      </c>
    </row>
    <row r="238" spans="1:1" x14ac:dyDescent="0.25">
      <c r="A238" t="s">
        <v>6027</v>
      </c>
    </row>
    <row r="239" spans="1:1" x14ac:dyDescent="0.25">
      <c r="A239" t="s">
        <v>4951</v>
      </c>
    </row>
    <row r="240" spans="1:1" x14ac:dyDescent="0.25">
      <c r="A240" t="s">
        <v>6028</v>
      </c>
    </row>
    <row r="241" spans="1:1" x14ac:dyDescent="0.25">
      <c r="A241" t="s">
        <v>4957</v>
      </c>
    </row>
    <row r="242" spans="1:1" x14ac:dyDescent="0.25">
      <c r="A242" t="s">
        <v>4959</v>
      </c>
    </row>
    <row r="243" spans="1:1" x14ac:dyDescent="0.25">
      <c r="A243" t="s">
        <v>4960</v>
      </c>
    </row>
    <row r="244" spans="1:1" x14ac:dyDescent="0.25">
      <c r="A244" t="s">
        <v>73</v>
      </c>
    </row>
    <row r="245" spans="1:1" x14ac:dyDescent="0.25">
      <c r="A245" t="s">
        <v>3859</v>
      </c>
    </row>
    <row r="246" spans="1:1" x14ac:dyDescent="0.25">
      <c r="A246" t="s">
        <v>4962</v>
      </c>
    </row>
    <row r="247" spans="1:1" x14ac:dyDescent="0.25">
      <c r="A247" t="s">
        <v>4965</v>
      </c>
    </row>
    <row r="248" spans="1:1" x14ac:dyDescent="0.25">
      <c r="A248" t="s">
        <v>6029</v>
      </c>
    </row>
    <row r="249" spans="1:1" x14ac:dyDescent="0.25">
      <c r="A249" t="s">
        <v>6030</v>
      </c>
    </row>
    <row r="250" spans="1:1" x14ac:dyDescent="0.25">
      <c r="A250" t="s">
        <v>4969</v>
      </c>
    </row>
    <row r="251" spans="1:1" x14ac:dyDescent="0.25">
      <c r="A251" t="s">
        <v>4970</v>
      </c>
    </row>
    <row r="252" spans="1:1" x14ac:dyDescent="0.25">
      <c r="A252" t="s">
        <v>4971</v>
      </c>
    </row>
    <row r="253" spans="1:1" x14ac:dyDescent="0.25">
      <c r="A253" t="s">
        <v>4973</v>
      </c>
    </row>
    <row r="254" spans="1:1" x14ac:dyDescent="0.25">
      <c r="A254" t="s">
        <v>2024</v>
      </c>
    </row>
    <row r="255" spans="1:1" x14ac:dyDescent="0.25">
      <c r="A255" t="s">
        <v>4976</v>
      </c>
    </row>
    <row r="256" spans="1:1" x14ac:dyDescent="0.25">
      <c r="A256" t="s">
        <v>4985</v>
      </c>
    </row>
    <row r="257" spans="1:1" x14ac:dyDescent="0.25">
      <c r="A257" t="s">
        <v>2040</v>
      </c>
    </row>
    <row r="258" spans="1:1" x14ac:dyDescent="0.25">
      <c r="A258" t="s">
        <v>6031</v>
      </c>
    </row>
    <row r="259" spans="1:1" x14ac:dyDescent="0.25">
      <c r="A259" t="s">
        <v>4992</v>
      </c>
    </row>
    <row r="260" spans="1:1" x14ac:dyDescent="0.25">
      <c r="A260" t="s">
        <v>3950</v>
      </c>
    </row>
    <row r="261" spans="1:1" x14ac:dyDescent="0.25">
      <c r="A261" t="s">
        <v>6032</v>
      </c>
    </row>
    <row r="262" spans="1:1" x14ac:dyDescent="0.25">
      <c r="A262" t="s">
        <v>2066</v>
      </c>
    </row>
    <row r="263" spans="1:1" x14ac:dyDescent="0.25">
      <c r="A263" t="s">
        <v>2067</v>
      </c>
    </row>
    <row r="264" spans="1:1" x14ac:dyDescent="0.25">
      <c r="A264" t="s">
        <v>4997</v>
      </c>
    </row>
    <row r="265" spans="1:1" x14ac:dyDescent="0.25">
      <c r="A265" t="s">
        <v>2075</v>
      </c>
    </row>
    <row r="266" spans="1:1" x14ac:dyDescent="0.25">
      <c r="A266" t="s">
        <v>2077</v>
      </c>
    </row>
    <row r="267" spans="1:1" x14ac:dyDescent="0.25">
      <c r="A267" t="s">
        <v>5002</v>
      </c>
    </row>
    <row r="268" spans="1:1" x14ac:dyDescent="0.25">
      <c r="A268" t="s">
        <v>2087</v>
      </c>
    </row>
    <row r="269" spans="1:1" x14ac:dyDescent="0.25">
      <c r="A269" t="s">
        <v>2090</v>
      </c>
    </row>
    <row r="270" spans="1:1" x14ac:dyDescent="0.25">
      <c r="A270" t="s">
        <v>5006</v>
      </c>
    </row>
    <row r="271" spans="1:1" x14ac:dyDescent="0.25">
      <c r="A271" t="s">
        <v>5008</v>
      </c>
    </row>
    <row r="272" spans="1:1" x14ac:dyDescent="0.25">
      <c r="A272" t="s">
        <v>2102</v>
      </c>
    </row>
    <row r="273" spans="1:1" x14ac:dyDescent="0.25">
      <c r="A273" t="s">
        <v>5011</v>
      </c>
    </row>
    <row r="274" spans="1:1" x14ac:dyDescent="0.25">
      <c r="A274" t="s">
        <v>5012</v>
      </c>
    </row>
    <row r="275" spans="1:1" x14ac:dyDescent="0.25">
      <c r="A275" t="s">
        <v>6033</v>
      </c>
    </row>
    <row r="276" spans="1:1" x14ac:dyDescent="0.25">
      <c r="A276" t="s">
        <v>4054</v>
      </c>
    </row>
    <row r="277" spans="1:1" x14ac:dyDescent="0.25">
      <c r="A277" t="s">
        <v>5024</v>
      </c>
    </row>
    <row r="278" spans="1:1" x14ac:dyDescent="0.25">
      <c r="A278" t="s">
        <v>5030</v>
      </c>
    </row>
    <row r="279" spans="1:1" x14ac:dyDescent="0.25">
      <c r="A279" t="s">
        <v>5034</v>
      </c>
    </row>
    <row r="280" spans="1:1" x14ac:dyDescent="0.25">
      <c r="A280" t="s">
        <v>6034</v>
      </c>
    </row>
    <row r="281" spans="1:1" x14ac:dyDescent="0.25">
      <c r="A281" t="s">
        <v>5038</v>
      </c>
    </row>
  </sheetData>
  <sortState ref="C11:I152">
    <sortCondition ref="G11:G15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6"/>
  <sheetViews>
    <sheetView workbookViewId="0">
      <pane xSplit="4" ySplit="11" topLeftCell="E12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22.7109375" customWidth="1"/>
    <col min="3" max="3" width="13.5703125" customWidth="1"/>
    <col min="4" max="4" width="27.140625" customWidth="1"/>
  </cols>
  <sheetData>
    <row r="1" spans="1:9" ht="20.25" x14ac:dyDescent="0.3">
      <c r="A1" s="12" t="s">
        <v>6035</v>
      </c>
    </row>
    <row r="2" spans="1:9" x14ac:dyDescent="0.25">
      <c r="A2" s="6" t="s">
        <v>6036</v>
      </c>
      <c r="B2" s="8">
        <f>904/7100</f>
        <v>0.12732394366197183</v>
      </c>
      <c r="C2" t="s">
        <v>2</v>
      </c>
      <c r="D2">
        <v>649</v>
      </c>
    </row>
    <row r="3" spans="1:9" x14ac:dyDescent="0.25">
      <c r="A3" t="s">
        <v>6037</v>
      </c>
      <c r="C3" t="s">
        <v>4</v>
      </c>
      <c r="D3">
        <v>77079</v>
      </c>
    </row>
    <row r="4" spans="1:9" x14ac:dyDescent="0.25">
      <c r="A4" t="s">
        <v>6038</v>
      </c>
      <c r="C4" t="s">
        <v>6</v>
      </c>
      <c r="D4" t="s">
        <v>7</v>
      </c>
    </row>
    <row r="5" spans="1:9" x14ac:dyDescent="0.25">
      <c r="A5" t="s">
        <v>5045</v>
      </c>
      <c r="C5" t="s">
        <v>9</v>
      </c>
      <c r="D5" t="s">
        <v>10</v>
      </c>
    </row>
    <row r="6" spans="1:9" x14ac:dyDescent="0.25">
      <c r="A6" t="s">
        <v>6039</v>
      </c>
      <c r="C6" t="s">
        <v>12</v>
      </c>
      <c r="D6" t="s">
        <v>13</v>
      </c>
    </row>
    <row r="7" spans="1:9" x14ac:dyDescent="0.25">
      <c r="A7" t="s">
        <v>5046</v>
      </c>
      <c r="C7" t="s">
        <v>15</v>
      </c>
      <c r="D7" t="s">
        <v>16</v>
      </c>
    </row>
    <row r="8" spans="1:9" x14ac:dyDescent="0.25">
      <c r="A8" t="s">
        <v>6040</v>
      </c>
      <c r="C8" t="s">
        <v>18</v>
      </c>
      <c r="D8" t="s">
        <v>19</v>
      </c>
    </row>
    <row r="9" spans="1:9" x14ac:dyDescent="0.25">
      <c r="A9" t="s">
        <v>5445</v>
      </c>
      <c r="C9" t="s">
        <v>21</v>
      </c>
      <c r="D9">
        <v>3</v>
      </c>
    </row>
    <row r="10" spans="1:9" x14ac:dyDescent="0.25">
      <c r="A10" t="s">
        <v>6041</v>
      </c>
    </row>
    <row r="11" spans="1:9" x14ac:dyDescent="0.25">
      <c r="A11" t="s">
        <v>184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6042</v>
      </c>
      <c r="C12" s="3" t="str">
        <f>HYPERLINK("http://amigo.geneontology.org/amigo/term/GO:0016798","GO:0016798")</f>
        <v>GO:0016798</v>
      </c>
      <c r="D12" t="s">
        <v>177</v>
      </c>
      <c r="E12">
        <v>1691</v>
      </c>
      <c r="F12">
        <v>57</v>
      </c>
      <c r="G12" s="4">
        <v>1.61225334249139E-18</v>
      </c>
      <c r="H12" s="4">
        <v>7.27932384134864E-15</v>
      </c>
      <c r="I12" t="s">
        <v>6043</v>
      </c>
    </row>
    <row r="13" spans="1:9" x14ac:dyDescent="0.25">
      <c r="A13" t="s">
        <v>79</v>
      </c>
      <c r="C13" s="3" t="str">
        <f>HYPERLINK("http://amigo.geneontology.org/amigo/term/GO:0004553","GO:0004553")</f>
        <v>GO:0004553</v>
      </c>
      <c r="D13" t="s">
        <v>174</v>
      </c>
      <c r="E13">
        <v>1509</v>
      </c>
      <c r="F13">
        <v>53</v>
      </c>
      <c r="G13" s="4">
        <v>4.8368444287211997E-18</v>
      </c>
      <c r="H13" s="4">
        <v>1.09167578756237E-14</v>
      </c>
      <c r="I13" t="s">
        <v>6044</v>
      </c>
    </row>
    <row r="14" spans="1:9" x14ac:dyDescent="0.25">
      <c r="A14" t="s">
        <v>187</v>
      </c>
      <c r="C14" s="3" t="str">
        <f>HYPERLINK("http://amigo.geneontology.org/amigo/term/GO:0004564","GO:0004564")</f>
        <v>GO:0004564</v>
      </c>
      <c r="D14" t="s">
        <v>404</v>
      </c>
      <c r="E14">
        <v>32</v>
      </c>
      <c r="F14">
        <v>12</v>
      </c>
      <c r="G14" s="4">
        <v>2.2225591858276101E-17</v>
      </c>
      <c r="H14" s="4">
        <v>2.0069709448023301E-14</v>
      </c>
      <c r="I14" t="s">
        <v>6045</v>
      </c>
    </row>
    <row r="15" spans="1:9" x14ac:dyDescent="0.25">
      <c r="A15" t="s">
        <v>2149</v>
      </c>
      <c r="C15" s="3" t="str">
        <f>HYPERLINK("http://amigo.geneontology.org/amigo/term/GO:0090599","GO:0090599")</f>
        <v>GO:0090599</v>
      </c>
      <c r="D15" t="s">
        <v>407</v>
      </c>
      <c r="E15">
        <v>32</v>
      </c>
      <c r="F15">
        <v>12</v>
      </c>
      <c r="G15" s="4">
        <v>2.2225591858276101E-17</v>
      </c>
      <c r="H15" s="4">
        <v>2.5070467616135502E-14</v>
      </c>
      <c r="I15" t="s">
        <v>6045</v>
      </c>
    </row>
    <row r="16" spans="1:9" x14ac:dyDescent="0.25">
      <c r="A16" t="s">
        <v>5050</v>
      </c>
      <c r="C16" s="3" t="str">
        <f>HYPERLINK("http://amigo.geneontology.org/amigo/term/GO:0004575","GO:0004575")</f>
        <v>GO:0004575</v>
      </c>
      <c r="D16" t="s">
        <v>409</v>
      </c>
      <c r="E16">
        <v>32</v>
      </c>
      <c r="F16">
        <v>12</v>
      </c>
      <c r="G16" s="4">
        <v>2.2225591858276101E-17</v>
      </c>
      <c r="H16" s="4">
        <v>3.3449515746705603E-14</v>
      </c>
      <c r="I16" t="s">
        <v>6045</v>
      </c>
    </row>
    <row r="17" spans="1:9" x14ac:dyDescent="0.25">
      <c r="A17" t="s">
        <v>6046</v>
      </c>
      <c r="C17" s="3" t="str">
        <f>HYPERLINK("http://amigo.geneontology.org/amigo/term/GO:0015926","GO:0015926")</f>
        <v>GO:0015926</v>
      </c>
      <c r="D17" t="s">
        <v>401</v>
      </c>
      <c r="E17">
        <v>59</v>
      </c>
      <c r="F17">
        <v>12</v>
      </c>
      <c r="G17" s="4">
        <v>8.9630556573241901E-14</v>
      </c>
      <c r="H17" s="4">
        <v>6.7402178543077894E-11</v>
      </c>
      <c r="I17" t="s">
        <v>6045</v>
      </c>
    </row>
    <row r="18" spans="1:9" x14ac:dyDescent="0.25">
      <c r="A18" t="s">
        <v>5861</v>
      </c>
      <c r="C18" s="3" t="str">
        <f>HYPERLINK("http://amigo.geneontology.org/amigo/term/GO:0005975","GO:0005975")</f>
        <v>GO:0005975</v>
      </c>
      <c r="D18" t="s">
        <v>171</v>
      </c>
      <c r="E18">
        <v>2990</v>
      </c>
      <c r="F18">
        <v>61</v>
      </c>
      <c r="G18" s="4">
        <v>3.1344684860262602E-10</v>
      </c>
      <c r="H18" s="4">
        <v>2.0217321734869301E-7</v>
      </c>
      <c r="I18" t="s">
        <v>6047</v>
      </c>
    </row>
    <row r="19" spans="1:9" x14ac:dyDescent="0.25">
      <c r="A19" t="s">
        <v>6048</v>
      </c>
      <c r="C19" s="3" t="str">
        <f>HYPERLINK("http://amigo.geneontology.org/amigo/term/GO:0005452","GO:0005452")</f>
        <v>GO:0005452</v>
      </c>
      <c r="D19" t="s">
        <v>5535</v>
      </c>
      <c r="E19">
        <v>13</v>
      </c>
      <c r="F19">
        <v>5</v>
      </c>
      <c r="G19" s="4">
        <v>5.0723633894073197E-8</v>
      </c>
      <c r="H19" s="4">
        <v>2.86081295162572E-5</v>
      </c>
      <c r="I19" t="s">
        <v>6049</v>
      </c>
    </row>
    <row r="20" spans="1:9" x14ac:dyDescent="0.25">
      <c r="A20" t="s">
        <v>2216</v>
      </c>
      <c r="C20" s="3" t="str">
        <f>HYPERLINK("http://amigo.geneontology.org/amigo/term/GO:0016491","GO:0016491")</f>
        <v>GO:0016491</v>
      </c>
      <c r="D20" t="s">
        <v>315</v>
      </c>
      <c r="E20">
        <v>6975</v>
      </c>
      <c r="F20">
        <v>100</v>
      </c>
      <c r="G20" s="4">
        <v>1.1928546616817399E-7</v>
      </c>
      <c r="H20" s="4">
        <v>5.9762018550255497E-5</v>
      </c>
      <c r="I20" t="s">
        <v>6050</v>
      </c>
    </row>
    <row r="21" spans="1:9" x14ac:dyDescent="0.25">
      <c r="A21" t="s">
        <v>5456</v>
      </c>
      <c r="C21" s="3" t="str">
        <f>HYPERLINK("http://amigo.geneontology.org/amigo/term/GO:0016787","GO:0016787")</f>
        <v>GO:0016787</v>
      </c>
      <c r="D21" t="s">
        <v>98</v>
      </c>
      <c r="E21">
        <v>9814</v>
      </c>
      <c r="F21">
        <v>129</v>
      </c>
      <c r="G21" s="4">
        <v>1.76560958762327E-7</v>
      </c>
      <c r="H21" s="4">
        <v>7.9628992401809497E-5</v>
      </c>
      <c r="I21" t="s">
        <v>6051</v>
      </c>
    </row>
    <row r="22" spans="1:9" x14ac:dyDescent="0.25">
      <c r="A22" t="s">
        <v>6052</v>
      </c>
      <c r="C22" s="3" t="str">
        <f>HYPERLINK("http://amigo.geneontology.org/amigo/term/GO:0055114","GO:0055114")</f>
        <v>GO:0055114</v>
      </c>
      <c r="D22" t="s">
        <v>454</v>
      </c>
      <c r="E22">
        <v>6698</v>
      </c>
      <c r="F22">
        <v>95</v>
      </c>
      <c r="G22" s="4">
        <v>4.20157255484345E-7</v>
      </c>
      <c r="H22" s="4">
        <v>1.7226447474858101E-4</v>
      </c>
      <c r="I22" t="s">
        <v>6053</v>
      </c>
    </row>
    <row r="23" spans="1:9" x14ac:dyDescent="0.25">
      <c r="A23" t="s">
        <v>6054</v>
      </c>
      <c r="C23" s="3" t="str">
        <f>HYPERLINK("http://amigo.geneontology.org/amigo/term/GO:0006629","GO:0006629")</f>
        <v>GO:0006629</v>
      </c>
      <c r="D23" t="s">
        <v>182</v>
      </c>
      <c r="E23">
        <v>2608</v>
      </c>
      <c r="F23">
        <v>48</v>
      </c>
      <c r="G23" s="4">
        <v>5.3189424000007804E-7</v>
      </c>
      <c r="H23" s="4">
        <v>1.99992234240029E-4</v>
      </c>
      <c r="I23" t="s">
        <v>6055</v>
      </c>
    </row>
    <row r="24" spans="1:9" x14ac:dyDescent="0.25">
      <c r="A24" t="s">
        <v>6056</v>
      </c>
      <c r="C24" s="3" t="str">
        <f>HYPERLINK("http://amigo.geneontology.org/amigo/term/GO:0042972","GO:0042972")</f>
        <v>GO:0042972</v>
      </c>
      <c r="D24" t="s">
        <v>618</v>
      </c>
      <c r="E24">
        <v>3</v>
      </c>
      <c r="F24">
        <v>3</v>
      </c>
      <c r="G24" s="4">
        <v>5.9420003340746496E-7</v>
      </c>
      <c r="H24" s="4">
        <v>1.91332410757204E-4</v>
      </c>
      <c r="I24" t="s">
        <v>619</v>
      </c>
    </row>
    <row r="25" spans="1:9" x14ac:dyDescent="0.25">
      <c r="A25" t="s">
        <v>6057</v>
      </c>
      <c r="C25" s="3" t="str">
        <f>HYPERLINK("http://amigo.geneontology.org/amigo/term/GO:0101030","GO:0101030")</f>
        <v>GO:0101030</v>
      </c>
      <c r="D25" t="s">
        <v>6058</v>
      </c>
      <c r="E25">
        <v>3</v>
      </c>
      <c r="F25">
        <v>3</v>
      </c>
      <c r="G25" s="4">
        <v>5.9420003340746496E-7</v>
      </c>
      <c r="H25" s="4">
        <v>2.0618741159239001E-4</v>
      </c>
      <c r="I25" t="s">
        <v>6059</v>
      </c>
    </row>
    <row r="26" spans="1:9" x14ac:dyDescent="0.25">
      <c r="A26" t="s">
        <v>242</v>
      </c>
      <c r="C26" s="3" t="str">
        <f>HYPERLINK("http://amigo.geneontology.org/amigo/term/GO:0015103","GO:0015103")</f>
        <v>GO:0015103</v>
      </c>
      <c r="D26" t="s">
        <v>1258</v>
      </c>
      <c r="E26">
        <v>149</v>
      </c>
      <c r="F26">
        <v>10</v>
      </c>
      <c r="G26" s="4">
        <v>6.3992367329533901E-7</v>
      </c>
      <c r="H26" s="4">
        <v>1.9261702566189699E-4</v>
      </c>
      <c r="I26" t="s">
        <v>6060</v>
      </c>
    </row>
    <row r="27" spans="1:9" x14ac:dyDescent="0.25">
      <c r="A27" t="s">
        <v>6061</v>
      </c>
      <c r="C27" s="3" t="str">
        <f>HYPERLINK("http://amigo.geneontology.org/amigo/term/GO:0006631","GO:0006631")</f>
        <v>GO:0006631</v>
      </c>
      <c r="D27" t="s">
        <v>335</v>
      </c>
      <c r="E27">
        <v>648</v>
      </c>
      <c r="F27">
        <v>19</v>
      </c>
      <c r="G27" s="4">
        <v>3.65373995652975E-6</v>
      </c>
      <c r="H27">
        <v>1.03035466774139E-3</v>
      </c>
      <c r="I27" t="s">
        <v>6062</v>
      </c>
    </row>
    <row r="28" spans="1:9" x14ac:dyDescent="0.25">
      <c r="A28" t="s">
        <v>2240</v>
      </c>
      <c r="C28" s="3" t="str">
        <f>HYPERLINK("http://amigo.geneontology.org/amigo/term/GO:0016762","GO:0016762")</f>
        <v>GO:0016762</v>
      </c>
      <c r="D28" t="s">
        <v>332</v>
      </c>
      <c r="E28">
        <v>142</v>
      </c>
      <c r="F28">
        <v>9</v>
      </c>
      <c r="G28" s="4">
        <v>3.72304768221181E-6</v>
      </c>
      <c r="H28" s="4">
        <v>9.8660763578613101E-4</v>
      </c>
      <c r="I28" t="s">
        <v>6063</v>
      </c>
    </row>
    <row r="29" spans="1:9" x14ac:dyDescent="0.25">
      <c r="A29" t="s">
        <v>6064</v>
      </c>
      <c r="C29" s="3" t="str">
        <f>HYPERLINK("http://amigo.geneontology.org/amigo/term/GO:0008509","GO:0008509")</f>
        <v>GO:0008509</v>
      </c>
      <c r="D29" t="s">
        <v>1140</v>
      </c>
      <c r="E29">
        <v>292</v>
      </c>
      <c r="F29">
        <v>12</v>
      </c>
      <c r="G29" s="4">
        <v>8.6711780514617094E-6</v>
      </c>
      <c r="H29">
        <v>2.1677945128654201E-3</v>
      </c>
      <c r="I29" t="s">
        <v>6065</v>
      </c>
    </row>
    <row r="30" spans="1:9" x14ac:dyDescent="0.25">
      <c r="A30" t="s">
        <v>5055</v>
      </c>
      <c r="C30" s="3" t="str">
        <f>HYPERLINK("http://amigo.geneontology.org/amigo/term/GO:0005254","GO:0005254")</f>
        <v>GO:0005254</v>
      </c>
      <c r="D30" t="s">
        <v>4391</v>
      </c>
      <c r="E30">
        <v>34</v>
      </c>
      <c r="F30">
        <v>5</v>
      </c>
      <c r="G30" s="4">
        <v>9.4748290576880806E-6</v>
      </c>
      <c r="H30">
        <v>2.1318365379798202E-3</v>
      </c>
      <c r="I30" t="s">
        <v>6066</v>
      </c>
    </row>
    <row r="31" spans="1:9" x14ac:dyDescent="0.25">
      <c r="A31" t="s">
        <v>6067</v>
      </c>
      <c r="C31" s="3" t="str">
        <f>HYPERLINK("http://amigo.geneontology.org/amigo/term/GO:0005247","GO:0005247")</f>
        <v>GO:0005247</v>
      </c>
      <c r="D31" t="s">
        <v>4393</v>
      </c>
      <c r="E31">
        <v>34</v>
      </c>
      <c r="F31">
        <v>5</v>
      </c>
      <c r="G31" s="4">
        <v>9.4748290576880806E-6</v>
      </c>
      <c r="H31">
        <v>2.2455344866720698E-3</v>
      </c>
      <c r="I31" t="s">
        <v>6066</v>
      </c>
    </row>
    <row r="32" spans="1:9" x14ac:dyDescent="0.25">
      <c r="A32" t="s">
        <v>295</v>
      </c>
      <c r="C32" s="3" t="str">
        <f>HYPERLINK("http://amigo.geneontology.org/amigo/term/GO:0004089","GO:0004089")</f>
        <v>GO:0004089</v>
      </c>
      <c r="D32" t="s">
        <v>661</v>
      </c>
      <c r="E32">
        <v>36</v>
      </c>
      <c r="F32">
        <v>5</v>
      </c>
      <c r="G32" s="4">
        <v>1.2659734275941299E-5</v>
      </c>
      <c r="H32">
        <v>2.7218428693273899E-3</v>
      </c>
      <c r="I32" t="s">
        <v>6068</v>
      </c>
    </row>
    <row r="33" spans="1:9" x14ac:dyDescent="0.25">
      <c r="A33" t="s">
        <v>34</v>
      </c>
      <c r="C33" s="3" t="str">
        <f>HYPERLINK("http://amigo.geneontology.org/amigo/term/GO:0005506","GO:0005506")</f>
        <v>GO:0005506</v>
      </c>
      <c r="D33" t="s">
        <v>1214</v>
      </c>
      <c r="E33">
        <v>1961</v>
      </c>
      <c r="F33">
        <v>36</v>
      </c>
      <c r="G33" s="4">
        <v>1.50063699002344E-5</v>
      </c>
      <c r="H33">
        <v>3.0763058295480501E-3</v>
      </c>
      <c r="I33" t="s">
        <v>6069</v>
      </c>
    </row>
    <row r="34" spans="1:9" x14ac:dyDescent="0.25">
      <c r="A34" t="s">
        <v>6070</v>
      </c>
      <c r="C34" s="3" t="str">
        <f>HYPERLINK("http://amigo.geneontology.org/amigo/term/GO:0008479","GO:0008479")</f>
        <v>GO:0008479</v>
      </c>
      <c r="D34" t="s">
        <v>6071</v>
      </c>
      <c r="E34">
        <v>7</v>
      </c>
      <c r="F34">
        <v>3</v>
      </c>
      <c r="G34" s="4">
        <v>2.02793080063043E-5</v>
      </c>
      <c r="H34">
        <v>3.6502754411347899E-3</v>
      </c>
      <c r="I34" t="s">
        <v>6059</v>
      </c>
    </row>
    <row r="35" spans="1:9" x14ac:dyDescent="0.25">
      <c r="A35" t="s">
        <v>5467</v>
      </c>
      <c r="C35" s="3" t="str">
        <f>HYPERLINK("http://amigo.geneontology.org/amigo/term/GO:0046116","GO:0046116")</f>
        <v>GO:0046116</v>
      </c>
      <c r="D35" t="s">
        <v>6072</v>
      </c>
      <c r="E35">
        <v>7</v>
      </c>
      <c r="F35">
        <v>3</v>
      </c>
      <c r="G35" s="4">
        <v>2.02793080063043E-5</v>
      </c>
      <c r="H35">
        <v>3.8125099051852201E-3</v>
      </c>
      <c r="I35" t="s">
        <v>6059</v>
      </c>
    </row>
    <row r="36" spans="1:9" x14ac:dyDescent="0.25">
      <c r="A36" t="s">
        <v>5469</v>
      </c>
      <c r="C36" s="3" t="str">
        <f>HYPERLINK("http://amigo.geneontology.org/amigo/term/GO:0008616","GO:0008616")</f>
        <v>GO:0008616</v>
      </c>
      <c r="D36" t="s">
        <v>6073</v>
      </c>
      <c r="E36">
        <v>7</v>
      </c>
      <c r="F36">
        <v>3</v>
      </c>
      <c r="G36" s="4">
        <v>2.02793080063043E-5</v>
      </c>
      <c r="H36">
        <v>3.9747443692356599E-3</v>
      </c>
      <c r="I36" t="s">
        <v>6059</v>
      </c>
    </row>
    <row r="37" spans="1:9" x14ac:dyDescent="0.25">
      <c r="A37" t="s">
        <v>307</v>
      </c>
      <c r="C37" s="3" t="str">
        <f>HYPERLINK("http://amigo.geneontology.org/amigo/term/GO:0080019","GO:0080019")</f>
        <v>GO:0080019</v>
      </c>
      <c r="D37" t="s">
        <v>138</v>
      </c>
      <c r="E37">
        <v>40</v>
      </c>
      <c r="F37">
        <v>5</v>
      </c>
      <c r="G37" s="4">
        <v>2.1491270858240399E-5</v>
      </c>
      <c r="H37">
        <v>3.7179898584755902E-3</v>
      </c>
      <c r="I37" t="s">
        <v>6074</v>
      </c>
    </row>
    <row r="38" spans="1:9" x14ac:dyDescent="0.25">
      <c r="A38" t="s">
        <v>6075</v>
      </c>
      <c r="C38" s="3" t="str">
        <f>HYPERLINK("http://amigo.geneontology.org/amigo/term/GO:0006821","GO:0006821")</f>
        <v>GO:0006821</v>
      </c>
      <c r="D38" t="s">
        <v>4457</v>
      </c>
      <c r="E38">
        <v>41</v>
      </c>
      <c r="F38">
        <v>5</v>
      </c>
      <c r="G38" s="4">
        <v>2.43069006558273E-5</v>
      </c>
      <c r="H38">
        <v>4.0592524095231603E-3</v>
      </c>
      <c r="I38" t="s">
        <v>6066</v>
      </c>
    </row>
    <row r="39" spans="1:9" x14ac:dyDescent="0.25">
      <c r="A39" t="s">
        <v>6076</v>
      </c>
      <c r="C39" s="3" t="str">
        <f>HYPERLINK("http://amigo.geneontology.org/amigo/term/GO:0006811","GO:0006811")</f>
        <v>GO:0006811</v>
      </c>
      <c r="D39" t="s">
        <v>299</v>
      </c>
      <c r="E39">
        <v>1855</v>
      </c>
      <c r="F39">
        <v>34</v>
      </c>
      <c r="G39" s="4">
        <v>2.6617039368554999E-5</v>
      </c>
      <c r="H39">
        <v>4.2853433383373499E-3</v>
      </c>
      <c r="I39" t="s">
        <v>6077</v>
      </c>
    </row>
    <row r="40" spans="1:9" x14ac:dyDescent="0.25">
      <c r="A40" t="s">
        <v>6078</v>
      </c>
      <c r="C40" s="3" t="str">
        <f>HYPERLINK("http://amigo.geneontology.org/amigo/term/GO:0015108","GO:0015108")</f>
        <v>GO:0015108</v>
      </c>
      <c r="D40" t="s">
        <v>1520</v>
      </c>
      <c r="E40">
        <v>42</v>
      </c>
      <c r="F40">
        <v>5</v>
      </c>
      <c r="G40" s="4">
        <v>2.7400841003913501E-5</v>
      </c>
      <c r="H40">
        <v>4.2471303556065902E-3</v>
      </c>
      <c r="I40" t="s">
        <v>6066</v>
      </c>
    </row>
    <row r="41" spans="1:9" x14ac:dyDescent="0.25">
      <c r="A41" t="s">
        <v>5474</v>
      </c>
      <c r="C41" s="3" t="str">
        <f>HYPERLINK("http://amigo.geneontology.org/amigo/term/GO:0006633","GO:0006633")</f>
        <v>GO:0006633</v>
      </c>
      <c r="D41" t="s">
        <v>287</v>
      </c>
      <c r="E41">
        <v>444</v>
      </c>
      <c r="F41">
        <v>14</v>
      </c>
      <c r="G41" s="4">
        <v>3.1143083772740403E-5</v>
      </c>
      <c r="H41">
        <v>4.6714625659110597E-3</v>
      </c>
      <c r="I41" t="s">
        <v>6079</v>
      </c>
    </row>
    <row r="42" spans="1:9" x14ac:dyDescent="0.25">
      <c r="A42" t="s">
        <v>331</v>
      </c>
      <c r="C42" s="3" t="str">
        <f>HYPERLINK("http://amigo.geneontology.org/amigo/term/GO:0010411","GO:0010411")</f>
        <v>GO:0010411</v>
      </c>
      <c r="D42" t="s">
        <v>416</v>
      </c>
      <c r="E42">
        <v>147</v>
      </c>
      <c r="F42">
        <v>8</v>
      </c>
      <c r="G42" s="4">
        <v>3.8674351517234601E-5</v>
      </c>
      <c r="H42">
        <v>5.6077809699990201E-3</v>
      </c>
      <c r="I42" t="s">
        <v>6080</v>
      </c>
    </row>
    <row r="43" spans="1:9" x14ac:dyDescent="0.25">
      <c r="A43" t="s">
        <v>6081</v>
      </c>
      <c r="C43" s="3" t="str">
        <f>HYPERLINK("http://amigo.geneontology.org/amigo/term/GO:0051513","GO:0051513")</f>
        <v>GO:0051513</v>
      </c>
      <c r="D43" t="s">
        <v>6082</v>
      </c>
      <c r="E43">
        <v>9</v>
      </c>
      <c r="F43">
        <v>3</v>
      </c>
      <c r="G43" s="4">
        <v>4.8061507063225202E-5</v>
      </c>
      <c r="H43">
        <v>6.7766724959147599E-3</v>
      </c>
      <c r="I43" t="s">
        <v>6083</v>
      </c>
    </row>
    <row r="44" spans="1:9" x14ac:dyDescent="0.25">
      <c r="A44" t="s">
        <v>4206</v>
      </c>
      <c r="C44" s="3" t="str">
        <f>HYPERLINK("http://amigo.geneontology.org/amigo/term/GO:0030001","GO:0030001")</f>
        <v>GO:0030001</v>
      </c>
      <c r="D44" t="s">
        <v>326</v>
      </c>
      <c r="E44">
        <v>860</v>
      </c>
      <c r="F44">
        <v>20</v>
      </c>
      <c r="G44" s="4">
        <v>5.63124624655328E-5</v>
      </c>
      <c r="H44">
        <v>7.6584948953124597E-3</v>
      </c>
      <c r="I44" t="s">
        <v>6084</v>
      </c>
    </row>
    <row r="45" spans="1:9" x14ac:dyDescent="0.25">
      <c r="A45" t="s">
        <v>2286</v>
      </c>
      <c r="C45" s="3" t="str">
        <f>HYPERLINK("http://amigo.geneontology.org/amigo/term/GO:0004425","GO:0004425")</f>
        <v>GO:0004425</v>
      </c>
      <c r="D45" t="s">
        <v>946</v>
      </c>
      <c r="E45">
        <v>10</v>
      </c>
      <c r="F45">
        <v>3</v>
      </c>
      <c r="G45" s="4">
        <v>6.8228772440748502E-5</v>
      </c>
      <c r="H45">
        <v>9.0061979621788094E-3</v>
      </c>
      <c r="I45" t="s">
        <v>947</v>
      </c>
    </row>
    <row r="46" spans="1:9" x14ac:dyDescent="0.25">
      <c r="A46" t="s">
        <v>5872</v>
      </c>
      <c r="C46" s="3" t="str">
        <f>HYPERLINK("http://amigo.geneontology.org/amigo/term/GO:0016248","GO:0016248")</f>
        <v>GO:0016248</v>
      </c>
      <c r="D46" t="s">
        <v>5521</v>
      </c>
      <c r="E46">
        <v>2</v>
      </c>
      <c r="F46">
        <v>2</v>
      </c>
      <c r="G46" s="4">
        <v>7.0786948960085502E-5</v>
      </c>
      <c r="H46">
        <v>8.6360077731304306E-3</v>
      </c>
      <c r="I46" t="s">
        <v>5522</v>
      </c>
    </row>
    <row r="47" spans="1:9" x14ac:dyDescent="0.25">
      <c r="A47" t="s">
        <v>5873</v>
      </c>
      <c r="C47" s="3" t="str">
        <f>HYPERLINK("http://amigo.geneontology.org/amigo/term/GO:0099106","GO:0099106")</f>
        <v>GO:0099106</v>
      </c>
      <c r="D47" t="s">
        <v>5524</v>
      </c>
      <c r="E47">
        <v>2</v>
      </c>
      <c r="F47">
        <v>2</v>
      </c>
      <c r="G47" s="4">
        <v>7.0786948960085502E-5</v>
      </c>
      <c r="H47">
        <v>8.8483686200106892E-3</v>
      </c>
      <c r="I47" t="s">
        <v>5522</v>
      </c>
    </row>
    <row r="48" spans="1:9" x14ac:dyDescent="0.25">
      <c r="A48" t="s">
        <v>6085</v>
      </c>
      <c r="C48" s="3" t="str">
        <f>HYPERLINK("http://amigo.geneontology.org/amigo/term/GO:0008200","GO:0008200")</f>
        <v>GO:0008200</v>
      </c>
      <c r="D48" t="s">
        <v>5525</v>
      </c>
      <c r="E48">
        <v>2</v>
      </c>
      <c r="F48">
        <v>2</v>
      </c>
      <c r="G48" s="4">
        <v>7.0786948960085502E-5</v>
      </c>
      <c r="H48">
        <v>9.1315164158510299E-3</v>
      </c>
      <c r="I48" t="s">
        <v>5522</v>
      </c>
    </row>
    <row r="49" spans="1:9" x14ac:dyDescent="0.25">
      <c r="A49" t="s">
        <v>2293</v>
      </c>
      <c r="C49" s="3" t="str">
        <f>HYPERLINK("http://amigo.geneontology.org/amigo/term/GO:0016705","GO:0016705")</f>
        <v>GO:0016705</v>
      </c>
      <c r="D49" t="s">
        <v>4121</v>
      </c>
      <c r="E49">
        <v>2131</v>
      </c>
      <c r="F49">
        <v>36</v>
      </c>
      <c r="G49" s="4">
        <v>8.1312105306696994E-5</v>
      </c>
      <c r="H49">
        <v>9.5948284261902494E-3</v>
      </c>
      <c r="I49" t="s">
        <v>6086</v>
      </c>
    </row>
    <row r="50" spans="1:9" x14ac:dyDescent="0.25">
      <c r="A50" t="s">
        <v>2294</v>
      </c>
      <c r="C50" s="3" t="str">
        <f>HYPERLINK("http://amigo.geneontology.org/amigo/term/GO:0022832","GO:0022832")</f>
        <v>GO:0022832</v>
      </c>
      <c r="D50" t="s">
        <v>373</v>
      </c>
      <c r="E50">
        <v>124</v>
      </c>
      <c r="F50">
        <v>7</v>
      </c>
      <c r="G50" s="4">
        <v>9.3438418307351698E-5</v>
      </c>
      <c r="H50">
        <v>1.04651028504233E-2</v>
      </c>
      <c r="I50" t="s">
        <v>6087</v>
      </c>
    </row>
    <row r="51" spans="1:9" x14ac:dyDescent="0.25">
      <c r="A51" t="s">
        <v>4213</v>
      </c>
      <c r="C51" s="3" t="str">
        <f>HYPERLINK("http://amigo.geneontology.org/amigo/term/GO:0005244","GO:0005244")</f>
        <v>GO:0005244</v>
      </c>
      <c r="D51" t="s">
        <v>376</v>
      </c>
      <c r="E51">
        <v>124</v>
      </c>
      <c r="F51">
        <v>7</v>
      </c>
      <c r="G51" s="4">
        <v>9.3438418307351698E-5</v>
      </c>
      <c r="H51">
        <v>1.07454181053454E-2</v>
      </c>
      <c r="I51" t="s">
        <v>6087</v>
      </c>
    </row>
    <row r="52" spans="1:9" x14ac:dyDescent="0.25">
      <c r="A52" t="s">
        <v>2297</v>
      </c>
      <c r="C52" s="3" t="str">
        <f>HYPERLINK("http://amigo.geneontology.org/amigo/term/GO:0048638","GO:0048638")</f>
        <v>GO:0048638</v>
      </c>
      <c r="D52" t="s">
        <v>6088</v>
      </c>
      <c r="E52">
        <v>135</v>
      </c>
      <c r="F52">
        <v>7</v>
      </c>
      <c r="G52" s="4">
        <v>1.5872892957885E-4</v>
      </c>
      <c r="H52">
        <v>1.74601822536735E-2</v>
      </c>
      <c r="I52" t="s">
        <v>6089</v>
      </c>
    </row>
    <row r="53" spans="1:9" x14ac:dyDescent="0.25">
      <c r="A53" t="s">
        <v>5073</v>
      </c>
      <c r="C53" s="3" t="str">
        <f>HYPERLINK("http://amigo.geneontology.org/amigo/term/GO:0009955","GO:0009955")</f>
        <v>GO:0009955</v>
      </c>
      <c r="D53" t="s">
        <v>6090</v>
      </c>
      <c r="E53">
        <v>33</v>
      </c>
      <c r="F53">
        <v>4</v>
      </c>
      <c r="G53" s="4">
        <v>1.67844036087384E-4</v>
      </c>
      <c r="H53">
        <v>1.7623623789175299E-2</v>
      </c>
      <c r="I53" t="s">
        <v>6091</v>
      </c>
    </row>
    <row r="54" spans="1:9" x14ac:dyDescent="0.25">
      <c r="A54" t="s">
        <v>6092</v>
      </c>
      <c r="C54" s="3" t="str">
        <f>HYPERLINK("http://amigo.geneontology.org/amigo/term/GO:0045300","GO:0045300")</f>
        <v>GO:0045300</v>
      </c>
      <c r="D54" t="s">
        <v>549</v>
      </c>
      <c r="E54">
        <v>33</v>
      </c>
      <c r="F54">
        <v>4</v>
      </c>
      <c r="G54" s="4">
        <v>1.67844036087384E-4</v>
      </c>
      <c r="H54">
        <v>1.795931186135E-2</v>
      </c>
      <c r="I54" t="s">
        <v>6093</v>
      </c>
    </row>
    <row r="55" spans="1:9" x14ac:dyDescent="0.25">
      <c r="A55" t="s">
        <v>2311</v>
      </c>
      <c r="C55" s="3" t="str">
        <f>HYPERLINK("http://amigo.geneontology.org/amigo/term/GO:0008610","GO:0008610")</f>
        <v>GO:0008610</v>
      </c>
      <c r="D55" t="s">
        <v>564</v>
      </c>
      <c r="E55">
        <v>1402</v>
      </c>
      <c r="F55">
        <v>26</v>
      </c>
      <c r="G55" s="4">
        <v>1.9219159684352201E-4</v>
      </c>
      <c r="H55">
        <v>1.9603542878039198E-2</v>
      </c>
      <c r="I55" t="s">
        <v>6094</v>
      </c>
    </row>
    <row r="56" spans="1:9" x14ac:dyDescent="0.25">
      <c r="A56" t="s">
        <v>6095</v>
      </c>
      <c r="C56" s="3" t="str">
        <f>HYPERLINK("http://amigo.geneontology.org/amigo/term/GO:0016717","GO:0016717")</f>
        <v>GO:0016717</v>
      </c>
      <c r="D56" t="s">
        <v>475</v>
      </c>
      <c r="E56">
        <v>64</v>
      </c>
      <c r="F56">
        <v>5</v>
      </c>
      <c r="G56" s="4">
        <v>2.1090158461273899E-4</v>
      </c>
      <c r="H56">
        <v>2.1090158461273899E-2</v>
      </c>
      <c r="I56" t="s">
        <v>6096</v>
      </c>
    </row>
    <row r="57" spans="1:9" x14ac:dyDescent="0.25">
      <c r="A57" t="s">
        <v>6097</v>
      </c>
      <c r="C57" s="3" t="str">
        <f>HYPERLINK("http://amigo.geneontology.org/amigo/term/GO:0004126","GO:0004126")</f>
        <v>GO:0004126</v>
      </c>
      <c r="D57" t="s">
        <v>5546</v>
      </c>
      <c r="E57">
        <v>3</v>
      </c>
      <c r="F57">
        <v>2</v>
      </c>
      <c r="G57" s="4">
        <v>2.1117244680155699E-4</v>
      </c>
      <c r="H57">
        <v>1.8583175318536999E-2</v>
      </c>
      <c r="I57" t="s">
        <v>5547</v>
      </c>
    </row>
    <row r="58" spans="1:9" x14ac:dyDescent="0.25">
      <c r="A58" t="s">
        <v>5488</v>
      </c>
      <c r="C58" s="3" t="str">
        <f>HYPERLINK("http://amigo.geneontology.org/amigo/term/GO:0046087","GO:0046087")</f>
        <v>GO:0046087</v>
      </c>
      <c r="D58" t="s">
        <v>5548</v>
      </c>
      <c r="E58">
        <v>3</v>
      </c>
      <c r="F58">
        <v>2</v>
      </c>
      <c r="G58" s="4">
        <v>2.1117244680155699E-4</v>
      </c>
      <c r="H58">
        <v>1.9005520212140099E-2</v>
      </c>
      <c r="I58" t="s">
        <v>5547</v>
      </c>
    </row>
    <row r="59" spans="1:9" x14ac:dyDescent="0.25">
      <c r="A59" t="s">
        <v>6098</v>
      </c>
      <c r="C59" s="3" t="str">
        <f>HYPERLINK("http://amigo.geneontology.org/amigo/term/GO:0046135","GO:0046135")</f>
        <v>GO:0046135</v>
      </c>
      <c r="D59" t="s">
        <v>5549</v>
      </c>
      <c r="E59">
        <v>3</v>
      </c>
      <c r="F59">
        <v>2</v>
      </c>
      <c r="G59" s="4">
        <v>2.1117244680155699E-4</v>
      </c>
      <c r="H59">
        <v>1.9427865105743201E-2</v>
      </c>
      <c r="I59" t="s">
        <v>5547</v>
      </c>
    </row>
    <row r="60" spans="1:9" x14ac:dyDescent="0.25">
      <c r="A60" t="s">
        <v>82</v>
      </c>
      <c r="C60" s="3" t="str">
        <f>HYPERLINK("http://amigo.geneontology.org/amigo/term/GO:0046133","GO:0046133")</f>
        <v>GO:0046133</v>
      </c>
      <c r="D60" t="s">
        <v>5550</v>
      </c>
      <c r="E60">
        <v>3</v>
      </c>
      <c r="F60">
        <v>2</v>
      </c>
      <c r="G60" s="4">
        <v>2.1117244680155699E-4</v>
      </c>
      <c r="H60">
        <v>1.9850209999346301E-2</v>
      </c>
      <c r="I60" t="s">
        <v>5547</v>
      </c>
    </row>
    <row r="61" spans="1:9" x14ac:dyDescent="0.25">
      <c r="A61" t="s">
        <v>5079</v>
      </c>
      <c r="C61" s="3" t="str">
        <f>HYPERLINK("http://amigo.geneontology.org/amigo/term/GO:0006216","GO:0006216")</f>
        <v>GO:0006216</v>
      </c>
      <c r="D61" t="s">
        <v>5551</v>
      </c>
      <c r="E61">
        <v>3</v>
      </c>
      <c r="F61">
        <v>2</v>
      </c>
      <c r="G61" s="4">
        <v>2.1117244680155699E-4</v>
      </c>
      <c r="H61">
        <v>2.02725548929494E-2</v>
      </c>
      <c r="I61" t="s">
        <v>5547</v>
      </c>
    </row>
    <row r="62" spans="1:9" x14ac:dyDescent="0.25">
      <c r="A62" t="s">
        <v>5879</v>
      </c>
      <c r="C62" s="3" t="str">
        <f>HYPERLINK("http://amigo.geneontology.org/amigo/term/GO:0009972","GO:0009972")</f>
        <v>GO:0009972</v>
      </c>
      <c r="D62" t="s">
        <v>5552</v>
      </c>
      <c r="E62">
        <v>3</v>
      </c>
      <c r="F62">
        <v>2</v>
      </c>
      <c r="G62" s="4">
        <v>2.1117244680155699E-4</v>
      </c>
      <c r="H62">
        <v>2.06948997865526E-2</v>
      </c>
      <c r="I62" t="s">
        <v>5547</v>
      </c>
    </row>
    <row r="63" spans="1:9" x14ac:dyDescent="0.25">
      <c r="A63" t="s">
        <v>6099</v>
      </c>
      <c r="C63" s="3" t="str">
        <f>HYPERLINK("http://amigo.geneontology.org/amigo/term/GO:0016836","GO:0016836")</f>
        <v>GO:0016836</v>
      </c>
      <c r="D63" t="s">
        <v>6100</v>
      </c>
      <c r="E63">
        <v>189</v>
      </c>
      <c r="F63">
        <v>8</v>
      </c>
      <c r="G63" s="4">
        <v>2.2190488049825301E-4</v>
      </c>
      <c r="H63">
        <v>1.9083819722849699E-2</v>
      </c>
      <c r="I63" t="s">
        <v>6101</v>
      </c>
    </row>
    <row r="64" spans="1:9" x14ac:dyDescent="0.25">
      <c r="A64" t="s">
        <v>6102</v>
      </c>
      <c r="C64" s="3" t="str">
        <f>HYPERLINK("http://amigo.geneontology.org/amigo/term/GO:0006814","GO:0006814")</f>
        <v>GO:0006814</v>
      </c>
      <c r="D64" t="s">
        <v>811</v>
      </c>
      <c r="E64">
        <v>66</v>
      </c>
      <c r="F64">
        <v>5</v>
      </c>
      <c r="G64" s="4">
        <v>2.43814002357081E-4</v>
      </c>
      <c r="H64">
        <v>2.0724190200351902E-2</v>
      </c>
      <c r="I64" t="s">
        <v>6103</v>
      </c>
    </row>
    <row r="65" spans="1:9" x14ac:dyDescent="0.25">
      <c r="A65" t="s">
        <v>5881</v>
      </c>
      <c r="C65" s="3" t="str">
        <f>HYPERLINK("http://amigo.geneontology.org/amigo/term/GO:0090116","GO:0090116")</f>
        <v>GO:0090116</v>
      </c>
      <c r="D65" t="s">
        <v>6104</v>
      </c>
      <c r="E65">
        <v>15</v>
      </c>
      <c r="F65">
        <v>3</v>
      </c>
      <c r="G65" s="4">
        <v>2.50700908926068E-4</v>
      </c>
      <c r="H65">
        <v>2.0808175440863701E-2</v>
      </c>
      <c r="I65" t="s">
        <v>6105</v>
      </c>
    </row>
    <row r="66" spans="1:9" x14ac:dyDescent="0.25">
      <c r="A66" t="s">
        <v>6106</v>
      </c>
      <c r="C66" s="3" t="str">
        <f>HYPERLINK("http://amigo.geneontology.org/amigo/term/GO:0072330","GO:0072330")</f>
        <v>GO:0072330</v>
      </c>
      <c r="D66" t="s">
        <v>302</v>
      </c>
      <c r="E66">
        <v>897</v>
      </c>
      <c r="F66">
        <v>19</v>
      </c>
      <c r="G66" s="4">
        <v>2.7811271136975098E-4</v>
      </c>
      <c r="H66">
        <v>2.2805242332319599E-2</v>
      </c>
      <c r="I66" t="s">
        <v>6107</v>
      </c>
    </row>
    <row r="67" spans="1:9" x14ac:dyDescent="0.25">
      <c r="A67" t="s">
        <v>2152</v>
      </c>
      <c r="C67" s="3" t="str">
        <f>HYPERLINK("http://amigo.geneontology.org/amigo/term/GO:0005253","GO:0005253")</f>
        <v>GO:0005253</v>
      </c>
      <c r="D67" t="s">
        <v>5532</v>
      </c>
      <c r="E67">
        <v>69</v>
      </c>
      <c r="F67">
        <v>5</v>
      </c>
      <c r="G67" s="4">
        <v>3.0032249716557997E-4</v>
      </c>
      <c r="H67">
        <v>2.3725477276080799E-2</v>
      </c>
      <c r="I67" t="s">
        <v>6066</v>
      </c>
    </row>
    <row r="68" spans="1:9" x14ac:dyDescent="0.25">
      <c r="A68" t="s">
        <v>6108</v>
      </c>
      <c r="C68" s="3" t="str">
        <f>HYPERLINK("http://amigo.geneontology.org/amigo/term/GO:0008308","GO:0008308")</f>
        <v>GO:0008308</v>
      </c>
      <c r="D68" t="s">
        <v>5533</v>
      </c>
      <c r="E68">
        <v>69</v>
      </c>
      <c r="F68">
        <v>5</v>
      </c>
      <c r="G68" s="4">
        <v>3.0032249716557997E-4</v>
      </c>
      <c r="H68">
        <v>2.4025799773246401E-2</v>
      </c>
      <c r="I68" t="s">
        <v>6066</v>
      </c>
    </row>
    <row r="69" spans="1:9" x14ac:dyDescent="0.25">
      <c r="A69" t="s">
        <v>5494</v>
      </c>
      <c r="C69" s="3" t="str">
        <f>HYPERLINK("http://amigo.geneontology.org/amigo/term/GO:0003886","GO:0003886")</f>
        <v>GO:0003886</v>
      </c>
      <c r="D69" t="s">
        <v>6109</v>
      </c>
      <c r="E69">
        <v>16</v>
      </c>
      <c r="F69">
        <v>3</v>
      </c>
      <c r="G69" s="4">
        <v>3.06625040088249E-4</v>
      </c>
      <c r="H69">
        <v>2.3610128086795201E-2</v>
      </c>
      <c r="I69" t="s">
        <v>6105</v>
      </c>
    </row>
    <row r="70" spans="1:9" x14ac:dyDescent="0.25">
      <c r="A70" t="s">
        <v>5084</v>
      </c>
      <c r="C70" s="3" t="str">
        <f>HYPERLINK("http://amigo.geneontology.org/amigo/term/GO:0016829","GO:0016829")</f>
        <v>GO:0016829</v>
      </c>
      <c r="D70" t="s">
        <v>523</v>
      </c>
      <c r="E70">
        <v>984</v>
      </c>
      <c r="F70">
        <v>20</v>
      </c>
      <c r="G70" s="4">
        <v>3.2924611980291899E-4</v>
      </c>
      <c r="H70">
        <v>2.50227051050218E-2</v>
      </c>
      <c r="I70" t="s">
        <v>6110</v>
      </c>
    </row>
    <row r="71" spans="1:9" x14ac:dyDescent="0.25">
      <c r="A71" t="s">
        <v>6111</v>
      </c>
      <c r="C71" s="3" t="str">
        <f>HYPERLINK("http://amigo.geneontology.org/amigo/term/GO:0040008","GO:0040008")</f>
        <v>GO:0040008</v>
      </c>
      <c r="D71" t="s">
        <v>6112</v>
      </c>
      <c r="E71">
        <v>154</v>
      </c>
      <c r="F71">
        <v>7</v>
      </c>
      <c r="G71" s="4">
        <v>3.5494442674211598E-4</v>
      </c>
      <c r="H71">
        <v>2.66208320056587E-2</v>
      </c>
      <c r="I71" t="s">
        <v>6089</v>
      </c>
    </row>
    <row r="72" spans="1:9" x14ac:dyDescent="0.25">
      <c r="A72" t="s">
        <v>6113</v>
      </c>
      <c r="C72" s="3" t="str">
        <f>HYPERLINK("http://amigo.geneontology.org/amigo/term/GO:0009008","GO:0009008")</f>
        <v>GO:0009008</v>
      </c>
      <c r="D72" t="s">
        <v>6114</v>
      </c>
      <c r="E72">
        <v>17</v>
      </c>
      <c r="F72">
        <v>3</v>
      </c>
      <c r="G72" s="4">
        <v>3.7000256354671198E-4</v>
      </c>
      <c r="H72">
        <v>2.6640184575363199E-2</v>
      </c>
      <c r="I72" t="s">
        <v>6105</v>
      </c>
    </row>
    <row r="73" spans="1:9" x14ac:dyDescent="0.25">
      <c r="A73" t="s">
        <v>5498</v>
      </c>
      <c r="C73" s="3" t="str">
        <f>HYPERLINK("http://amigo.geneontology.org/amigo/term/GO:0032776","GO:0032776")</f>
        <v>GO:0032776</v>
      </c>
      <c r="D73" t="s">
        <v>6115</v>
      </c>
      <c r="E73">
        <v>17</v>
      </c>
      <c r="F73">
        <v>3</v>
      </c>
      <c r="G73" s="4">
        <v>3.7000256354671198E-4</v>
      </c>
      <c r="H73">
        <v>2.73801897024567E-2</v>
      </c>
      <c r="I73" t="s">
        <v>6105</v>
      </c>
    </row>
    <row r="74" spans="1:9" x14ac:dyDescent="0.25">
      <c r="A74" t="s">
        <v>6116</v>
      </c>
      <c r="C74" s="3" t="str">
        <f>HYPERLINK("http://amigo.geneontology.org/amigo/term/GO:0051510","GO:0051510")</f>
        <v>GO:0051510</v>
      </c>
      <c r="D74" t="s">
        <v>6117</v>
      </c>
      <c r="E74">
        <v>43</v>
      </c>
      <c r="F74">
        <v>4</v>
      </c>
      <c r="G74" s="4">
        <v>4.7360842635007198E-4</v>
      </c>
      <c r="H74">
        <v>3.3626198270855098E-2</v>
      </c>
      <c r="I74" t="s">
        <v>6118</v>
      </c>
    </row>
    <row r="75" spans="1:9" x14ac:dyDescent="0.25">
      <c r="A75" t="s">
        <v>5500</v>
      </c>
      <c r="C75" s="3" t="str">
        <f>HYPERLINK("http://amigo.geneontology.org/amigo/term/GO:0010410","GO:0010410")</f>
        <v>GO:0010410</v>
      </c>
      <c r="D75" t="s">
        <v>624</v>
      </c>
      <c r="E75">
        <v>267</v>
      </c>
      <c r="F75">
        <v>9</v>
      </c>
      <c r="G75" s="4">
        <v>4.9061999555251898E-4</v>
      </c>
      <c r="H75">
        <v>3.43433996886763E-2</v>
      </c>
      <c r="I75" t="s">
        <v>6119</v>
      </c>
    </row>
    <row r="76" spans="1:9" x14ac:dyDescent="0.25">
      <c r="A76" t="s">
        <v>6120</v>
      </c>
      <c r="C76" s="3" t="str">
        <f>HYPERLINK("http://amigo.geneontology.org/amigo/term/GO:0010112","GO:0010112")</f>
        <v>GO:0010112</v>
      </c>
      <c r="D76" t="s">
        <v>6121</v>
      </c>
      <c r="E76">
        <v>19</v>
      </c>
      <c r="F76">
        <v>3</v>
      </c>
      <c r="G76" s="4">
        <v>5.2068553611143303E-4</v>
      </c>
      <c r="H76">
        <v>3.4365245383354497E-2</v>
      </c>
      <c r="I76" t="s">
        <v>6122</v>
      </c>
    </row>
    <row r="77" spans="1:9" x14ac:dyDescent="0.25">
      <c r="A77" t="s">
        <v>86</v>
      </c>
      <c r="C77" s="3" t="str">
        <f>HYPERLINK("http://amigo.geneontology.org/amigo/term/GO:0019566","GO:0019566")</f>
        <v>GO:0019566</v>
      </c>
      <c r="D77" t="s">
        <v>1278</v>
      </c>
      <c r="E77">
        <v>19</v>
      </c>
      <c r="F77">
        <v>3</v>
      </c>
      <c r="G77" s="4">
        <v>5.2068553611143303E-4</v>
      </c>
      <c r="H77">
        <v>3.4885930919465999E-2</v>
      </c>
      <c r="I77" t="s">
        <v>6123</v>
      </c>
    </row>
    <row r="78" spans="1:9" x14ac:dyDescent="0.25">
      <c r="A78" t="s">
        <v>4283</v>
      </c>
      <c r="C78" s="3" t="str">
        <f>HYPERLINK("http://amigo.geneontology.org/amigo/term/GO:0046373","GO:0046373")</f>
        <v>GO:0046373</v>
      </c>
      <c r="D78" t="s">
        <v>1281</v>
      </c>
      <c r="E78">
        <v>19</v>
      </c>
      <c r="F78">
        <v>3</v>
      </c>
      <c r="G78" s="4">
        <v>5.2068553611143303E-4</v>
      </c>
      <c r="H78">
        <v>3.5406616455577397E-2</v>
      </c>
      <c r="I78" t="s">
        <v>6123</v>
      </c>
    </row>
    <row r="79" spans="1:9" x14ac:dyDescent="0.25">
      <c r="A79" t="s">
        <v>6124</v>
      </c>
      <c r="C79" s="3" t="str">
        <f>HYPERLINK("http://amigo.geneontology.org/amigo/term/GO:0046556","GO:0046556")</f>
        <v>GO:0046556</v>
      </c>
      <c r="D79" t="s">
        <v>1283</v>
      </c>
      <c r="E79">
        <v>19</v>
      </c>
      <c r="F79">
        <v>3</v>
      </c>
      <c r="G79" s="4">
        <v>5.2068553611143303E-4</v>
      </c>
      <c r="H79">
        <v>3.5927301991688802E-2</v>
      </c>
      <c r="I79" t="s">
        <v>6123</v>
      </c>
    </row>
    <row r="80" spans="1:9" x14ac:dyDescent="0.25">
      <c r="A80" t="s">
        <v>6125</v>
      </c>
      <c r="C80" s="3" t="str">
        <f>HYPERLINK("http://amigo.geneontology.org/amigo/term/GO:0044036","GO:0044036")</f>
        <v>GO:0044036</v>
      </c>
      <c r="D80" t="s">
        <v>828</v>
      </c>
      <c r="E80">
        <v>388</v>
      </c>
      <c r="F80">
        <v>11</v>
      </c>
      <c r="G80" s="4">
        <v>5.2481880077309695E-4</v>
      </c>
      <c r="H80">
        <v>3.4113222050251302E-2</v>
      </c>
      <c r="I80" t="s">
        <v>6126</v>
      </c>
    </row>
    <row r="81" spans="1:9" x14ac:dyDescent="0.25">
      <c r="A81" t="s">
        <v>6127</v>
      </c>
      <c r="C81" s="3" t="str">
        <f>HYPERLINK("http://amigo.geneontology.org/amigo/term/GO:0010383","GO:0010383")</f>
        <v>GO:0010383</v>
      </c>
      <c r="D81" t="s">
        <v>638</v>
      </c>
      <c r="E81">
        <v>272</v>
      </c>
      <c r="F81">
        <v>9</v>
      </c>
      <c r="G81" s="4">
        <v>5.6027639122733196E-4</v>
      </c>
      <c r="H81">
        <v>3.5857689038549197E-2</v>
      </c>
      <c r="I81" t="s">
        <v>6119</v>
      </c>
    </row>
    <row r="82" spans="1:9" x14ac:dyDescent="0.25">
      <c r="A82" t="s">
        <v>2372</v>
      </c>
      <c r="C82" s="3" t="str">
        <f>HYPERLINK("http://amigo.geneontology.org/amigo/term/GO:0042546","GO:0042546")</f>
        <v>GO:0042546</v>
      </c>
      <c r="D82" t="s">
        <v>648</v>
      </c>
      <c r="E82">
        <v>399</v>
      </c>
      <c r="F82">
        <v>11</v>
      </c>
      <c r="G82" s="4">
        <v>6.60170257862741E-4</v>
      </c>
      <c r="H82">
        <v>4.1590726245352698E-2</v>
      </c>
      <c r="I82" t="s">
        <v>6128</v>
      </c>
    </row>
    <row r="83" spans="1:9" x14ac:dyDescent="0.25">
      <c r="A83" t="s">
        <v>2376</v>
      </c>
      <c r="C83" s="3" t="str">
        <f>HYPERLINK("http://amigo.geneontology.org/amigo/term/GO:0016247","GO:0016247")</f>
        <v>GO:0016247</v>
      </c>
      <c r="D83" t="s">
        <v>5572</v>
      </c>
      <c r="E83">
        <v>5</v>
      </c>
      <c r="F83">
        <v>2</v>
      </c>
      <c r="G83" s="4">
        <v>6.9606002508523096E-4</v>
      </c>
      <c r="H83">
        <v>4.3155721555284299E-2</v>
      </c>
      <c r="I83" t="s">
        <v>5522</v>
      </c>
    </row>
    <row r="84" spans="1:9" x14ac:dyDescent="0.25">
      <c r="A84" t="s">
        <v>6129</v>
      </c>
      <c r="C84" s="3" t="str">
        <f>HYPERLINK("http://amigo.geneontology.org/amigo/term/GO:0001558","GO:0001558")</f>
        <v>GO:0001558</v>
      </c>
      <c r="D84" t="s">
        <v>6130</v>
      </c>
      <c r="E84">
        <v>49</v>
      </c>
      <c r="F84">
        <v>4</v>
      </c>
      <c r="G84" s="4">
        <v>7.8135831448123999E-4</v>
      </c>
      <c r="H84">
        <v>4.7662857183355598E-2</v>
      </c>
      <c r="I84" t="s">
        <v>6118</v>
      </c>
    </row>
    <row r="85" spans="1:9" x14ac:dyDescent="0.25">
      <c r="A85" t="s">
        <v>4305</v>
      </c>
      <c r="C85" s="3" t="str">
        <f>HYPERLINK("http://amigo.geneontology.org/amigo/term/GO:0022604","GO:0022604")</f>
        <v>GO:0022604</v>
      </c>
      <c r="D85" t="s">
        <v>6131</v>
      </c>
      <c r="E85">
        <v>51</v>
      </c>
      <c r="F85">
        <v>4</v>
      </c>
      <c r="G85" s="4">
        <v>9.0944117670627796E-4</v>
      </c>
      <c r="H85">
        <v>5.5475911779083002E-2</v>
      </c>
      <c r="I85" t="s">
        <v>6118</v>
      </c>
    </row>
    <row r="86" spans="1:9" x14ac:dyDescent="0.25">
      <c r="A86" t="s">
        <v>4307</v>
      </c>
      <c r="C86" s="3" t="str">
        <f>HYPERLINK("http://amigo.geneontology.org/amigo/term/GO:0020037","GO:0020037")</f>
        <v>GO:0020037</v>
      </c>
      <c r="D86" t="s">
        <v>1181</v>
      </c>
      <c r="E86">
        <v>2527</v>
      </c>
      <c r="F86">
        <v>37</v>
      </c>
      <c r="G86" s="4">
        <v>9.6899818081231097E-4</v>
      </c>
      <c r="H86">
        <v>5.8139890848738697E-2</v>
      </c>
      <c r="I86" t="s">
        <v>6132</v>
      </c>
    </row>
    <row r="87" spans="1:9" x14ac:dyDescent="0.25">
      <c r="A87" t="s">
        <v>6133</v>
      </c>
      <c r="C87" s="3" t="str">
        <f>HYPERLINK("http://amigo.geneontology.org/amigo/term/GO:0048046","GO:0048046")</f>
        <v>GO:0048046</v>
      </c>
      <c r="D87" t="s">
        <v>413</v>
      </c>
      <c r="E87">
        <v>357</v>
      </c>
      <c r="F87">
        <v>10</v>
      </c>
      <c r="G87">
        <v>1.01515607446946E-3</v>
      </c>
      <c r="H87">
        <v>5.9894208393698599E-2</v>
      </c>
      <c r="I87" t="s">
        <v>6134</v>
      </c>
    </row>
    <row r="88" spans="1:9" x14ac:dyDescent="0.25">
      <c r="A88" t="s">
        <v>2382</v>
      </c>
      <c r="C88" s="3" t="str">
        <f>HYPERLINK("http://amigo.geneontology.org/amigo/term/GO:0009308","GO:0009308")</f>
        <v>GO:0009308</v>
      </c>
      <c r="D88" t="s">
        <v>5537</v>
      </c>
      <c r="E88">
        <v>298</v>
      </c>
      <c r="F88">
        <v>9</v>
      </c>
      <c r="G88">
        <v>1.06529489672657E-3</v>
      </c>
      <c r="H88">
        <v>6.1787104010141397E-2</v>
      </c>
      <c r="I88" t="s">
        <v>6135</v>
      </c>
    </row>
    <row r="89" spans="1:9" x14ac:dyDescent="0.25">
      <c r="A89" t="s">
        <v>5510</v>
      </c>
      <c r="C89" s="3" t="str">
        <f>HYPERLINK("http://amigo.geneontology.org/amigo/term/GO:0043565","GO:0043565")</f>
        <v>GO:0043565</v>
      </c>
      <c r="D89" t="s">
        <v>5129</v>
      </c>
      <c r="E89">
        <v>1091</v>
      </c>
      <c r="F89">
        <v>20</v>
      </c>
      <c r="G89">
        <v>1.1618729259393801E-3</v>
      </c>
      <c r="H89">
        <v>6.6226756778545101E-2</v>
      </c>
      <c r="I89" t="s">
        <v>6136</v>
      </c>
    </row>
    <row r="90" spans="1:9" x14ac:dyDescent="0.25">
      <c r="A90" t="s">
        <v>6137</v>
      </c>
      <c r="C90" s="3" t="str">
        <f>HYPERLINK("http://amigo.geneontology.org/amigo/term/GO:0044070","GO:0044070")</f>
        <v>GO:0044070</v>
      </c>
      <c r="D90" t="s">
        <v>5568</v>
      </c>
      <c r="E90">
        <v>55</v>
      </c>
      <c r="F90">
        <v>4</v>
      </c>
      <c r="G90">
        <v>1.2087117268978599E-3</v>
      </c>
      <c r="H90">
        <v>6.8896568433177999E-2</v>
      </c>
      <c r="I90" t="s">
        <v>6138</v>
      </c>
    </row>
    <row r="91" spans="1:9" x14ac:dyDescent="0.25">
      <c r="A91" t="s">
        <v>5088</v>
      </c>
      <c r="C91" s="3" t="str">
        <f>HYPERLINK("http://amigo.geneontology.org/amigo/term/GO:0006586","GO:0006586")</f>
        <v>GO:0006586</v>
      </c>
      <c r="D91" t="s">
        <v>6139</v>
      </c>
      <c r="E91">
        <v>95</v>
      </c>
      <c r="F91">
        <v>5</v>
      </c>
      <c r="G91">
        <v>1.2947267001339701E-3</v>
      </c>
      <c r="H91">
        <v>7.1209968507368396E-2</v>
      </c>
      <c r="I91" t="s">
        <v>6140</v>
      </c>
    </row>
    <row r="92" spans="1:9" x14ac:dyDescent="0.25">
      <c r="A92" t="s">
        <v>6141</v>
      </c>
      <c r="C92" s="3" t="str">
        <f>HYPERLINK("http://amigo.geneontology.org/amigo/term/GO:0006568","GO:0006568")</f>
        <v>GO:0006568</v>
      </c>
      <c r="D92" t="s">
        <v>6142</v>
      </c>
      <c r="E92">
        <v>95</v>
      </c>
      <c r="F92">
        <v>5</v>
      </c>
      <c r="G92">
        <v>1.2947267001339701E-3</v>
      </c>
      <c r="H92">
        <v>7.2504695207502398E-2</v>
      </c>
      <c r="I92" t="s">
        <v>6140</v>
      </c>
    </row>
    <row r="93" spans="1:9" x14ac:dyDescent="0.25">
      <c r="A93" t="s">
        <v>6143</v>
      </c>
      <c r="C93" s="3" t="str">
        <f>HYPERLINK("http://amigo.geneontology.org/amigo/term/GO:0004144","GO:0004144")</f>
        <v>GO:0004144</v>
      </c>
      <c r="D93" t="s">
        <v>748</v>
      </c>
      <c r="E93">
        <v>57</v>
      </c>
      <c r="F93">
        <v>4</v>
      </c>
      <c r="G93">
        <v>1.3815178400945101E-3</v>
      </c>
      <c r="H93">
        <v>7.5983481205198405E-2</v>
      </c>
      <c r="I93" t="s">
        <v>6144</v>
      </c>
    </row>
    <row r="94" spans="1:9" x14ac:dyDescent="0.25">
      <c r="A94" t="s">
        <v>2393</v>
      </c>
      <c r="C94" s="3" t="str">
        <f>HYPERLINK("http://amigo.geneontology.org/amigo/term/GO:0003713","GO:0003713")</f>
        <v>GO:0003713</v>
      </c>
      <c r="D94" t="s">
        <v>6145</v>
      </c>
      <c r="E94">
        <v>27</v>
      </c>
      <c r="F94">
        <v>3</v>
      </c>
      <c r="G94">
        <v>1.49502212707507E-3</v>
      </c>
      <c r="H94">
        <v>8.0731194862054101E-2</v>
      </c>
      <c r="I94" t="s">
        <v>6146</v>
      </c>
    </row>
    <row r="95" spans="1:9" x14ac:dyDescent="0.25">
      <c r="A95" t="s">
        <v>6147</v>
      </c>
      <c r="C95" s="3" t="str">
        <f>HYPERLINK("http://amigo.geneontology.org/amigo/term/GO:0032787","GO:0032787")</f>
        <v>GO:0032787</v>
      </c>
      <c r="D95" t="s">
        <v>532</v>
      </c>
      <c r="E95">
        <v>1450</v>
      </c>
      <c r="F95">
        <v>24</v>
      </c>
      <c r="G95">
        <v>1.5697545801886699E-3</v>
      </c>
      <c r="H95">
        <v>8.3196992750000004E-2</v>
      </c>
      <c r="I95" t="s">
        <v>6148</v>
      </c>
    </row>
    <row r="96" spans="1:9" x14ac:dyDescent="0.25">
      <c r="A96" t="s">
        <v>2396</v>
      </c>
      <c r="C96" s="3" t="str">
        <f>HYPERLINK("http://amigo.geneontology.org/amigo/term/GO:0006820","GO:0006820")</f>
        <v>GO:0006820</v>
      </c>
      <c r="D96" t="s">
        <v>5482</v>
      </c>
      <c r="E96">
        <v>514</v>
      </c>
      <c r="F96">
        <v>12</v>
      </c>
      <c r="G96">
        <v>1.5952345048557499E-3</v>
      </c>
      <c r="H96">
        <v>8.4547428757354895E-2</v>
      </c>
      <c r="I96" t="s">
        <v>6149</v>
      </c>
    </row>
    <row r="97" spans="1:9" x14ac:dyDescent="0.25">
      <c r="A97" t="s">
        <v>501</v>
      </c>
      <c r="C97" s="3" t="str">
        <f>HYPERLINK("http://amigo.geneontology.org/amigo/term/GO:0046527","GO:0046527")</f>
        <v>GO:0046527</v>
      </c>
      <c r="D97" t="s">
        <v>234</v>
      </c>
      <c r="E97">
        <v>380</v>
      </c>
      <c r="F97">
        <v>10</v>
      </c>
      <c r="G97">
        <v>1.6116813516955199E-3</v>
      </c>
      <c r="H97">
        <v>8.3807430288167006E-2</v>
      </c>
      <c r="I97" t="s">
        <v>6150</v>
      </c>
    </row>
    <row r="98" spans="1:9" x14ac:dyDescent="0.25">
      <c r="A98" t="s">
        <v>6151</v>
      </c>
      <c r="C98" s="3" t="str">
        <f>HYPERLINK("http://amigo.geneontology.org/amigo/term/GO:0046906","GO:0046906")</f>
        <v>GO:0046906</v>
      </c>
      <c r="D98" t="s">
        <v>1085</v>
      </c>
      <c r="E98">
        <v>2625</v>
      </c>
      <c r="F98">
        <v>37</v>
      </c>
      <c r="G98">
        <v>1.8622250697868401E-3</v>
      </c>
      <c r="H98">
        <v>9.4973478559128993E-2</v>
      </c>
      <c r="I98" t="s">
        <v>6132</v>
      </c>
    </row>
    <row r="99" spans="1:9" x14ac:dyDescent="0.25">
      <c r="A99" t="s">
        <v>5517</v>
      </c>
      <c r="C99" s="3" t="str">
        <f>HYPERLINK("http://amigo.geneontology.org/amigo/term/GO:0016411","GO:0016411")</f>
        <v>GO:0016411</v>
      </c>
      <c r="D99" t="s">
        <v>794</v>
      </c>
      <c r="E99">
        <v>63</v>
      </c>
      <c r="F99">
        <v>4</v>
      </c>
      <c r="G99">
        <v>2.00226403092623E-3</v>
      </c>
      <c r="H99">
        <v>0.102115465577237</v>
      </c>
      <c r="I99" t="s">
        <v>6144</v>
      </c>
    </row>
    <row r="100" spans="1:9" x14ac:dyDescent="0.25">
      <c r="A100" t="s">
        <v>515</v>
      </c>
      <c r="C100" s="3" t="str">
        <f>HYPERLINK("http://amigo.geneontology.org/amigo/term/GO:0016298","GO:0016298")</f>
        <v>GO:0016298</v>
      </c>
      <c r="D100" t="s">
        <v>457</v>
      </c>
      <c r="E100">
        <v>209</v>
      </c>
      <c r="F100">
        <v>7</v>
      </c>
      <c r="G100">
        <v>2.1058504095929102E-3</v>
      </c>
      <c r="H100">
        <v>0.105292520479645</v>
      </c>
      <c r="I100" t="s">
        <v>6152</v>
      </c>
    </row>
    <row r="101" spans="1:9" x14ac:dyDescent="0.25">
      <c r="A101" t="s">
        <v>5096</v>
      </c>
      <c r="C101" s="3" t="str">
        <f>HYPERLINK("http://amigo.geneontology.org/amigo/term/GO:0009690","GO:0009690")</f>
        <v>GO:0009690</v>
      </c>
      <c r="D101" t="s">
        <v>1568</v>
      </c>
      <c r="E101">
        <v>65</v>
      </c>
      <c r="F101">
        <v>4</v>
      </c>
      <c r="G101">
        <v>2.2459363113238799E-3</v>
      </c>
      <c r="H101">
        <v>0.112296815566194</v>
      </c>
      <c r="I101" t="s">
        <v>6153</v>
      </c>
    </row>
    <row r="102" spans="1:9" x14ac:dyDescent="0.25">
      <c r="A102" t="s">
        <v>6154</v>
      </c>
      <c r="C102" s="3" t="str">
        <f>HYPERLINK("http://amigo.geneontology.org/amigo/term/GO:0006812","GO:0006812")</f>
        <v>GO:0006812</v>
      </c>
      <c r="D102" t="s">
        <v>341</v>
      </c>
      <c r="E102">
        <v>1323</v>
      </c>
      <c r="F102">
        <v>22</v>
      </c>
      <c r="G102">
        <v>2.28052987701502E-3</v>
      </c>
      <c r="H102">
        <v>0.111745963973736</v>
      </c>
      <c r="I102" t="s">
        <v>6155</v>
      </c>
    </row>
    <row r="103" spans="1:9" x14ac:dyDescent="0.25">
      <c r="A103" t="s">
        <v>5523</v>
      </c>
      <c r="C103" s="3" t="str">
        <f>HYPERLINK("http://amigo.geneontology.org/amigo/term/GO:0016835","GO:0016835")</f>
        <v>GO:0016835</v>
      </c>
      <c r="D103" t="s">
        <v>6156</v>
      </c>
      <c r="E103">
        <v>399</v>
      </c>
      <c r="F103">
        <v>10</v>
      </c>
      <c r="G103">
        <v>2.2952244988789202E-3</v>
      </c>
      <c r="H103">
        <v>0.11246600044506699</v>
      </c>
      <c r="I103" t="s">
        <v>6157</v>
      </c>
    </row>
    <row r="104" spans="1:9" x14ac:dyDescent="0.25">
      <c r="A104" t="s">
        <v>551</v>
      </c>
      <c r="C104" s="3" t="str">
        <f>HYPERLINK("http://amigo.geneontology.org/amigo/term/GO:0044255","GO:0044255")</f>
        <v>GO:0044255</v>
      </c>
      <c r="D104" t="s">
        <v>258</v>
      </c>
      <c r="E104">
        <v>1757</v>
      </c>
      <c r="F104">
        <v>27</v>
      </c>
      <c r="G104">
        <v>2.3526713604801E-3</v>
      </c>
      <c r="H104">
        <v>0.112928225303044</v>
      </c>
      <c r="I104" t="s">
        <v>6158</v>
      </c>
    </row>
    <row r="105" spans="1:9" x14ac:dyDescent="0.25">
      <c r="A105" t="s">
        <v>6159</v>
      </c>
      <c r="C105" s="3" t="str">
        <f>HYPERLINK("http://amigo.geneontology.org/amigo/term/GO:0070982","GO:0070982")</f>
        <v>GO:0070982</v>
      </c>
      <c r="D105" t="s">
        <v>5065</v>
      </c>
      <c r="E105">
        <v>9</v>
      </c>
      <c r="F105">
        <v>2</v>
      </c>
      <c r="G105">
        <v>2.4503662097580801E-3</v>
      </c>
      <c r="H105">
        <v>0.11516721185863001</v>
      </c>
      <c r="I105" t="s">
        <v>6160</v>
      </c>
    </row>
    <row r="106" spans="1:9" x14ac:dyDescent="0.25">
      <c r="A106" t="s">
        <v>590</v>
      </c>
      <c r="C106" s="3" t="str">
        <f>HYPERLINK("http://amigo.geneontology.org/amigo/term/GO:0070981","GO:0070981")</f>
        <v>GO:0070981</v>
      </c>
      <c r="D106" t="s">
        <v>5068</v>
      </c>
      <c r="E106">
        <v>9</v>
      </c>
      <c r="F106">
        <v>2</v>
      </c>
      <c r="G106">
        <v>2.4503662097580801E-3</v>
      </c>
      <c r="H106">
        <v>0.117617578068388</v>
      </c>
      <c r="I106" t="s">
        <v>6160</v>
      </c>
    </row>
    <row r="107" spans="1:9" x14ac:dyDescent="0.25">
      <c r="A107" t="s">
        <v>2434</v>
      </c>
      <c r="C107" s="3" t="str">
        <f>HYPERLINK("http://amigo.geneontology.org/amigo/term/GO:0009116","GO:0009116")</f>
        <v>GO:0009116</v>
      </c>
      <c r="D107" t="s">
        <v>6161</v>
      </c>
      <c r="E107">
        <v>160</v>
      </c>
      <c r="F107">
        <v>6</v>
      </c>
      <c r="G107">
        <v>2.47518384621935E-3</v>
      </c>
      <c r="H107">
        <v>0.116333640772309</v>
      </c>
      <c r="I107" t="s">
        <v>6162</v>
      </c>
    </row>
    <row r="108" spans="1:9" x14ac:dyDescent="0.25">
      <c r="A108" t="s">
        <v>6163</v>
      </c>
      <c r="C108" s="3" t="str">
        <f>HYPERLINK("http://amigo.geneontology.org/amigo/term/GO:0034754","GO:0034754")</f>
        <v>GO:0034754</v>
      </c>
      <c r="D108" t="s">
        <v>5342</v>
      </c>
      <c r="E108">
        <v>111</v>
      </c>
      <c r="F108">
        <v>5</v>
      </c>
      <c r="G108">
        <v>2.56672641978252E-3</v>
      </c>
      <c r="H108">
        <v>0.118069415309996</v>
      </c>
      <c r="I108" t="s">
        <v>6164</v>
      </c>
    </row>
    <row r="109" spans="1:9" x14ac:dyDescent="0.25">
      <c r="A109" t="s">
        <v>6165</v>
      </c>
      <c r="C109" s="3" t="str">
        <f>HYPERLINK("http://amigo.geneontology.org/amigo/term/GO:0008970","GO:0008970")</f>
        <v>GO:0008970</v>
      </c>
      <c r="D109" t="s">
        <v>134</v>
      </c>
      <c r="E109">
        <v>34</v>
      </c>
      <c r="F109">
        <v>3</v>
      </c>
      <c r="G109">
        <v>2.9279316149885899E-3</v>
      </c>
      <c r="H109">
        <v>0.13468485428947499</v>
      </c>
      <c r="I109" t="s">
        <v>6166</v>
      </c>
    </row>
    <row r="110" spans="1:9" x14ac:dyDescent="0.25">
      <c r="A110" t="s">
        <v>601</v>
      </c>
      <c r="C110" s="3" t="str">
        <f>HYPERLINK("http://amigo.geneontology.org/amigo/term/GO:0072529","GO:0072529")</f>
        <v>GO:0072529</v>
      </c>
      <c r="D110" t="s">
        <v>5606</v>
      </c>
      <c r="E110">
        <v>10</v>
      </c>
      <c r="F110">
        <v>2</v>
      </c>
      <c r="G110">
        <v>3.0459005691106798E-3</v>
      </c>
      <c r="H110">
        <v>0.13706552560998</v>
      </c>
      <c r="I110" t="s">
        <v>5547</v>
      </c>
    </row>
    <row r="111" spans="1:9" x14ac:dyDescent="0.25">
      <c r="A111" t="s">
        <v>4378</v>
      </c>
      <c r="C111" s="3" t="str">
        <f>HYPERLINK("http://amigo.geneontology.org/amigo/term/GO:0022839","GO:0022839")</f>
        <v>GO:0022839</v>
      </c>
      <c r="D111" t="s">
        <v>507</v>
      </c>
      <c r="E111">
        <v>224</v>
      </c>
      <c r="F111">
        <v>7</v>
      </c>
      <c r="G111">
        <v>3.0952223531851399E-3</v>
      </c>
      <c r="H111">
        <v>0.13928500589333101</v>
      </c>
      <c r="I111" t="s">
        <v>6087</v>
      </c>
    </row>
    <row r="112" spans="1:9" x14ac:dyDescent="0.25">
      <c r="A112" t="s">
        <v>2450</v>
      </c>
      <c r="C112" s="3" t="str">
        <f>HYPERLINK("http://amigo.geneontology.org/amigo/term/GO:0042430","GO:0042430")</f>
        <v>GO:0042430</v>
      </c>
      <c r="D112" t="s">
        <v>6167</v>
      </c>
      <c r="E112">
        <v>116</v>
      </c>
      <c r="F112">
        <v>5</v>
      </c>
      <c r="G112">
        <v>3.1042172864626199E-3</v>
      </c>
      <c r="H112">
        <v>0.13658556060435501</v>
      </c>
      <c r="I112" t="s">
        <v>6140</v>
      </c>
    </row>
    <row r="113" spans="1:9" x14ac:dyDescent="0.25">
      <c r="A113" t="s">
        <v>6168</v>
      </c>
      <c r="C113" s="3" t="str">
        <f>HYPERLINK("http://amigo.geneontology.org/amigo/term/GO:0022836","GO:0022836")</f>
        <v>GO:0022836</v>
      </c>
      <c r="D113" t="s">
        <v>519</v>
      </c>
      <c r="E113">
        <v>227</v>
      </c>
      <c r="F113">
        <v>7</v>
      </c>
      <c r="G113">
        <v>3.32975043696706E-3</v>
      </c>
      <c r="H113">
        <v>0.14650901922654999</v>
      </c>
      <c r="I113" t="s">
        <v>6087</v>
      </c>
    </row>
    <row r="114" spans="1:9" x14ac:dyDescent="0.25">
      <c r="A114" t="s">
        <v>2457</v>
      </c>
      <c r="C114" s="3" t="str">
        <f>HYPERLINK("http://amigo.geneontology.org/amigo/term/GO:0019139","GO:0019139")</f>
        <v>GO:0019139</v>
      </c>
      <c r="D114" t="s">
        <v>1345</v>
      </c>
      <c r="E114">
        <v>36</v>
      </c>
      <c r="F114">
        <v>3</v>
      </c>
      <c r="G114">
        <v>3.4503502487386799E-3</v>
      </c>
      <c r="H114">
        <v>0.148365060695763</v>
      </c>
      <c r="I114" t="s">
        <v>6169</v>
      </c>
    </row>
    <row r="115" spans="1:9" x14ac:dyDescent="0.25">
      <c r="A115" t="s">
        <v>6170</v>
      </c>
      <c r="C115" s="3" t="str">
        <f>HYPERLINK("http://amigo.geneontology.org/amigo/term/GO:0016769","GO:0016769")</f>
        <v>GO:0016769</v>
      </c>
      <c r="D115" t="s">
        <v>5491</v>
      </c>
      <c r="E115">
        <v>120</v>
      </c>
      <c r="F115">
        <v>5</v>
      </c>
      <c r="G115">
        <v>3.5891642737741199E-3</v>
      </c>
      <c r="H115">
        <v>0.15433406377228701</v>
      </c>
      <c r="I115" t="s">
        <v>6171</v>
      </c>
    </row>
    <row r="116" spans="1:9" x14ac:dyDescent="0.25">
      <c r="A116" t="s">
        <v>5534</v>
      </c>
      <c r="C116" s="3" t="str">
        <f>HYPERLINK("http://amigo.geneontology.org/amigo/term/GO:0008483","GO:0008483")</f>
        <v>GO:0008483</v>
      </c>
      <c r="D116" t="s">
        <v>5493</v>
      </c>
      <c r="E116">
        <v>120</v>
      </c>
      <c r="F116">
        <v>5</v>
      </c>
      <c r="G116">
        <v>3.5891642737741199E-3</v>
      </c>
      <c r="H116">
        <v>0.15433406377228701</v>
      </c>
      <c r="I116" t="s">
        <v>6171</v>
      </c>
    </row>
    <row r="117" spans="1:9" x14ac:dyDescent="0.25">
      <c r="A117" t="s">
        <v>6172</v>
      </c>
      <c r="C117" s="3" t="str">
        <f>HYPERLINK("http://amigo.geneontology.org/amigo/term/GO:0002831","GO:0002831")</f>
        <v>GO:0002831</v>
      </c>
      <c r="D117" t="s">
        <v>6173</v>
      </c>
      <c r="E117">
        <v>37</v>
      </c>
      <c r="F117">
        <v>3</v>
      </c>
      <c r="G117">
        <v>3.73151832363668E-3</v>
      </c>
      <c r="H117">
        <v>0.15672376959274001</v>
      </c>
      <c r="I117" t="s">
        <v>6122</v>
      </c>
    </row>
    <row r="118" spans="1:9" x14ac:dyDescent="0.25">
      <c r="A118" t="s">
        <v>6174</v>
      </c>
      <c r="C118" s="3" t="str">
        <f>HYPERLINK("http://amigo.geneontology.org/amigo/term/GO:0015075","GO:0015075")</f>
        <v>GO:0015075</v>
      </c>
      <c r="D118" t="s">
        <v>246</v>
      </c>
      <c r="E118">
        <v>1384</v>
      </c>
      <c r="F118">
        <v>22</v>
      </c>
      <c r="G118">
        <v>3.87772131928914E-3</v>
      </c>
      <c r="H118">
        <v>0.16286429541014399</v>
      </c>
      <c r="I118" t="s">
        <v>6175</v>
      </c>
    </row>
    <row r="119" spans="1:9" x14ac:dyDescent="0.25">
      <c r="A119" t="s">
        <v>6176</v>
      </c>
      <c r="C119" s="3" t="str">
        <f>HYPERLINK("http://amigo.geneontology.org/amigo/term/GO:0009119","GO:0009119")</f>
        <v>GO:0009119</v>
      </c>
      <c r="D119" t="s">
        <v>6177</v>
      </c>
      <c r="E119">
        <v>123</v>
      </c>
      <c r="F119">
        <v>5</v>
      </c>
      <c r="G119">
        <v>3.9868803390222399E-3</v>
      </c>
      <c r="H119">
        <v>0.16346209389991201</v>
      </c>
      <c r="I119" t="s">
        <v>6178</v>
      </c>
    </row>
    <row r="120" spans="1:9" x14ac:dyDescent="0.25">
      <c r="A120" t="s">
        <v>6179</v>
      </c>
      <c r="C120" s="3" t="str">
        <f>HYPERLINK("http://amigo.geneontology.org/amigo/term/GO:0034656","GO:0034656")</f>
        <v>GO:0034656</v>
      </c>
      <c r="D120" t="s">
        <v>5313</v>
      </c>
      <c r="E120">
        <v>12</v>
      </c>
      <c r="F120">
        <v>2</v>
      </c>
      <c r="G120">
        <v>4.4177557636551398E-3</v>
      </c>
      <c r="H120">
        <v>0.17671023054620499</v>
      </c>
      <c r="I120" t="s">
        <v>5547</v>
      </c>
    </row>
    <row r="121" spans="1:9" x14ac:dyDescent="0.25">
      <c r="A121" t="s">
        <v>6180</v>
      </c>
      <c r="C121" s="3" t="str">
        <f>HYPERLINK("http://amigo.geneontology.org/amigo/term/GO:1901658","GO:1901658")</f>
        <v>GO:1901658</v>
      </c>
      <c r="D121" t="s">
        <v>5315</v>
      </c>
      <c r="E121">
        <v>12</v>
      </c>
      <c r="F121">
        <v>2</v>
      </c>
      <c r="G121">
        <v>4.4177557636551398E-3</v>
      </c>
      <c r="H121">
        <v>0.17671023054620499</v>
      </c>
      <c r="I121" t="s">
        <v>5547</v>
      </c>
    </row>
    <row r="122" spans="1:9" x14ac:dyDescent="0.25">
      <c r="A122" t="s">
        <v>6181</v>
      </c>
      <c r="C122" s="3" t="str">
        <f>HYPERLINK("http://amigo.geneontology.org/amigo/term/GO:0009164","GO:0009164")</f>
        <v>GO:0009164</v>
      </c>
      <c r="D122" t="s">
        <v>5316</v>
      </c>
      <c r="E122">
        <v>12</v>
      </c>
      <c r="F122">
        <v>2</v>
      </c>
      <c r="G122">
        <v>4.4177557636551398E-3</v>
      </c>
      <c r="H122">
        <v>0.18112798630985999</v>
      </c>
      <c r="I122" t="s">
        <v>5547</v>
      </c>
    </row>
    <row r="123" spans="1:9" x14ac:dyDescent="0.25">
      <c r="A123" t="s">
        <v>6182</v>
      </c>
      <c r="C123" s="3" t="str">
        <f>HYPERLINK("http://amigo.geneontology.org/amigo/term/GO:0042454","GO:0042454")</f>
        <v>GO:0042454</v>
      </c>
      <c r="D123" t="s">
        <v>5317</v>
      </c>
      <c r="E123">
        <v>12</v>
      </c>
      <c r="F123">
        <v>2</v>
      </c>
      <c r="G123">
        <v>4.4177557636551398E-3</v>
      </c>
      <c r="H123">
        <v>0.18112798630985999</v>
      </c>
      <c r="I123" t="s">
        <v>5547</v>
      </c>
    </row>
    <row r="124" spans="1:9" x14ac:dyDescent="0.25">
      <c r="A124" t="s">
        <v>6183</v>
      </c>
      <c r="C124" s="3" t="str">
        <f>HYPERLINK("http://amigo.geneontology.org/amigo/term/GO:0000156","GO:0000156")</f>
        <v>GO:0000156</v>
      </c>
      <c r="D124" t="s">
        <v>5125</v>
      </c>
      <c r="E124">
        <v>79</v>
      </c>
      <c r="F124">
        <v>4</v>
      </c>
      <c r="G124">
        <v>4.5450887974975603E-3</v>
      </c>
      <c r="H124">
        <v>0.17725846310240501</v>
      </c>
      <c r="I124" t="s">
        <v>6184</v>
      </c>
    </row>
    <row r="125" spans="1:9" x14ac:dyDescent="0.25">
      <c r="A125" t="s">
        <v>5902</v>
      </c>
      <c r="C125" s="3" t="str">
        <f>HYPERLINK("http://amigo.geneontology.org/amigo/term/GO:0043900","GO:0043900")</f>
        <v>GO:0043900</v>
      </c>
      <c r="D125" t="s">
        <v>6185</v>
      </c>
      <c r="E125">
        <v>79</v>
      </c>
      <c r="F125">
        <v>4</v>
      </c>
      <c r="G125">
        <v>4.5450887974975603E-3</v>
      </c>
      <c r="H125">
        <v>0.17725846310240501</v>
      </c>
      <c r="I125" t="s">
        <v>6186</v>
      </c>
    </row>
    <row r="126" spans="1:9" x14ac:dyDescent="0.25">
      <c r="A126" t="s">
        <v>655</v>
      </c>
      <c r="C126" s="3" t="str">
        <f>HYPERLINK("http://amigo.geneontology.org/amigo/term/GO:0032101","GO:0032101")</f>
        <v>GO:0032101</v>
      </c>
      <c r="D126" t="s">
        <v>6187</v>
      </c>
      <c r="E126">
        <v>40</v>
      </c>
      <c r="F126">
        <v>3</v>
      </c>
      <c r="G126">
        <v>4.6572268291120503E-3</v>
      </c>
      <c r="H126">
        <v>0.181631846335369</v>
      </c>
      <c r="I126" t="s">
        <v>6122</v>
      </c>
    </row>
    <row r="127" spans="1:9" x14ac:dyDescent="0.25">
      <c r="A127" t="s">
        <v>6188</v>
      </c>
      <c r="C127" s="3" t="str">
        <f>HYPERLINK("http://amigo.geneontology.org/amigo/term/GO:0022603","GO:0022603")</f>
        <v>GO:0022603</v>
      </c>
      <c r="D127" t="s">
        <v>6189</v>
      </c>
      <c r="E127">
        <v>80</v>
      </c>
      <c r="F127">
        <v>4</v>
      </c>
      <c r="G127">
        <v>4.7529609768774397E-3</v>
      </c>
      <c r="H127">
        <v>0.18061251712134199</v>
      </c>
      <c r="I127" t="s">
        <v>6118</v>
      </c>
    </row>
    <row r="128" spans="1:9" x14ac:dyDescent="0.25">
      <c r="A128" t="s">
        <v>2477</v>
      </c>
      <c r="C128" s="3" t="str">
        <f>HYPERLINK("http://amigo.geneontology.org/amigo/term/GO:0005388","GO:0005388")</f>
        <v>GO:0005388</v>
      </c>
      <c r="D128" t="s">
        <v>870</v>
      </c>
      <c r="E128">
        <v>43</v>
      </c>
      <c r="F128">
        <v>3</v>
      </c>
      <c r="G128">
        <v>5.7100169957496304E-3</v>
      </c>
      <c r="H128">
        <v>0.216980645838486</v>
      </c>
      <c r="I128" t="s">
        <v>6190</v>
      </c>
    </row>
    <row r="129" spans="1:9" x14ac:dyDescent="0.25">
      <c r="A129" t="s">
        <v>40</v>
      </c>
      <c r="C129" s="3" t="str">
        <f>HYPERLINK("http://amigo.geneontology.org/amigo/term/GO:0016706","GO:0016706")</f>
        <v>GO:0016706</v>
      </c>
      <c r="D129" t="s">
        <v>5638</v>
      </c>
      <c r="E129">
        <v>251</v>
      </c>
      <c r="F129">
        <v>7</v>
      </c>
      <c r="G129">
        <v>5.7255907540830799E-3</v>
      </c>
      <c r="H129">
        <v>0.21757244865515701</v>
      </c>
      <c r="I129" t="s">
        <v>6191</v>
      </c>
    </row>
    <row r="130" spans="1:9" x14ac:dyDescent="0.25">
      <c r="A130" t="s">
        <v>4430</v>
      </c>
      <c r="C130" s="3" t="str">
        <f>HYPERLINK("http://amigo.geneontology.org/amigo/term/GO:0043269","GO:0043269")</f>
        <v>GO:0043269</v>
      </c>
      <c r="D130" t="s">
        <v>1155</v>
      </c>
      <c r="E130">
        <v>140</v>
      </c>
      <c r="F130">
        <v>5</v>
      </c>
      <c r="G130">
        <v>6.8534261262350399E-3</v>
      </c>
      <c r="H130">
        <v>0.25357676667069601</v>
      </c>
      <c r="I130" t="s">
        <v>6192</v>
      </c>
    </row>
    <row r="131" spans="1:9" x14ac:dyDescent="0.25">
      <c r="A131" t="s">
        <v>5905</v>
      </c>
      <c r="C131" s="3" t="str">
        <f>HYPERLINK("http://amigo.geneontology.org/amigo/term/GO:0009405","GO:0009405")</f>
        <v>GO:0009405</v>
      </c>
      <c r="D131" t="s">
        <v>5633</v>
      </c>
      <c r="E131">
        <v>15</v>
      </c>
      <c r="F131">
        <v>2</v>
      </c>
      <c r="G131">
        <v>6.9118094766806703E-3</v>
      </c>
      <c r="H131">
        <v>0.25573695063718499</v>
      </c>
      <c r="I131" t="s">
        <v>5522</v>
      </c>
    </row>
    <row r="132" spans="1:9" x14ac:dyDescent="0.25">
      <c r="A132" t="s">
        <v>6193</v>
      </c>
      <c r="C132" s="3" t="str">
        <f>HYPERLINK("http://amigo.geneontology.org/amigo/term/GO:0070588","GO:0070588")</f>
        <v>GO:0070588</v>
      </c>
      <c r="D132" t="s">
        <v>593</v>
      </c>
      <c r="E132">
        <v>48</v>
      </c>
      <c r="F132">
        <v>3</v>
      </c>
      <c r="G132">
        <v>7.7586173584866004E-3</v>
      </c>
      <c r="H132">
        <v>0.28706884226400398</v>
      </c>
      <c r="I132" t="s">
        <v>6190</v>
      </c>
    </row>
    <row r="133" spans="1:9" x14ac:dyDescent="0.25">
      <c r="A133" t="s">
        <v>4438</v>
      </c>
      <c r="C133" s="3" t="str">
        <f>HYPERLINK("http://amigo.geneontology.org/amigo/term/GO:0006730","GO:0006730")</f>
        <v>GO:0006730</v>
      </c>
      <c r="D133" t="s">
        <v>6194</v>
      </c>
      <c r="E133">
        <v>48</v>
      </c>
      <c r="F133">
        <v>3</v>
      </c>
      <c r="G133">
        <v>7.7586173584866004E-3</v>
      </c>
      <c r="H133">
        <v>0.28706884226400398</v>
      </c>
      <c r="I133" t="s">
        <v>6195</v>
      </c>
    </row>
    <row r="134" spans="1:9" x14ac:dyDescent="0.25">
      <c r="A134" t="s">
        <v>6196</v>
      </c>
      <c r="C134" s="3" t="str">
        <f>HYPERLINK("http://amigo.geneontology.org/amigo/term/GO:0051049","GO:0051049")</f>
        <v>GO:0051049</v>
      </c>
      <c r="D134" t="s">
        <v>1230</v>
      </c>
      <c r="E134">
        <v>145</v>
      </c>
      <c r="F134">
        <v>5</v>
      </c>
      <c r="G134">
        <v>7.9152715444173495E-3</v>
      </c>
      <c r="H134">
        <v>0.28494977559902401</v>
      </c>
      <c r="I134" t="s">
        <v>6192</v>
      </c>
    </row>
    <row r="135" spans="1:9" x14ac:dyDescent="0.25">
      <c r="A135" t="s">
        <v>6197</v>
      </c>
      <c r="C135" s="3" t="str">
        <f>HYPERLINK("http://amigo.geneontology.org/amigo/term/GO:0018826","GO:0018826")</f>
        <v>GO:0018826</v>
      </c>
      <c r="D135" t="s">
        <v>6198</v>
      </c>
      <c r="E135">
        <v>1</v>
      </c>
      <c r="F135">
        <v>1</v>
      </c>
      <c r="G135">
        <v>8.4199327962074695E-3</v>
      </c>
      <c r="H135">
        <v>0.29469764786726099</v>
      </c>
      <c r="I135" t="s">
        <v>6076</v>
      </c>
    </row>
    <row r="136" spans="1:9" x14ac:dyDescent="0.25">
      <c r="A136" t="s">
        <v>4450</v>
      </c>
      <c r="C136" s="3" t="str">
        <f>HYPERLINK("http://amigo.geneontology.org/amigo/term/GO:0051192","GO:0051192")</f>
        <v>GO:0051192</v>
      </c>
      <c r="D136" t="s">
        <v>1453</v>
      </c>
      <c r="E136">
        <v>1</v>
      </c>
      <c r="F136">
        <v>1</v>
      </c>
      <c r="G136">
        <v>8.4199327962074695E-3</v>
      </c>
      <c r="H136">
        <v>0.29469764786726099</v>
      </c>
      <c r="I136" t="s">
        <v>1454</v>
      </c>
    </row>
    <row r="137" spans="1:9" x14ac:dyDescent="0.25">
      <c r="A137" t="s">
        <v>6199</v>
      </c>
      <c r="C137" s="3" t="str">
        <f>HYPERLINK("http://amigo.geneontology.org/amigo/term/GO:0044620","GO:0044620")</f>
        <v>GO:0044620</v>
      </c>
      <c r="D137" t="s">
        <v>1456</v>
      </c>
      <c r="E137">
        <v>1</v>
      </c>
      <c r="F137">
        <v>1</v>
      </c>
      <c r="G137">
        <v>8.4199327962074695E-3</v>
      </c>
      <c r="H137">
        <v>0.303117580663469</v>
      </c>
      <c r="I137" t="s">
        <v>1454</v>
      </c>
    </row>
    <row r="138" spans="1:9" x14ac:dyDescent="0.25">
      <c r="A138" t="s">
        <v>6200</v>
      </c>
      <c r="C138" s="3" t="str">
        <f>HYPERLINK("http://amigo.geneontology.org/amigo/term/GO:0000036","GO:0000036")</f>
        <v>GO:0000036</v>
      </c>
      <c r="D138" t="s">
        <v>1458</v>
      </c>
      <c r="E138">
        <v>1</v>
      </c>
      <c r="F138">
        <v>1</v>
      </c>
      <c r="G138">
        <v>8.4199327962074695E-3</v>
      </c>
      <c r="H138">
        <v>0.303117580663469</v>
      </c>
      <c r="I138" t="s">
        <v>1454</v>
      </c>
    </row>
    <row r="139" spans="1:9" x14ac:dyDescent="0.25">
      <c r="A139" t="s">
        <v>6201</v>
      </c>
      <c r="C139" s="3" t="str">
        <f>HYPERLINK("http://amigo.geneontology.org/amigo/term/GO:0044281","GO:0044281")</f>
        <v>GO:0044281</v>
      </c>
      <c r="D139" t="s">
        <v>4410</v>
      </c>
      <c r="E139">
        <v>4478</v>
      </c>
      <c r="F139">
        <v>53</v>
      </c>
      <c r="G139">
        <v>8.5329674584540306E-3</v>
      </c>
      <c r="H139">
        <v>0.29865386104589098</v>
      </c>
      <c r="I139" t="s">
        <v>6202</v>
      </c>
    </row>
    <row r="140" spans="1:9" x14ac:dyDescent="0.25">
      <c r="A140" t="s">
        <v>6203</v>
      </c>
      <c r="C140" s="3" t="str">
        <f>HYPERLINK("http://amigo.geneontology.org/amigo/term/GO:0004601","GO:0004601")</f>
        <v>GO:0004601</v>
      </c>
      <c r="D140" t="s">
        <v>640</v>
      </c>
      <c r="E140">
        <v>798</v>
      </c>
      <c r="F140">
        <v>14</v>
      </c>
      <c r="G140">
        <v>8.6427976128991696E-3</v>
      </c>
      <c r="H140">
        <v>0.30249791645147101</v>
      </c>
      <c r="I140" t="s">
        <v>6204</v>
      </c>
    </row>
    <row r="141" spans="1:9" x14ac:dyDescent="0.25">
      <c r="A141" t="s">
        <v>6205</v>
      </c>
      <c r="C141" s="3" t="str">
        <f>HYPERLINK("http://amigo.geneontology.org/amigo/term/GO:0016684","GO:0016684")</f>
        <v>GO:0016684</v>
      </c>
      <c r="D141" t="s">
        <v>643</v>
      </c>
      <c r="E141">
        <v>799</v>
      </c>
      <c r="F141">
        <v>14</v>
      </c>
      <c r="G141">
        <v>8.7313766000501093E-3</v>
      </c>
      <c r="H141">
        <v>0.29686680440170299</v>
      </c>
      <c r="I141" t="s">
        <v>6204</v>
      </c>
    </row>
    <row r="142" spans="1:9" x14ac:dyDescent="0.25">
      <c r="A142" t="s">
        <v>707</v>
      </c>
      <c r="C142" s="3" t="str">
        <f>HYPERLINK("http://amigo.geneontology.org/amigo/term/GO:0009360","GO:0009360")</f>
        <v>GO:0009360</v>
      </c>
      <c r="D142" t="s">
        <v>6206</v>
      </c>
      <c r="E142">
        <v>17</v>
      </c>
      <c r="F142">
        <v>2</v>
      </c>
      <c r="G142">
        <v>8.8534612118542494E-3</v>
      </c>
      <c r="H142">
        <v>0.29216421999119002</v>
      </c>
      <c r="I142" t="s">
        <v>6207</v>
      </c>
    </row>
    <row r="143" spans="1:9" x14ac:dyDescent="0.25">
      <c r="A143" t="s">
        <v>2497</v>
      </c>
      <c r="C143" s="3" t="str">
        <f>HYPERLINK("http://amigo.geneontology.org/amigo/term/GO:0000015","GO:0000015")</f>
        <v>GO:0000015</v>
      </c>
      <c r="D143" t="s">
        <v>5645</v>
      </c>
      <c r="E143">
        <v>17</v>
      </c>
      <c r="F143">
        <v>2</v>
      </c>
      <c r="G143">
        <v>8.8534612118542494E-3</v>
      </c>
      <c r="H143">
        <v>0.30101768120304401</v>
      </c>
      <c r="I143" t="s">
        <v>5646</v>
      </c>
    </row>
    <row r="144" spans="1:9" x14ac:dyDescent="0.25">
      <c r="A144" t="s">
        <v>6208</v>
      </c>
      <c r="C144" s="3" t="str">
        <f>HYPERLINK("http://amigo.geneontology.org/amigo/term/GO:0004634","GO:0004634")</f>
        <v>GO:0004634</v>
      </c>
      <c r="D144" t="s">
        <v>5648</v>
      </c>
      <c r="E144">
        <v>17</v>
      </c>
      <c r="F144">
        <v>2</v>
      </c>
      <c r="G144">
        <v>8.8534612118542494E-3</v>
      </c>
      <c r="H144">
        <v>0.30101768120304401</v>
      </c>
      <c r="I144" t="s">
        <v>5646</v>
      </c>
    </row>
    <row r="145" spans="1:9" x14ac:dyDescent="0.25">
      <c r="A145" t="s">
        <v>6209</v>
      </c>
      <c r="C145" s="3" t="str">
        <f>HYPERLINK("http://amigo.geneontology.org/amigo/term/GO:0070279","GO:0070279")</f>
        <v>GO:0070279</v>
      </c>
      <c r="D145" t="s">
        <v>4253</v>
      </c>
      <c r="E145">
        <v>342</v>
      </c>
      <c r="F145">
        <v>8</v>
      </c>
      <c r="G145">
        <v>9.0274670279841297E-3</v>
      </c>
      <c r="H145">
        <v>0.297906411923476</v>
      </c>
      <c r="I145" t="s">
        <v>6210</v>
      </c>
    </row>
    <row r="146" spans="1:9" x14ac:dyDescent="0.25">
      <c r="A146" t="s">
        <v>91</v>
      </c>
      <c r="C146" s="3" t="str">
        <f>HYPERLINK("http://amigo.geneontology.org/amigo/term/GO:0030170","GO:0030170")</f>
        <v>GO:0030170</v>
      </c>
      <c r="D146" t="s">
        <v>4255</v>
      </c>
      <c r="E146">
        <v>342</v>
      </c>
      <c r="F146">
        <v>8</v>
      </c>
      <c r="G146">
        <v>9.0274670279841297E-3</v>
      </c>
      <c r="H146">
        <v>0.297906411923476</v>
      </c>
      <c r="I146" t="s">
        <v>6210</v>
      </c>
    </row>
    <row r="147" spans="1:9" x14ac:dyDescent="0.25">
      <c r="A147" t="s">
        <v>5122</v>
      </c>
      <c r="C147" s="3" t="str">
        <f>HYPERLINK("http://amigo.geneontology.org/amigo/term/GO:0005216","GO:0005216")</f>
        <v>GO:0005216</v>
      </c>
      <c r="D147" t="s">
        <v>424</v>
      </c>
      <c r="E147">
        <v>276</v>
      </c>
      <c r="F147">
        <v>7</v>
      </c>
      <c r="G147">
        <v>9.3968221026048196E-3</v>
      </c>
      <c r="H147">
        <v>0.31009512938595901</v>
      </c>
      <c r="I147" t="s">
        <v>6087</v>
      </c>
    </row>
    <row r="148" spans="1:9" x14ac:dyDescent="0.25">
      <c r="A148" t="s">
        <v>5124</v>
      </c>
      <c r="C148" s="3" t="str">
        <f>HYPERLINK("http://amigo.geneontology.org/amigo/term/GO:0016620","GO:0016620")</f>
        <v>GO:0016620</v>
      </c>
      <c r="D148" t="s">
        <v>803</v>
      </c>
      <c r="E148">
        <v>152</v>
      </c>
      <c r="F148">
        <v>5</v>
      </c>
      <c r="G148">
        <v>9.5863468453627702E-3</v>
      </c>
      <c r="H148">
        <v>0.30676309905160798</v>
      </c>
      <c r="I148" t="s">
        <v>6074</v>
      </c>
    </row>
    <row r="149" spans="1:9" x14ac:dyDescent="0.25">
      <c r="A149" t="s">
        <v>731</v>
      </c>
      <c r="C149" s="3" t="str">
        <f>HYPERLINK("http://amigo.geneontology.org/amigo/term/GO:0015318","GO:0015318")</f>
        <v>GO:0015318</v>
      </c>
      <c r="D149" t="s">
        <v>231</v>
      </c>
      <c r="E149">
        <v>1323</v>
      </c>
      <c r="F149">
        <v>20</v>
      </c>
      <c r="G149">
        <v>9.6098218575310194E-3</v>
      </c>
      <c r="H149">
        <v>0.30751429944099201</v>
      </c>
      <c r="I149" t="s">
        <v>6211</v>
      </c>
    </row>
    <row r="150" spans="1:9" x14ac:dyDescent="0.25">
      <c r="A150" t="s">
        <v>4484</v>
      </c>
      <c r="C150" s="3" t="str">
        <f>HYPERLINK("http://amigo.geneontology.org/amigo/term/GO:0022838","GO:0022838")</f>
        <v>GO:0022838</v>
      </c>
      <c r="D150" t="s">
        <v>398</v>
      </c>
      <c r="E150">
        <v>284</v>
      </c>
      <c r="F150">
        <v>7</v>
      </c>
      <c r="G150">
        <v>1.0870988045645199E-2</v>
      </c>
      <c r="H150">
        <v>0.34787161746064899</v>
      </c>
      <c r="I150" t="s">
        <v>6087</v>
      </c>
    </row>
    <row r="151" spans="1:9" x14ac:dyDescent="0.25">
      <c r="A151" t="s">
        <v>4485</v>
      </c>
      <c r="C151" s="3" t="str">
        <f>HYPERLINK("http://amigo.geneontology.org/amigo/term/GO:0015035","GO:0015035")</f>
        <v>GO:0015035</v>
      </c>
      <c r="D151" t="s">
        <v>6212</v>
      </c>
      <c r="E151">
        <v>285</v>
      </c>
      <c r="F151">
        <v>7</v>
      </c>
      <c r="G151">
        <v>1.1066391432844901E-2</v>
      </c>
      <c r="H151">
        <v>0.35412452585103799</v>
      </c>
      <c r="I151" t="s">
        <v>6213</v>
      </c>
    </row>
    <row r="152" spans="1:9" x14ac:dyDescent="0.25">
      <c r="A152" t="s">
        <v>6214</v>
      </c>
      <c r="C152" s="3" t="str">
        <f>HYPERLINK("http://amigo.geneontology.org/amigo/term/GO:0048037","GO:0048037")</f>
        <v>GO:0048037</v>
      </c>
      <c r="D152" t="s">
        <v>4125</v>
      </c>
      <c r="E152">
        <v>4750</v>
      </c>
      <c r="F152">
        <v>55</v>
      </c>
      <c r="G152">
        <v>1.118667248266E-2</v>
      </c>
      <c r="H152">
        <v>0.35797351944512101</v>
      </c>
      <c r="I152" t="s">
        <v>6215</v>
      </c>
    </row>
    <row r="153" spans="1:9" x14ac:dyDescent="0.25">
      <c r="A153" t="s">
        <v>2511</v>
      </c>
      <c r="C153" s="3" t="str">
        <f>HYPERLINK("http://amigo.geneontology.org/amigo/term/GO:0055085","GO:0055085")</f>
        <v>GO:0055085</v>
      </c>
      <c r="D153" t="s">
        <v>240</v>
      </c>
      <c r="E153">
        <v>2653</v>
      </c>
      <c r="F153">
        <v>34</v>
      </c>
      <c r="G153">
        <v>1.1189609790080501E-2</v>
      </c>
      <c r="H153">
        <v>0.34687790349249598</v>
      </c>
      <c r="I153" t="s">
        <v>6216</v>
      </c>
    </row>
    <row r="154" spans="1:9" x14ac:dyDescent="0.25">
      <c r="A154" t="s">
        <v>5556</v>
      </c>
      <c r="C154" s="3" t="str">
        <f>HYPERLINK("http://amigo.geneontology.org/amigo/term/GO:0015662","GO:0015662")</f>
        <v>GO:0015662</v>
      </c>
      <c r="D154" t="s">
        <v>1067</v>
      </c>
      <c r="E154">
        <v>55</v>
      </c>
      <c r="F154">
        <v>3</v>
      </c>
      <c r="G154">
        <v>1.12704848584917E-2</v>
      </c>
      <c r="H154">
        <v>0.349385030613245</v>
      </c>
      <c r="I154" t="s">
        <v>6190</v>
      </c>
    </row>
    <row r="155" spans="1:9" x14ac:dyDescent="0.25">
      <c r="A155" t="s">
        <v>758</v>
      </c>
      <c r="C155" s="3" t="str">
        <f>HYPERLINK("http://amigo.geneontology.org/amigo/term/GO:0032879","GO:0032879")</f>
        <v>GO:0032879</v>
      </c>
      <c r="D155" t="s">
        <v>1375</v>
      </c>
      <c r="E155">
        <v>160</v>
      </c>
      <c r="F155">
        <v>5</v>
      </c>
      <c r="G155">
        <v>1.17758900422165E-2</v>
      </c>
      <c r="H155">
        <v>0.36505259130871298</v>
      </c>
      <c r="I155" t="s">
        <v>6192</v>
      </c>
    </row>
    <row r="156" spans="1:9" x14ac:dyDescent="0.25">
      <c r="A156" t="s">
        <v>761</v>
      </c>
      <c r="C156" s="3" t="str">
        <f>HYPERLINK("http://amigo.geneontology.org/amigo/term/GO:0005992","GO:0005992")</f>
        <v>GO:0005992</v>
      </c>
      <c r="D156" t="s">
        <v>6217</v>
      </c>
      <c r="E156">
        <v>56</v>
      </c>
      <c r="F156">
        <v>3</v>
      </c>
      <c r="G156">
        <v>1.1835242505128799E-2</v>
      </c>
      <c r="H156">
        <v>0.35505727515386398</v>
      </c>
      <c r="I156" t="s">
        <v>6218</v>
      </c>
    </row>
    <row r="157" spans="1:9" x14ac:dyDescent="0.25">
      <c r="A157" t="s">
        <v>763</v>
      </c>
      <c r="C157" s="3" t="str">
        <f>HYPERLINK("http://amigo.geneontology.org/amigo/term/GO:0019321","GO:0019321")</f>
        <v>GO:0019321</v>
      </c>
      <c r="D157" t="s">
        <v>5748</v>
      </c>
      <c r="E157">
        <v>56</v>
      </c>
      <c r="F157">
        <v>3</v>
      </c>
      <c r="G157">
        <v>1.1835242505128799E-2</v>
      </c>
      <c r="H157">
        <v>0.366892517658993</v>
      </c>
      <c r="I157" t="s">
        <v>6123</v>
      </c>
    </row>
    <row r="158" spans="1:9" x14ac:dyDescent="0.25">
      <c r="A158" t="s">
        <v>766</v>
      </c>
      <c r="C158" s="3" t="str">
        <f>HYPERLINK("http://amigo.geneontology.org/amigo/term/GO:0071554","GO:0071554")</f>
        <v>GO:0071554</v>
      </c>
      <c r="D158" t="s">
        <v>206</v>
      </c>
      <c r="E158">
        <v>1000</v>
      </c>
      <c r="F158">
        <v>16</v>
      </c>
      <c r="G158">
        <v>1.18938172056658E-2</v>
      </c>
      <c r="H158">
        <v>0.35681451616997401</v>
      </c>
      <c r="I158" t="s">
        <v>6219</v>
      </c>
    </row>
    <row r="159" spans="1:9" x14ac:dyDescent="0.25">
      <c r="A159" t="s">
        <v>778</v>
      </c>
      <c r="C159" s="3" t="str">
        <f>HYPERLINK("http://amigo.geneontology.org/amigo/term/GO:0004066","GO:0004066")</f>
        <v>GO:0004066</v>
      </c>
      <c r="D159" t="s">
        <v>5076</v>
      </c>
      <c r="E159">
        <v>20</v>
      </c>
      <c r="F159">
        <v>2</v>
      </c>
      <c r="G159">
        <v>1.2164612846138701E-2</v>
      </c>
      <c r="H159">
        <v>0.36493838538416301</v>
      </c>
      <c r="I159" t="s">
        <v>6160</v>
      </c>
    </row>
    <row r="160" spans="1:9" x14ac:dyDescent="0.25">
      <c r="A160" t="s">
        <v>4488</v>
      </c>
      <c r="C160" s="3" t="str">
        <f>HYPERLINK("http://amigo.geneontology.org/amigo/term/GO:0006528","GO:0006528")</f>
        <v>GO:0006528</v>
      </c>
      <c r="D160" t="s">
        <v>5078</v>
      </c>
      <c r="E160">
        <v>20</v>
      </c>
      <c r="F160">
        <v>2</v>
      </c>
      <c r="G160">
        <v>1.2164612846138701E-2</v>
      </c>
      <c r="H160">
        <v>0.36493838538416301</v>
      </c>
      <c r="I160" t="s">
        <v>6160</v>
      </c>
    </row>
    <row r="161" spans="1:9" x14ac:dyDescent="0.25">
      <c r="A161" t="s">
        <v>4489</v>
      </c>
      <c r="C161" s="3" t="str">
        <f>HYPERLINK("http://amigo.geneontology.org/amigo/term/GO:0006529","GO:0006529")</f>
        <v>GO:0006529</v>
      </c>
      <c r="D161" t="s">
        <v>5080</v>
      </c>
      <c r="E161">
        <v>20</v>
      </c>
      <c r="F161">
        <v>2</v>
      </c>
      <c r="G161">
        <v>1.2164612846138701E-2</v>
      </c>
      <c r="H161">
        <v>0.36493838538416301</v>
      </c>
      <c r="I161" t="s">
        <v>6160</v>
      </c>
    </row>
    <row r="162" spans="1:9" x14ac:dyDescent="0.25">
      <c r="A162" t="s">
        <v>6220</v>
      </c>
      <c r="C162" s="3" t="str">
        <f>HYPERLINK("http://amigo.geneontology.org/amigo/term/GO:0034249","GO:0034249")</f>
        <v>GO:0034249</v>
      </c>
      <c r="D162" t="s">
        <v>6221</v>
      </c>
      <c r="E162">
        <v>106</v>
      </c>
      <c r="F162">
        <v>4</v>
      </c>
      <c r="G162">
        <v>1.25928698802482E-2</v>
      </c>
      <c r="H162">
        <v>0.36519322652719899</v>
      </c>
      <c r="I162" t="s">
        <v>6222</v>
      </c>
    </row>
    <row r="163" spans="1:9" x14ac:dyDescent="0.25">
      <c r="A163" t="s">
        <v>5</v>
      </c>
      <c r="C163" s="3" t="str">
        <f>HYPERLINK("http://amigo.geneontology.org/amigo/term/GO:0017148","GO:0017148")</f>
        <v>GO:0017148</v>
      </c>
      <c r="D163" t="s">
        <v>6223</v>
      </c>
      <c r="E163">
        <v>106</v>
      </c>
      <c r="F163">
        <v>4</v>
      </c>
      <c r="G163">
        <v>1.25928698802482E-2</v>
      </c>
      <c r="H163">
        <v>0.36519322652719899</v>
      </c>
      <c r="I163" t="s">
        <v>6222</v>
      </c>
    </row>
    <row r="164" spans="1:9" x14ac:dyDescent="0.25">
      <c r="A164" t="s">
        <v>4493</v>
      </c>
      <c r="C164" s="3" t="str">
        <f>HYPERLINK("http://amigo.geneontology.org/amigo/term/GO:0022803","GO:0022803")</f>
        <v>GO:0022803</v>
      </c>
      <c r="D164" t="s">
        <v>390</v>
      </c>
      <c r="E164">
        <v>293</v>
      </c>
      <c r="F164">
        <v>7</v>
      </c>
      <c r="G164">
        <v>1.27223095934078E-2</v>
      </c>
      <c r="H164">
        <v>0.36894697820882599</v>
      </c>
      <c r="I164" t="s">
        <v>6087</v>
      </c>
    </row>
    <row r="165" spans="1:9" x14ac:dyDescent="0.25">
      <c r="A165" t="s">
        <v>6224</v>
      </c>
      <c r="C165" s="3" t="str">
        <f>HYPERLINK("http://amigo.geneontology.org/amigo/term/GO:0015267","GO:0015267")</f>
        <v>GO:0015267</v>
      </c>
      <c r="D165" t="s">
        <v>393</v>
      </c>
      <c r="E165">
        <v>293</v>
      </c>
      <c r="F165">
        <v>7</v>
      </c>
      <c r="G165">
        <v>1.27223095934078E-2</v>
      </c>
      <c r="H165">
        <v>0.36894697820882599</v>
      </c>
      <c r="I165" t="s">
        <v>6087</v>
      </c>
    </row>
    <row r="166" spans="1:9" x14ac:dyDescent="0.25">
      <c r="A166" t="s">
        <v>6225</v>
      </c>
      <c r="C166" s="3" t="str">
        <f>HYPERLINK("http://amigo.geneontology.org/amigo/term/GO:0009733","GO:0009733")</f>
        <v>GO:0009733</v>
      </c>
      <c r="D166" t="s">
        <v>4475</v>
      </c>
      <c r="E166">
        <v>515</v>
      </c>
      <c r="F166">
        <v>10</v>
      </c>
      <c r="G166">
        <v>1.2920438374597099E-2</v>
      </c>
      <c r="H166">
        <v>0.37469271286331601</v>
      </c>
      <c r="I166" t="s">
        <v>6226</v>
      </c>
    </row>
    <row r="167" spans="1:9" x14ac:dyDescent="0.25">
      <c r="A167" t="s">
        <v>2528</v>
      </c>
      <c r="C167" s="3" t="str">
        <f>HYPERLINK("http://amigo.geneontology.org/amigo/term/GO:0051248","GO:0051248")</f>
        <v>GO:0051248</v>
      </c>
      <c r="D167" t="s">
        <v>6227</v>
      </c>
      <c r="E167">
        <v>228</v>
      </c>
      <c r="F167">
        <v>6</v>
      </c>
      <c r="G167">
        <v>1.32839100905707E-2</v>
      </c>
      <c r="H167">
        <v>0.37194948253598198</v>
      </c>
      <c r="I167" t="s">
        <v>6228</v>
      </c>
    </row>
    <row r="168" spans="1:9" x14ac:dyDescent="0.25">
      <c r="A168" t="s">
        <v>6229</v>
      </c>
      <c r="C168" s="3" t="str">
        <f>HYPERLINK("http://amigo.geneontology.org/amigo/term/GO:0032269","GO:0032269")</f>
        <v>GO:0032269</v>
      </c>
      <c r="D168" t="s">
        <v>6230</v>
      </c>
      <c r="E168">
        <v>228</v>
      </c>
      <c r="F168">
        <v>6</v>
      </c>
      <c r="G168">
        <v>1.32839100905707E-2</v>
      </c>
      <c r="H168">
        <v>0.37194948253598198</v>
      </c>
      <c r="I168" t="s">
        <v>6228</v>
      </c>
    </row>
    <row r="169" spans="1:9" x14ac:dyDescent="0.25">
      <c r="A169" t="s">
        <v>6231</v>
      </c>
      <c r="C169" s="3" t="str">
        <f>HYPERLINK("http://amigo.geneontology.org/amigo/term/GO:0070001","GO:0070001")</f>
        <v>GO:0070001</v>
      </c>
      <c r="D169" t="s">
        <v>6232</v>
      </c>
      <c r="E169">
        <v>442</v>
      </c>
      <c r="F169">
        <v>9</v>
      </c>
      <c r="G169">
        <v>1.35122813930681E-2</v>
      </c>
      <c r="H169">
        <v>0.37834387900590899</v>
      </c>
      <c r="I169" t="s">
        <v>6233</v>
      </c>
    </row>
    <row r="170" spans="1:9" x14ac:dyDescent="0.25">
      <c r="A170" t="s">
        <v>5135</v>
      </c>
      <c r="C170" s="3" t="str">
        <f>HYPERLINK("http://amigo.geneontology.org/amigo/term/GO:0004190","GO:0004190")</f>
        <v>GO:0004190</v>
      </c>
      <c r="D170" t="s">
        <v>6234</v>
      </c>
      <c r="E170">
        <v>442</v>
      </c>
      <c r="F170">
        <v>9</v>
      </c>
      <c r="G170">
        <v>1.35122813930681E-2</v>
      </c>
      <c r="H170">
        <v>0.37834387900590899</v>
      </c>
      <c r="I170" t="s">
        <v>6233</v>
      </c>
    </row>
    <row r="171" spans="1:9" x14ac:dyDescent="0.25">
      <c r="A171" t="s">
        <v>2545</v>
      </c>
      <c r="C171" s="3" t="str">
        <f>HYPERLINK("http://amigo.geneontology.org/amigo/term/GO:0005991","GO:0005991")</f>
        <v>GO:0005991</v>
      </c>
      <c r="D171" t="s">
        <v>6235</v>
      </c>
      <c r="E171">
        <v>59</v>
      </c>
      <c r="F171">
        <v>3</v>
      </c>
      <c r="G171">
        <v>1.36258018619583E-2</v>
      </c>
      <c r="H171">
        <v>0.38152245213483299</v>
      </c>
      <c r="I171" t="s">
        <v>6218</v>
      </c>
    </row>
    <row r="172" spans="1:9" x14ac:dyDescent="0.25">
      <c r="A172" t="s">
        <v>2549</v>
      </c>
      <c r="C172" s="3" t="str">
        <f>HYPERLINK("http://amigo.geneontology.org/amigo/term/GO:0005618","GO:0005618")</f>
        <v>GO:0005618</v>
      </c>
      <c r="D172" t="s">
        <v>218</v>
      </c>
      <c r="E172">
        <v>446</v>
      </c>
      <c r="F172">
        <v>9</v>
      </c>
      <c r="G172">
        <v>1.4247249605097099E-2</v>
      </c>
      <c r="H172">
        <v>0.39892298894271899</v>
      </c>
      <c r="I172" t="s">
        <v>6063</v>
      </c>
    </row>
    <row r="173" spans="1:9" x14ac:dyDescent="0.25">
      <c r="A173" t="s">
        <v>6236</v>
      </c>
      <c r="C173" s="3" t="str">
        <f>HYPERLINK("http://amigo.geneontology.org/amigo/term/GO:0015085","GO:0015085")</f>
        <v>GO:0015085</v>
      </c>
      <c r="D173" t="s">
        <v>656</v>
      </c>
      <c r="E173">
        <v>60</v>
      </c>
      <c r="F173">
        <v>3</v>
      </c>
      <c r="G173">
        <v>1.42549516454484E-2</v>
      </c>
      <c r="H173">
        <v>0.38488369442710901</v>
      </c>
      <c r="I173" t="s">
        <v>6190</v>
      </c>
    </row>
    <row r="174" spans="1:9" x14ac:dyDescent="0.25">
      <c r="A174" t="s">
        <v>6237</v>
      </c>
      <c r="C174" s="3" t="str">
        <f>HYPERLINK("http://amigo.geneontology.org/amigo/term/GO:0030312","GO:0030312")</f>
        <v>GO:0030312</v>
      </c>
      <c r="D174" t="s">
        <v>209</v>
      </c>
      <c r="E174">
        <v>450</v>
      </c>
      <c r="F174">
        <v>9</v>
      </c>
      <c r="G174">
        <v>1.50113354154164E-2</v>
      </c>
      <c r="H174">
        <v>0.40530605621624399</v>
      </c>
      <c r="I174" t="s">
        <v>6063</v>
      </c>
    </row>
    <row r="175" spans="1:9" x14ac:dyDescent="0.25">
      <c r="A175" t="s">
        <v>6238</v>
      </c>
      <c r="C175" s="3" t="str">
        <f>HYPERLINK("http://amigo.geneontology.org/amigo/term/GO:0006308","GO:0006308")</f>
        <v>GO:0006308</v>
      </c>
      <c r="D175" t="s">
        <v>5060</v>
      </c>
      <c r="E175">
        <v>62</v>
      </c>
      <c r="F175">
        <v>3</v>
      </c>
      <c r="G175">
        <v>1.55620035924067E-2</v>
      </c>
      <c r="H175">
        <v>0.42017409699498298</v>
      </c>
      <c r="I175" t="s">
        <v>6239</v>
      </c>
    </row>
    <row r="176" spans="1:9" x14ac:dyDescent="0.25">
      <c r="A176" t="s">
        <v>6240</v>
      </c>
      <c r="C176" s="3" t="str">
        <f>HYPERLINK("http://amigo.geneontology.org/amigo/term/GO:0015036","GO:0015036")</f>
        <v>GO:0015036</v>
      </c>
      <c r="D176" t="s">
        <v>6241</v>
      </c>
      <c r="E176">
        <v>308</v>
      </c>
      <c r="F176">
        <v>7</v>
      </c>
      <c r="G176">
        <v>1.62952415005078E-2</v>
      </c>
      <c r="H176">
        <v>0.43997152051371102</v>
      </c>
      <c r="I176" t="s">
        <v>6213</v>
      </c>
    </row>
    <row r="177" spans="1:9" x14ac:dyDescent="0.25">
      <c r="A177" t="s">
        <v>6242</v>
      </c>
      <c r="C177" s="3" t="str">
        <f>HYPERLINK("http://amigo.geneontology.org/amigo/term/GO:0051262","GO:0051262")</f>
        <v>GO:0051262</v>
      </c>
      <c r="D177" t="s">
        <v>6243</v>
      </c>
      <c r="E177">
        <v>2</v>
      </c>
      <c r="F177">
        <v>1</v>
      </c>
      <c r="G177">
        <v>1.6769078643347399E-2</v>
      </c>
      <c r="H177">
        <v>0.43599604472703402</v>
      </c>
      <c r="I177" t="s">
        <v>6076</v>
      </c>
    </row>
    <row r="178" spans="1:9" x14ac:dyDescent="0.25">
      <c r="A178" t="s">
        <v>6244</v>
      </c>
      <c r="C178" s="3" t="str">
        <f>HYPERLINK("http://amigo.geneontology.org/amigo/term/GO:0051289","GO:0051289")</f>
        <v>GO:0051289</v>
      </c>
      <c r="D178" t="s">
        <v>6245</v>
      </c>
      <c r="E178">
        <v>2</v>
      </c>
      <c r="F178">
        <v>1</v>
      </c>
      <c r="G178">
        <v>1.6769078643347399E-2</v>
      </c>
      <c r="H178">
        <v>0.43599604472703402</v>
      </c>
      <c r="I178" t="s">
        <v>6076</v>
      </c>
    </row>
    <row r="179" spans="1:9" x14ac:dyDescent="0.25">
      <c r="A179" t="s">
        <v>6246</v>
      </c>
      <c r="C179" s="3" t="str">
        <f>HYPERLINK("http://amigo.geneontology.org/amigo/term/GO:0030681","GO:0030681")</f>
        <v>GO:0030681</v>
      </c>
      <c r="D179" t="s">
        <v>6247</v>
      </c>
      <c r="E179">
        <v>2</v>
      </c>
      <c r="F179">
        <v>1</v>
      </c>
      <c r="G179">
        <v>1.6769078643347399E-2</v>
      </c>
      <c r="H179">
        <v>0.43599604472703402</v>
      </c>
      <c r="I179" t="s">
        <v>6141</v>
      </c>
    </row>
    <row r="180" spans="1:9" x14ac:dyDescent="0.25">
      <c r="A180" t="s">
        <v>6248</v>
      </c>
      <c r="C180" s="3" t="str">
        <f>HYPERLINK("http://amigo.geneontology.org/amigo/term/GO:0005655","GO:0005655")</f>
        <v>GO:0005655</v>
      </c>
      <c r="D180" t="s">
        <v>6249</v>
      </c>
      <c r="E180">
        <v>2</v>
      </c>
      <c r="F180">
        <v>1</v>
      </c>
      <c r="G180">
        <v>1.6769078643347399E-2</v>
      </c>
      <c r="H180">
        <v>0.43599604472703402</v>
      </c>
      <c r="I180" t="s">
        <v>6141</v>
      </c>
    </row>
    <row r="181" spans="1:9" x14ac:dyDescent="0.25">
      <c r="A181" t="s">
        <v>2579</v>
      </c>
      <c r="C181" s="3" t="str">
        <f>HYPERLINK("http://amigo.geneontology.org/amigo/term/GO:0015185","GO:0015185")</f>
        <v>GO:0015185</v>
      </c>
      <c r="D181" t="s">
        <v>5519</v>
      </c>
      <c r="E181">
        <v>2</v>
      </c>
      <c r="F181">
        <v>1</v>
      </c>
      <c r="G181">
        <v>1.6769078643347399E-2</v>
      </c>
      <c r="H181">
        <v>0.43599604472703402</v>
      </c>
      <c r="I181" t="s">
        <v>5683</v>
      </c>
    </row>
    <row r="182" spans="1:9" x14ac:dyDescent="0.25">
      <c r="A182" t="s">
        <v>4511</v>
      </c>
      <c r="C182" s="3" t="str">
        <f>HYPERLINK("http://amigo.geneontology.org/amigo/term/GO:0043446","GO:0043446")</f>
        <v>GO:0043446</v>
      </c>
      <c r="D182" t="s">
        <v>6250</v>
      </c>
      <c r="E182">
        <v>2</v>
      </c>
      <c r="F182">
        <v>1</v>
      </c>
      <c r="G182">
        <v>1.6769078643347399E-2</v>
      </c>
      <c r="H182">
        <v>0.43599604472703402</v>
      </c>
      <c r="I182" t="s">
        <v>3733</v>
      </c>
    </row>
    <row r="183" spans="1:9" x14ac:dyDescent="0.25">
      <c r="A183" t="s">
        <v>6251</v>
      </c>
      <c r="C183" s="3" t="str">
        <f>HYPERLINK("http://amigo.geneontology.org/amigo/term/GO:0043447","GO:0043447")</f>
        <v>GO:0043447</v>
      </c>
      <c r="D183" t="s">
        <v>6252</v>
      </c>
      <c r="E183">
        <v>2</v>
      </c>
      <c r="F183">
        <v>1</v>
      </c>
      <c r="G183">
        <v>1.6769078643347399E-2</v>
      </c>
      <c r="H183">
        <v>0.45276512337038199</v>
      </c>
      <c r="I183" t="s">
        <v>3733</v>
      </c>
    </row>
    <row r="184" spans="1:9" x14ac:dyDescent="0.25">
      <c r="A184" t="s">
        <v>5141</v>
      </c>
      <c r="C184" s="3" t="str">
        <f>HYPERLINK("http://amigo.geneontology.org/amigo/term/GO:0016297","GO:0016297")</f>
        <v>GO:0016297</v>
      </c>
      <c r="D184" t="s">
        <v>6253</v>
      </c>
      <c r="E184">
        <v>2</v>
      </c>
      <c r="F184">
        <v>1</v>
      </c>
      <c r="G184">
        <v>1.6769078643347399E-2</v>
      </c>
      <c r="H184">
        <v>0.45276512337038199</v>
      </c>
      <c r="I184" t="s">
        <v>1454</v>
      </c>
    </row>
    <row r="185" spans="1:9" x14ac:dyDescent="0.25">
      <c r="A185" t="s">
        <v>4514</v>
      </c>
      <c r="C185" s="3" t="str">
        <f>HYPERLINK("http://amigo.geneontology.org/amigo/term/GO:0016645","GO:0016645")</f>
        <v>GO:0016645</v>
      </c>
      <c r="D185" t="s">
        <v>5260</v>
      </c>
      <c r="E185">
        <v>64</v>
      </c>
      <c r="F185">
        <v>3</v>
      </c>
      <c r="G185">
        <v>1.69343333109289E-2</v>
      </c>
      <c r="H185">
        <v>0.42335833277322399</v>
      </c>
      <c r="I185" t="s">
        <v>6169</v>
      </c>
    </row>
    <row r="186" spans="1:9" x14ac:dyDescent="0.25">
      <c r="A186" t="s">
        <v>5143</v>
      </c>
      <c r="C186" s="3" t="str">
        <f>HYPERLINK("http://amigo.geneontology.org/amigo/term/GO:0016757","GO:0016757")</f>
        <v>GO:0016757</v>
      </c>
      <c r="D186" t="s">
        <v>977</v>
      </c>
      <c r="E186">
        <v>2155</v>
      </c>
      <c r="F186">
        <v>28</v>
      </c>
      <c r="G186">
        <v>1.7104024517296101E-2</v>
      </c>
      <c r="H186">
        <v>0.42760061293240398</v>
      </c>
      <c r="I186" t="s">
        <v>6254</v>
      </c>
    </row>
    <row r="187" spans="1:9" x14ac:dyDescent="0.25">
      <c r="A187" t="s">
        <v>6255</v>
      </c>
      <c r="C187" s="3" t="str">
        <f>HYPERLINK("http://amigo.geneontology.org/amigo/term/GO:0044042","GO:0044042")</f>
        <v>GO:0044042</v>
      </c>
      <c r="D187" t="s">
        <v>365</v>
      </c>
      <c r="E187">
        <v>620</v>
      </c>
      <c r="F187">
        <v>11</v>
      </c>
      <c r="G187">
        <v>1.7278159264575099E-2</v>
      </c>
      <c r="H187">
        <v>0.43195398161437698</v>
      </c>
      <c r="I187" t="s">
        <v>6256</v>
      </c>
    </row>
    <row r="188" spans="1:9" x14ac:dyDescent="0.25">
      <c r="A188" t="s">
        <v>890</v>
      </c>
      <c r="C188" s="3" t="str">
        <f>HYPERLINK("http://amigo.geneontology.org/amigo/term/GO:0006073","GO:0006073")</f>
        <v>GO:0006073</v>
      </c>
      <c r="D188" t="s">
        <v>368</v>
      </c>
      <c r="E188">
        <v>620</v>
      </c>
      <c r="F188">
        <v>11</v>
      </c>
      <c r="G188">
        <v>1.7278159264575099E-2</v>
      </c>
      <c r="H188">
        <v>0.43195398161437698</v>
      </c>
      <c r="I188" t="s">
        <v>6256</v>
      </c>
    </row>
    <row r="189" spans="1:9" x14ac:dyDescent="0.25">
      <c r="A189" t="s">
        <v>6257</v>
      </c>
      <c r="C189" s="3" t="str">
        <f>HYPERLINK("http://amigo.geneontology.org/amigo/term/GO:0097747","GO:0097747")</f>
        <v>GO:0097747</v>
      </c>
      <c r="D189" t="s">
        <v>6258</v>
      </c>
      <c r="E189">
        <v>242</v>
      </c>
      <c r="F189">
        <v>6</v>
      </c>
      <c r="G189">
        <v>1.73102572160088E-2</v>
      </c>
      <c r="H189">
        <v>0.43275643040022199</v>
      </c>
      <c r="I189" t="s">
        <v>6259</v>
      </c>
    </row>
    <row r="190" spans="1:9" x14ac:dyDescent="0.25">
      <c r="A190" t="s">
        <v>5582</v>
      </c>
      <c r="C190" s="3" t="str">
        <f>HYPERLINK("http://amigo.geneontology.org/amigo/term/GO:0034062","GO:0034062")</f>
        <v>GO:0034062</v>
      </c>
      <c r="D190" t="s">
        <v>6260</v>
      </c>
      <c r="E190">
        <v>242</v>
      </c>
      <c r="F190">
        <v>6</v>
      </c>
      <c r="G190">
        <v>1.73102572160088E-2</v>
      </c>
      <c r="H190">
        <v>0.43275643040022199</v>
      </c>
      <c r="I190" t="s">
        <v>6259</v>
      </c>
    </row>
    <row r="191" spans="1:9" x14ac:dyDescent="0.25">
      <c r="A191" t="s">
        <v>6261</v>
      </c>
      <c r="C191" s="3" t="str">
        <f>HYPERLINK("http://amigo.geneontology.org/amigo/term/GO:0044283","GO:0044283")</f>
        <v>GO:0044283</v>
      </c>
      <c r="D191" t="s">
        <v>888</v>
      </c>
      <c r="E191">
        <v>1875</v>
      </c>
      <c r="F191">
        <v>25</v>
      </c>
      <c r="G191">
        <v>1.77137120503475E-2</v>
      </c>
      <c r="H191">
        <v>0.44284280125868902</v>
      </c>
      <c r="I191" t="s">
        <v>6262</v>
      </c>
    </row>
    <row r="192" spans="1:9" x14ac:dyDescent="0.25">
      <c r="A192" t="s">
        <v>6263</v>
      </c>
      <c r="C192" s="3" t="str">
        <f>HYPERLINK("http://amigo.geneontology.org/amigo/term/GO:0016758","GO:0016758")</f>
        <v>GO:0016758</v>
      </c>
      <c r="D192" t="s">
        <v>721</v>
      </c>
      <c r="E192">
        <v>1783</v>
      </c>
      <c r="F192">
        <v>24</v>
      </c>
      <c r="G192">
        <v>1.7976302483069199E-2</v>
      </c>
      <c r="H192">
        <v>0.43143125959366102</v>
      </c>
      <c r="I192" t="s">
        <v>6264</v>
      </c>
    </row>
    <row r="193" spans="1:9" x14ac:dyDescent="0.25">
      <c r="A193" t="s">
        <v>6265</v>
      </c>
      <c r="C193" s="3" t="str">
        <f>HYPERLINK("http://amigo.geneontology.org/amigo/term/GO:0003002","GO:0003002")</f>
        <v>GO:0003002</v>
      </c>
      <c r="D193" t="s">
        <v>1146</v>
      </c>
      <c r="E193">
        <v>118</v>
      </c>
      <c r="F193">
        <v>4</v>
      </c>
      <c r="G193">
        <v>1.79921037830582E-2</v>
      </c>
      <c r="H193">
        <v>0.43181049079339801</v>
      </c>
      <c r="I193" t="s">
        <v>6091</v>
      </c>
    </row>
    <row r="194" spans="1:9" x14ac:dyDescent="0.25">
      <c r="A194" t="s">
        <v>6266</v>
      </c>
      <c r="C194" s="3" t="str">
        <f>HYPERLINK("http://amigo.geneontology.org/amigo/term/GO:0016746","GO:0016746")</f>
        <v>GO:0016746</v>
      </c>
      <c r="D194" t="s">
        <v>742</v>
      </c>
      <c r="E194">
        <v>1506</v>
      </c>
      <c r="F194">
        <v>21</v>
      </c>
      <c r="G194">
        <v>1.8347813017679501E-2</v>
      </c>
      <c r="H194">
        <v>0.44034751242430897</v>
      </c>
      <c r="I194" t="s">
        <v>6267</v>
      </c>
    </row>
    <row r="195" spans="1:9" x14ac:dyDescent="0.25">
      <c r="A195" t="s">
        <v>4523</v>
      </c>
      <c r="C195" s="3" t="str">
        <f>HYPERLINK("http://amigo.geneontology.org/amigo/term/GO:0046351","GO:0046351")</f>
        <v>GO:0046351</v>
      </c>
      <c r="D195" t="s">
        <v>6268</v>
      </c>
      <c r="E195">
        <v>66</v>
      </c>
      <c r="F195">
        <v>3</v>
      </c>
      <c r="G195">
        <v>1.8372202993898801E-2</v>
      </c>
      <c r="H195">
        <v>0.44093287185357199</v>
      </c>
      <c r="I195" t="s">
        <v>6218</v>
      </c>
    </row>
    <row r="196" spans="1:9" x14ac:dyDescent="0.25">
      <c r="A196" t="s">
        <v>2596</v>
      </c>
      <c r="C196" s="3" t="str">
        <f>HYPERLINK("http://amigo.geneontology.org/amigo/term/GO:0003700","GO:0003700")</f>
        <v>GO:0003700</v>
      </c>
      <c r="D196" t="s">
        <v>5173</v>
      </c>
      <c r="E196">
        <v>2075</v>
      </c>
      <c r="F196">
        <v>27</v>
      </c>
      <c r="G196">
        <v>1.8649870967433601E-2</v>
      </c>
      <c r="H196">
        <v>0.447596903218408</v>
      </c>
      <c r="I196" t="s">
        <v>6269</v>
      </c>
    </row>
    <row r="197" spans="1:9" x14ac:dyDescent="0.25">
      <c r="A197" t="s">
        <v>6270</v>
      </c>
      <c r="C197" s="3" t="str">
        <f>HYPERLINK("http://amigo.geneontology.org/amigo/term/GO:0030286","GO:0030286")</f>
        <v>GO:0030286</v>
      </c>
      <c r="D197" t="s">
        <v>6271</v>
      </c>
      <c r="E197">
        <v>25</v>
      </c>
      <c r="F197">
        <v>2</v>
      </c>
      <c r="G197">
        <v>1.86832058445454E-2</v>
      </c>
      <c r="H197">
        <v>0.44839694026909099</v>
      </c>
      <c r="I197" t="s">
        <v>6272</v>
      </c>
    </row>
    <row r="198" spans="1:9" x14ac:dyDescent="0.25">
      <c r="A198" t="s">
        <v>5147</v>
      </c>
      <c r="C198" s="3" t="str">
        <f>HYPERLINK("http://amigo.geneontology.org/amigo/term/GO:0001172","GO:0001172")</f>
        <v>GO:0001172</v>
      </c>
      <c r="D198" t="s">
        <v>6273</v>
      </c>
      <c r="E198">
        <v>25</v>
      </c>
      <c r="F198">
        <v>2</v>
      </c>
      <c r="G198">
        <v>1.86832058445454E-2</v>
      </c>
      <c r="H198">
        <v>0.44839694026909099</v>
      </c>
      <c r="I198" t="s">
        <v>6274</v>
      </c>
    </row>
    <row r="199" spans="1:9" x14ac:dyDescent="0.25">
      <c r="A199" t="s">
        <v>5150</v>
      </c>
      <c r="C199" s="3" t="str">
        <f>HYPERLINK("http://amigo.geneontology.org/amigo/term/GO:0016903","GO:0016903")</f>
        <v>GO:0016903</v>
      </c>
      <c r="D199" t="s">
        <v>992</v>
      </c>
      <c r="E199">
        <v>182</v>
      </c>
      <c r="F199">
        <v>5</v>
      </c>
      <c r="G199">
        <v>1.9485525246576599E-2</v>
      </c>
      <c r="H199">
        <v>0.46765260591783903</v>
      </c>
      <c r="I199" t="s">
        <v>6074</v>
      </c>
    </row>
    <row r="200" spans="1:9" x14ac:dyDescent="0.25">
      <c r="A200" t="s">
        <v>6275</v>
      </c>
      <c r="C200" s="3" t="str">
        <f>HYPERLINK("http://amigo.geneontology.org/amigo/term/GO:0051213","GO:0051213")</f>
        <v>GO:0051213</v>
      </c>
      <c r="D200" t="s">
        <v>5728</v>
      </c>
      <c r="E200">
        <v>396</v>
      </c>
      <c r="F200">
        <v>8</v>
      </c>
      <c r="G200">
        <v>2.0067361582729901E-2</v>
      </c>
      <c r="H200">
        <v>0.46154931640278901</v>
      </c>
      <c r="I200" t="s">
        <v>6276</v>
      </c>
    </row>
    <row r="201" spans="1:9" x14ac:dyDescent="0.25">
      <c r="A201" t="s">
        <v>5589</v>
      </c>
      <c r="C201" s="3" t="str">
        <f>HYPERLINK("http://amigo.geneontology.org/amigo/term/GO:0015743","GO:0015743")</f>
        <v>GO:0015743</v>
      </c>
      <c r="D201" t="s">
        <v>6277</v>
      </c>
      <c r="E201">
        <v>26</v>
      </c>
      <c r="F201">
        <v>2</v>
      </c>
      <c r="G201">
        <v>2.0128703532753998E-2</v>
      </c>
      <c r="H201">
        <v>0.46296018125334398</v>
      </c>
      <c r="I201" t="s">
        <v>6278</v>
      </c>
    </row>
    <row r="202" spans="1:9" x14ac:dyDescent="0.25">
      <c r="A202" t="s">
        <v>6279</v>
      </c>
      <c r="C202" s="3" t="str">
        <f>HYPERLINK("http://amigo.geneontology.org/amigo/term/GO:0022857","GO:0022857")</f>
        <v>GO:0022857</v>
      </c>
      <c r="D202" t="s">
        <v>261</v>
      </c>
      <c r="E202">
        <v>2485</v>
      </c>
      <c r="F202">
        <v>31</v>
      </c>
      <c r="G202">
        <v>2.0824218961815699E-2</v>
      </c>
      <c r="H202">
        <v>0.47895703612176099</v>
      </c>
      <c r="I202" t="s">
        <v>6280</v>
      </c>
    </row>
    <row r="203" spans="1:9" x14ac:dyDescent="0.25">
      <c r="A203" t="s">
        <v>6281</v>
      </c>
      <c r="C203" s="3" t="str">
        <f>HYPERLINK("http://amigo.geneontology.org/amigo/term/GO:0042575","GO:0042575")</f>
        <v>GO:0042575</v>
      </c>
      <c r="D203" t="s">
        <v>6282</v>
      </c>
      <c r="E203">
        <v>27</v>
      </c>
      <c r="F203">
        <v>2</v>
      </c>
      <c r="G203">
        <v>2.16193980444363E-2</v>
      </c>
      <c r="H203">
        <v>0.49724615502203401</v>
      </c>
      <c r="I203" t="s">
        <v>6207</v>
      </c>
    </row>
    <row r="204" spans="1:9" x14ac:dyDescent="0.25">
      <c r="A204" t="s">
        <v>5591</v>
      </c>
      <c r="C204" s="3" t="str">
        <f>HYPERLINK("http://amigo.geneontology.org/amigo/term/GO:0016843","GO:0016843")</f>
        <v>GO:0016843</v>
      </c>
      <c r="D204" t="s">
        <v>6283</v>
      </c>
      <c r="E204">
        <v>71</v>
      </c>
      <c r="F204">
        <v>3</v>
      </c>
      <c r="G204">
        <v>2.22546760278086E-2</v>
      </c>
      <c r="H204">
        <v>0.51185754863959798</v>
      </c>
      <c r="I204" t="s">
        <v>6284</v>
      </c>
    </row>
    <row r="205" spans="1:9" x14ac:dyDescent="0.25">
      <c r="A205" t="s">
        <v>43</v>
      </c>
      <c r="C205" s="3" t="str">
        <f>HYPERLINK("http://amigo.geneontology.org/amigo/term/GO:0016844","GO:0016844")</f>
        <v>GO:0016844</v>
      </c>
      <c r="D205" t="s">
        <v>6285</v>
      </c>
      <c r="E205">
        <v>71</v>
      </c>
      <c r="F205">
        <v>3</v>
      </c>
      <c r="G205">
        <v>2.22546760278086E-2</v>
      </c>
      <c r="H205">
        <v>0.51185754863959798</v>
      </c>
      <c r="I205" t="s">
        <v>6284</v>
      </c>
    </row>
    <row r="206" spans="1:9" x14ac:dyDescent="0.25">
      <c r="A206" t="s">
        <v>6286</v>
      </c>
      <c r="C206" s="3" t="str">
        <f>HYPERLINK("http://amigo.geneontology.org/amigo/term/GO:0016747","GO:0016747")</f>
        <v>GO:0016747</v>
      </c>
      <c r="D206" t="s">
        <v>708</v>
      </c>
      <c r="E206">
        <v>1353</v>
      </c>
      <c r="F206">
        <v>19</v>
      </c>
      <c r="G206">
        <v>2.2559077780924201E-2</v>
      </c>
      <c r="H206">
        <v>0.51885878896125803</v>
      </c>
      <c r="I206" t="s">
        <v>6287</v>
      </c>
    </row>
    <row r="207" spans="1:9" x14ac:dyDescent="0.25">
      <c r="A207" t="s">
        <v>100</v>
      </c>
      <c r="C207" s="3" t="str">
        <f>HYPERLINK("http://amigo.geneontology.org/amigo/term/GO:1901657","GO:1901657")</f>
        <v>GO:1901657</v>
      </c>
      <c r="D207" t="s">
        <v>6288</v>
      </c>
      <c r="E207">
        <v>259</v>
      </c>
      <c r="F207">
        <v>6</v>
      </c>
      <c r="G207">
        <v>2.32371608346786E-2</v>
      </c>
      <c r="H207">
        <v>0.53445469919761002</v>
      </c>
      <c r="I207" t="s">
        <v>6162</v>
      </c>
    </row>
    <row r="208" spans="1:9" x14ac:dyDescent="0.25">
      <c r="A208" t="s">
        <v>6289</v>
      </c>
      <c r="C208" s="3" t="str">
        <f>HYPERLINK("http://amigo.geneontology.org/amigo/term/GO:0071804","GO:0071804")</f>
        <v>GO:0071804</v>
      </c>
      <c r="D208" t="s">
        <v>305</v>
      </c>
      <c r="E208">
        <v>128</v>
      </c>
      <c r="F208">
        <v>4</v>
      </c>
      <c r="G208">
        <v>2.3442541485828201E-2</v>
      </c>
      <c r="H208">
        <v>0.51573591268822105</v>
      </c>
      <c r="I208" t="s">
        <v>6290</v>
      </c>
    </row>
    <row r="209" spans="1:9" x14ac:dyDescent="0.25">
      <c r="A209" t="s">
        <v>922</v>
      </c>
      <c r="C209" s="3" t="str">
        <f>HYPERLINK("http://amigo.geneontology.org/amigo/term/GO:0071805","GO:0071805")</f>
        <v>GO:0071805</v>
      </c>
      <c r="D209" t="s">
        <v>308</v>
      </c>
      <c r="E209">
        <v>128</v>
      </c>
      <c r="F209">
        <v>4</v>
      </c>
      <c r="G209">
        <v>2.3442541485828201E-2</v>
      </c>
      <c r="H209">
        <v>0.51573591268822105</v>
      </c>
      <c r="I209" t="s">
        <v>6290</v>
      </c>
    </row>
    <row r="210" spans="1:9" x14ac:dyDescent="0.25">
      <c r="A210" t="s">
        <v>924</v>
      </c>
      <c r="C210" s="3" t="str">
        <f>HYPERLINK("http://amigo.geneontology.org/amigo/term/GO:0015740","GO:0015740")</f>
        <v>GO:0015740</v>
      </c>
      <c r="D210" t="s">
        <v>6291</v>
      </c>
      <c r="E210">
        <v>29</v>
      </c>
      <c r="F210">
        <v>2</v>
      </c>
      <c r="G210">
        <v>2.4732944377058801E-2</v>
      </c>
      <c r="H210">
        <v>0.54412477629529399</v>
      </c>
      <c r="I210" t="s">
        <v>6278</v>
      </c>
    </row>
    <row r="211" spans="1:9" x14ac:dyDescent="0.25">
      <c r="A211" t="s">
        <v>926</v>
      </c>
      <c r="C211" s="3" t="str">
        <f>HYPERLINK("http://amigo.geneontology.org/amigo/term/GO:0071491","GO:0071491")</f>
        <v>GO:0071491</v>
      </c>
      <c r="D211" t="s">
        <v>917</v>
      </c>
      <c r="E211">
        <v>3</v>
      </c>
      <c r="F211">
        <v>1</v>
      </c>
      <c r="G211">
        <v>2.5048031741081798E-2</v>
      </c>
      <c r="H211">
        <v>0.52600866656271805</v>
      </c>
      <c r="I211" t="s">
        <v>3190</v>
      </c>
    </row>
    <row r="212" spans="1:9" x14ac:dyDescent="0.25">
      <c r="A212" t="s">
        <v>6292</v>
      </c>
      <c r="C212" s="3" t="str">
        <f>HYPERLINK("http://amigo.geneontology.org/amigo/term/GO:0010161","GO:0010161")</f>
        <v>GO:0010161</v>
      </c>
      <c r="D212" t="s">
        <v>919</v>
      </c>
      <c r="E212">
        <v>3</v>
      </c>
      <c r="F212">
        <v>1</v>
      </c>
      <c r="G212">
        <v>2.5048031741081798E-2</v>
      </c>
      <c r="H212">
        <v>0.52600866656271805</v>
      </c>
      <c r="I212" t="s">
        <v>3190</v>
      </c>
    </row>
    <row r="213" spans="1:9" x14ac:dyDescent="0.25">
      <c r="A213" t="s">
        <v>2607</v>
      </c>
      <c r="C213" s="3" t="str">
        <f>HYPERLINK("http://amigo.geneontology.org/amigo/term/GO:0010201","GO:0010201")</f>
        <v>GO:0010201</v>
      </c>
      <c r="D213" t="s">
        <v>921</v>
      </c>
      <c r="E213">
        <v>3</v>
      </c>
      <c r="F213">
        <v>1</v>
      </c>
      <c r="G213">
        <v>2.5048031741081798E-2</v>
      </c>
      <c r="H213">
        <v>0.52600866656271805</v>
      </c>
      <c r="I213" t="s">
        <v>3190</v>
      </c>
    </row>
    <row r="214" spans="1:9" x14ac:dyDescent="0.25">
      <c r="A214" t="s">
        <v>6293</v>
      </c>
      <c r="C214" s="3" t="str">
        <f>HYPERLINK("http://amigo.geneontology.org/amigo/term/GO:0010203","GO:0010203")</f>
        <v>GO:0010203</v>
      </c>
      <c r="D214" t="s">
        <v>923</v>
      </c>
      <c r="E214">
        <v>3</v>
      </c>
      <c r="F214">
        <v>1</v>
      </c>
      <c r="G214">
        <v>2.5048031741081798E-2</v>
      </c>
      <c r="H214">
        <v>0.52600866656271805</v>
      </c>
      <c r="I214" t="s">
        <v>3190</v>
      </c>
    </row>
    <row r="215" spans="1:9" x14ac:dyDescent="0.25">
      <c r="A215" t="s">
        <v>6294</v>
      </c>
      <c r="C215" s="3" t="str">
        <f>HYPERLINK("http://amigo.geneontology.org/amigo/term/GO:0009883","GO:0009883")</f>
        <v>GO:0009883</v>
      </c>
      <c r="D215" t="s">
        <v>910</v>
      </c>
      <c r="E215">
        <v>3</v>
      </c>
      <c r="F215">
        <v>1</v>
      </c>
      <c r="G215">
        <v>2.5048031741081798E-2</v>
      </c>
      <c r="H215">
        <v>0.52600866656271805</v>
      </c>
      <c r="I215" t="s">
        <v>3190</v>
      </c>
    </row>
    <row r="216" spans="1:9" x14ac:dyDescent="0.25">
      <c r="A216" t="s">
        <v>945</v>
      </c>
      <c r="C216" s="3" t="str">
        <f>HYPERLINK("http://amigo.geneontology.org/amigo/term/GO:0031516","GO:0031516")</f>
        <v>GO:0031516</v>
      </c>
      <c r="D216" t="s">
        <v>925</v>
      </c>
      <c r="E216">
        <v>3</v>
      </c>
      <c r="F216">
        <v>1</v>
      </c>
      <c r="G216">
        <v>2.5048031741081798E-2</v>
      </c>
      <c r="H216">
        <v>0.52600866656271805</v>
      </c>
      <c r="I216" t="s">
        <v>3190</v>
      </c>
    </row>
    <row r="217" spans="1:9" x14ac:dyDescent="0.25">
      <c r="A217" t="s">
        <v>948</v>
      </c>
      <c r="C217" s="3" t="str">
        <f>HYPERLINK("http://amigo.geneontology.org/amigo/term/GO:0071490","GO:0071490")</f>
        <v>GO:0071490</v>
      </c>
      <c r="D217" t="s">
        <v>913</v>
      </c>
      <c r="E217">
        <v>3</v>
      </c>
      <c r="F217">
        <v>1</v>
      </c>
      <c r="G217">
        <v>2.5048031741081798E-2</v>
      </c>
      <c r="H217">
        <v>0.52600866656271805</v>
      </c>
      <c r="I217" t="s">
        <v>3190</v>
      </c>
    </row>
    <row r="218" spans="1:9" x14ac:dyDescent="0.25">
      <c r="A218" t="s">
        <v>4530</v>
      </c>
      <c r="C218" s="3" t="str">
        <f>HYPERLINK("http://amigo.geneontology.org/amigo/term/GO:0010018","GO:0010018")</f>
        <v>GO:0010018</v>
      </c>
      <c r="D218" t="s">
        <v>915</v>
      </c>
      <c r="E218">
        <v>3</v>
      </c>
      <c r="F218">
        <v>1</v>
      </c>
      <c r="G218">
        <v>2.5048031741081798E-2</v>
      </c>
      <c r="H218">
        <v>0.52600866656271805</v>
      </c>
      <c r="I218" t="s">
        <v>3190</v>
      </c>
    </row>
    <row r="219" spans="1:9" x14ac:dyDescent="0.25">
      <c r="A219" t="s">
        <v>954</v>
      </c>
      <c r="C219" s="3" t="str">
        <f>HYPERLINK("http://amigo.geneontology.org/amigo/term/GO:0004512","GO:0004512")</f>
        <v>GO:0004512</v>
      </c>
      <c r="D219" t="s">
        <v>4234</v>
      </c>
      <c r="E219">
        <v>3</v>
      </c>
      <c r="F219">
        <v>1</v>
      </c>
      <c r="G219">
        <v>2.5048031741081798E-2</v>
      </c>
      <c r="H219">
        <v>0.5510566983038</v>
      </c>
      <c r="I219" t="s">
        <v>6295</v>
      </c>
    </row>
    <row r="220" spans="1:9" x14ac:dyDescent="0.25">
      <c r="A220" t="s">
        <v>5598</v>
      </c>
      <c r="C220" s="3" t="str">
        <f>HYPERLINK("http://amigo.geneontology.org/amigo/term/GO:1901379","GO:1901379")</f>
        <v>GO:1901379</v>
      </c>
      <c r="D220" t="s">
        <v>927</v>
      </c>
      <c r="E220">
        <v>3</v>
      </c>
      <c r="F220">
        <v>1</v>
      </c>
      <c r="G220">
        <v>2.5048031741081798E-2</v>
      </c>
      <c r="H220">
        <v>0.5510566983038</v>
      </c>
      <c r="I220" t="s">
        <v>6296</v>
      </c>
    </row>
    <row r="221" spans="1:9" x14ac:dyDescent="0.25">
      <c r="A221" t="s">
        <v>6297</v>
      </c>
      <c r="C221" s="3" t="str">
        <f>HYPERLINK("http://amigo.geneontology.org/amigo/term/GO:1901016","GO:1901016")</f>
        <v>GO:1901016</v>
      </c>
      <c r="D221" t="s">
        <v>930</v>
      </c>
      <c r="E221">
        <v>3</v>
      </c>
      <c r="F221">
        <v>1</v>
      </c>
      <c r="G221">
        <v>2.5048031741081798E-2</v>
      </c>
      <c r="H221">
        <v>0.5510566983038</v>
      </c>
      <c r="I221" t="s">
        <v>6296</v>
      </c>
    </row>
    <row r="222" spans="1:9" x14ac:dyDescent="0.25">
      <c r="A222" t="s">
        <v>6298</v>
      </c>
      <c r="C222" s="3" t="str">
        <f>HYPERLINK("http://amigo.geneontology.org/amigo/term/GO:2001257","GO:2001257")</f>
        <v>GO:2001257</v>
      </c>
      <c r="D222" t="s">
        <v>932</v>
      </c>
      <c r="E222">
        <v>3</v>
      </c>
      <c r="F222">
        <v>1</v>
      </c>
      <c r="G222">
        <v>2.5048031741081798E-2</v>
      </c>
      <c r="H222">
        <v>0.5510566983038</v>
      </c>
      <c r="I222" t="s">
        <v>6296</v>
      </c>
    </row>
    <row r="223" spans="1:9" x14ac:dyDescent="0.25">
      <c r="A223" t="s">
        <v>6299</v>
      </c>
      <c r="C223" s="3" t="str">
        <f>HYPERLINK("http://amigo.geneontology.org/amigo/term/GO:1901979","GO:1901979")</f>
        <v>GO:1901979</v>
      </c>
      <c r="D223" t="s">
        <v>934</v>
      </c>
      <c r="E223">
        <v>3</v>
      </c>
      <c r="F223">
        <v>1</v>
      </c>
      <c r="G223">
        <v>2.5048031741081798E-2</v>
      </c>
      <c r="H223">
        <v>0.5510566983038</v>
      </c>
      <c r="I223" t="s">
        <v>6296</v>
      </c>
    </row>
    <row r="224" spans="1:9" x14ac:dyDescent="0.25">
      <c r="A224" t="s">
        <v>6300</v>
      </c>
      <c r="C224" s="3" t="str">
        <f>HYPERLINK("http://amigo.geneontology.org/amigo/term/GO:0015140","GO:0015140")</f>
        <v>GO:0015140</v>
      </c>
      <c r="D224" t="s">
        <v>5222</v>
      </c>
      <c r="E224">
        <v>3</v>
      </c>
      <c r="F224">
        <v>1</v>
      </c>
      <c r="G224">
        <v>2.5048031741081798E-2</v>
      </c>
      <c r="H224">
        <v>0.5510566983038</v>
      </c>
      <c r="I224" t="s">
        <v>5223</v>
      </c>
    </row>
    <row r="225" spans="1:9" x14ac:dyDescent="0.25">
      <c r="A225" t="s">
        <v>6301</v>
      </c>
      <c r="C225" s="3" t="str">
        <f>HYPERLINK("http://amigo.geneontology.org/amigo/term/GO:1901136","GO:1901136")</f>
        <v>GO:1901136</v>
      </c>
      <c r="D225" t="s">
        <v>6302</v>
      </c>
      <c r="E225">
        <v>132</v>
      </c>
      <c r="F225">
        <v>4</v>
      </c>
      <c r="G225">
        <v>2.5873555056015501E-2</v>
      </c>
      <c r="H225">
        <v>0.54334465617632699</v>
      </c>
      <c r="I225" t="s">
        <v>6303</v>
      </c>
    </row>
    <row r="226" spans="1:9" x14ac:dyDescent="0.25">
      <c r="A226" t="s">
        <v>4537</v>
      </c>
      <c r="C226" s="3" t="str">
        <f>HYPERLINK("http://amigo.geneontology.org/amigo/term/GO:0016779","GO:0016779")</f>
        <v>GO:0016779</v>
      </c>
      <c r="D226" t="s">
        <v>6304</v>
      </c>
      <c r="E226">
        <v>498</v>
      </c>
      <c r="F226">
        <v>9</v>
      </c>
      <c r="G226">
        <v>2.6676800254735799E-2</v>
      </c>
      <c r="H226">
        <v>0.56021280534945195</v>
      </c>
      <c r="I226" t="s">
        <v>6305</v>
      </c>
    </row>
    <row r="227" spans="1:9" x14ac:dyDescent="0.25">
      <c r="A227" t="s">
        <v>6306</v>
      </c>
      <c r="C227" s="3" t="str">
        <f>HYPERLINK("http://amigo.geneontology.org/amigo/term/GO:0009965","GO:0009965")</f>
        <v>GO:0009965</v>
      </c>
      <c r="D227" t="s">
        <v>6307</v>
      </c>
      <c r="E227">
        <v>134</v>
      </c>
      <c r="F227">
        <v>4</v>
      </c>
      <c r="G227">
        <v>2.7143690060524101E-2</v>
      </c>
      <c r="H227">
        <v>0.54287380121048201</v>
      </c>
      <c r="I227" t="s">
        <v>6091</v>
      </c>
    </row>
    <row r="228" spans="1:9" x14ac:dyDescent="0.25">
      <c r="A228" t="s">
        <v>1003</v>
      </c>
      <c r="C228" s="3" t="str">
        <f>HYPERLINK("http://amigo.geneontology.org/amigo/term/GO:0015698","GO:0015698")</f>
        <v>GO:0015698</v>
      </c>
      <c r="D228" t="s">
        <v>5484</v>
      </c>
      <c r="E228">
        <v>199</v>
      </c>
      <c r="F228">
        <v>5</v>
      </c>
      <c r="G228">
        <v>2.73018571608169E-2</v>
      </c>
      <c r="H228">
        <v>0.54603714321633801</v>
      </c>
      <c r="I228" t="s">
        <v>6066</v>
      </c>
    </row>
    <row r="229" spans="1:9" x14ac:dyDescent="0.25">
      <c r="A229" t="s">
        <v>2634</v>
      </c>
      <c r="C229" s="3" t="str">
        <f>HYPERLINK("http://amigo.geneontology.org/amigo/term/GO:0004806","GO:0004806")</f>
        <v>GO:0004806</v>
      </c>
      <c r="D229" t="s">
        <v>6308</v>
      </c>
      <c r="E229">
        <v>80</v>
      </c>
      <c r="F229">
        <v>3</v>
      </c>
      <c r="G229">
        <v>3.0279674634316502E-2</v>
      </c>
      <c r="H229">
        <v>0.60559349268633</v>
      </c>
      <c r="I229" t="s">
        <v>6309</v>
      </c>
    </row>
    <row r="230" spans="1:9" x14ac:dyDescent="0.25">
      <c r="A230" t="s">
        <v>2635</v>
      </c>
      <c r="C230" s="3" t="str">
        <f>HYPERLINK("http://amigo.geneontology.org/amigo/term/GO:0010075","GO:0010075")</f>
        <v>GO:0010075</v>
      </c>
      <c r="D230" t="s">
        <v>6310</v>
      </c>
      <c r="E230">
        <v>80</v>
      </c>
      <c r="F230">
        <v>3</v>
      </c>
      <c r="G230">
        <v>3.0279674634316502E-2</v>
      </c>
      <c r="H230">
        <v>0.60559349268633</v>
      </c>
      <c r="I230" t="s">
        <v>6311</v>
      </c>
    </row>
    <row r="231" spans="1:9" x14ac:dyDescent="0.25">
      <c r="A231" t="s">
        <v>5604</v>
      </c>
      <c r="C231" s="3" t="str">
        <f>HYPERLINK("http://amigo.geneontology.org/amigo/term/GO:0006835","GO:0006835")</f>
        <v>GO:0006835</v>
      </c>
      <c r="D231" t="s">
        <v>6312</v>
      </c>
      <c r="E231">
        <v>33</v>
      </c>
      <c r="F231">
        <v>2</v>
      </c>
      <c r="G231">
        <v>3.1465257426164399E-2</v>
      </c>
      <c r="H231">
        <v>0.629305148523288</v>
      </c>
      <c r="I231" t="s">
        <v>6278</v>
      </c>
    </row>
    <row r="232" spans="1:9" x14ac:dyDescent="0.25">
      <c r="A232" t="s">
        <v>6313</v>
      </c>
      <c r="C232" s="3" t="str">
        <f>HYPERLINK("http://amigo.geneontology.org/amigo/term/GO:0006576","GO:0006576")</f>
        <v>GO:0006576</v>
      </c>
      <c r="D232" t="s">
        <v>6314</v>
      </c>
      <c r="E232">
        <v>208</v>
      </c>
      <c r="F232">
        <v>5</v>
      </c>
      <c r="G232">
        <v>3.2142943219757698E-2</v>
      </c>
      <c r="H232">
        <v>0.64285886439515505</v>
      </c>
      <c r="I232" t="s">
        <v>6140</v>
      </c>
    </row>
    <row r="233" spans="1:9" x14ac:dyDescent="0.25">
      <c r="A233" t="s">
        <v>106</v>
      </c>
      <c r="C233" s="3" t="str">
        <f>HYPERLINK("http://amigo.geneontology.org/amigo/term/GO:0031225","GO:0031225")</f>
        <v>GO:0031225</v>
      </c>
      <c r="D233" t="s">
        <v>1532</v>
      </c>
      <c r="E233">
        <v>82</v>
      </c>
      <c r="F233">
        <v>3</v>
      </c>
      <c r="G233">
        <v>3.2243066292115603E-2</v>
      </c>
      <c r="H233">
        <v>0.64486132584231204</v>
      </c>
      <c r="I233" t="s">
        <v>6315</v>
      </c>
    </row>
    <row r="234" spans="1:9" x14ac:dyDescent="0.25">
      <c r="A234" t="s">
        <v>6316</v>
      </c>
      <c r="C234" s="3" t="str">
        <f>HYPERLINK("http://amigo.geneontology.org/amigo/term/GO:0044262","GO:0044262")</f>
        <v>GO:0044262</v>
      </c>
      <c r="D234" t="s">
        <v>237</v>
      </c>
      <c r="E234">
        <v>1040</v>
      </c>
      <c r="F234">
        <v>15</v>
      </c>
      <c r="G234">
        <v>3.2501839932595103E-2</v>
      </c>
      <c r="H234">
        <v>0.650036798651902</v>
      </c>
      <c r="I234" t="s">
        <v>6317</v>
      </c>
    </row>
    <row r="235" spans="1:9" x14ac:dyDescent="0.25">
      <c r="A235" t="s">
        <v>5605</v>
      </c>
      <c r="C235" s="3" t="str">
        <f>HYPERLINK("http://amigo.geneontology.org/amigo/term/GO:0044106","GO:0044106")</f>
        <v>GO:0044106</v>
      </c>
      <c r="D235" t="s">
        <v>6318</v>
      </c>
      <c r="E235">
        <v>209</v>
      </c>
      <c r="F235">
        <v>5</v>
      </c>
      <c r="G235">
        <v>3.2711752823120298E-2</v>
      </c>
      <c r="H235">
        <v>0.65423505646240598</v>
      </c>
      <c r="I235" t="s">
        <v>6140</v>
      </c>
    </row>
    <row r="236" spans="1:9" x14ac:dyDescent="0.25">
      <c r="A236" t="s">
        <v>6319</v>
      </c>
      <c r="C236" s="3" t="str">
        <f>HYPERLINK("http://amigo.geneontology.org/amigo/term/GO:0000172","GO:0000172")</f>
        <v>GO:0000172</v>
      </c>
      <c r="D236" t="s">
        <v>6320</v>
      </c>
      <c r="E236">
        <v>4</v>
      </c>
      <c r="F236">
        <v>1</v>
      </c>
      <c r="G236">
        <v>3.3257381309039102E-2</v>
      </c>
      <c r="H236">
        <v>0.63189024487174394</v>
      </c>
      <c r="I236" t="s">
        <v>6141</v>
      </c>
    </row>
    <row r="237" spans="1:9" x14ac:dyDescent="0.25">
      <c r="A237" t="s">
        <v>6321</v>
      </c>
      <c r="C237" s="3" t="str">
        <f>HYPERLINK("http://amigo.geneontology.org/amigo/term/GO:1905348","GO:1905348")</f>
        <v>GO:1905348</v>
      </c>
      <c r="D237" t="s">
        <v>6322</v>
      </c>
      <c r="E237">
        <v>4</v>
      </c>
      <c r="F237">
        <v>1</v>
      </c>
      <c r="G237">
        <v>3.3257381309039102E-2</v>
      </c>
      <c r="H237">
        <v>0.63189024487174394</v>
      </c>
      <c r="I237" t="s">
        <v>6141</v>
      </c>
    </row>
    <row r="238" spans="1:9" x14ac:dyDescent="0.25">
      <c r="A238" t="s">
        <v>6323</v>
      </c>
      <c r="C238" s="3" t="str">
        <f>HYPERLINK("http://amigo.geneontology.org/amigo/term/GO:1902555","GO:1902555")</f>
        <v>GO:1902555</v>
      </c>
      <c r="D238" t="s">
        <v>6324</v>
      </c>
      <c r="E238">
        <v>4</v>
      </c>
      <c r="F238">
        <v>1</v>
      </c>
      <c r="G238">
        <v>3.3257381309039102E-2</v>
      </c>
      <c r="H238">
        <v>0.63189024487174394</v>
      </c>
      <c r="I238" t="s">
        <v>6141</v>
      </c>
    </row>
    <row r="239" spans="1:9" x14ac:dyDescent="0.25">
      <c r="A239" t="s">
        <v>6325</v>
      </c>
      <c r="C239" s="3" t="str">
        <f>HYPERLINK("http://amigo.geneontology.org/amigo/term/GO:0030677","GO:0030677")</f>
        <v>GO:0030677</v>
      </c>
      <c r="D239" t="s">
        <v>6326</v>
      </c>
      <c r="E239">
        <v>4</v>
      </c>
      <c r="F239">
        <v>1</v>
      </c>
      <c r="G239">
        <v>3.3257381309039102E-2</v>
      </c>
      <c r="H239">
        <v>0.63189024487174394</v>
      </c>
      <c r="I239" t="s">
        <v>6141</v>
      </c>
    </row>
    <row r="240" spans="1:9" x14ac:dyDescent="0.25">
      <c r="A240" t="s">
        <v>4548</v>
      </c>
      <c r="C240" s="3" t="str">
        <f>HYPERLINK("http://amigo.geneontology.org/amigo/term/GO:0043433","GO:0043433")</f>
        <v>GO:0043433</v>
      </c>
      <c r="D240" t="s">
        <v>6327</v>
      </c>
      <c r="E240">
        <v>4</v>
      </c>
      <c r="F240">
        <v>1</v>
      </c>
      <c r="G240">
        <v>3.3257381309039102E-2</v>
      </c>
      <c r="H240">
        <v>0.63189024487174394</v>
      </c>
      <c r="I240" t="s">
        <v>6237</v>
      </c>
    </row>
    <row r="241" spans="1:9" x14ac:dyDescent="0.25">
      <c r="A241" t="s">
        <v>6328</v>
      </c>
      <c r="C241" s="3" t="str">
        <f>HYPERLINK("http://amigo.geneontology.org/amigo/term/GO:0005365","GO:0005365")</f>
        <v>GO:0005365</v>
      </c>
      <c r="D241" t="s">
        <v>6329</v>
      </c>
      <c r="E241">
        <v>4</v>
      </c>
      <c r="F241">
        <v>1</v>
      </c>
      <c r="G241">
        <v>3.3257381309039102E-2</v>
      </c>
      <c r="H241">
        <v>0.63189024487174394</v>
      </c>
      <c r="I241" t="s">
        <v>6246</v>
      </c>
    </row>
    <row r="242" spans="1:9" x14ac:dyDescent="0.25">
      <c r="A242" t="s">
        <v>6330</v>
      </c>
      <c r="C242" s="3" t="str">
        <f>HYPERLINK("http://amigo.geneontology.org/amigo/term/GO:0005366","GO:0005366")</f>
        <v>GO:0005366</v>
      </c>
      <c r="D242" t="s">
        <v>6331</v>
      </c>
      <c r="E242">
        <v>4</v>
      </c>
      <c r="F242">
        <v>1</v>
      </c>
      <c r="G242">
        <v>3.3257381309039102E-2</v>
      </c>
      <c r="H242">
        <v>0.63189024487174394</v>
      </c>
      <c r="I242" t="s">
        <v>6246</v>
      </c>
    </row>
    <row r="243" spans="1:9" x14ac:dyDescent="0.25">
      <c r="A243" t="s">
        <v>6332</v>
      </c>
      <c r="C243" s="3" t="str">
        <f>HYPERLINK("http://amigo.geneontology.org/amigo/term/GO:0015798","GO:0015798")</f>
        <v>GO:0015798</v>
      </c>
      <c r="D243" t="s">
        <v>6333</v>
      </c>
      <c r="E243">
        <v>4</v>
      </c>
      <c r="F243">
        <v>1</v>
      </c>
      <c r="G243">
        <v>3.3257381309039102E-2</v>
      </c>
      <c r="H243">
        <v>0.63189024487174394</v>
      </c>
      <c r="I243" t="s">
        <v>6246</v>
      </c>
    </row>
    <row r="244" spans="1:9" x14ac:dyDescent="0.25">
      <c r="A244" t="s">
        <v>4551</v>
      </c>
      <c r="C244" s="3" t="str">
        <f>HYPERLINK("http://amigo.geneontology.org/amigo/term/GO:0055122","GO:0055122")</f>
        <v>GO:0055122</v>
      </c>
      <c r="D244" t="s">
        <v>1051</v>
      </c>
      <c r="E244">
        <v>4</v>
      </c>
      <c r="F244">
        <v>1</v>
      </c>
      <c r="G244">
        <v>3.3257381309039102E-2</v>
      </c>
      <c r="H244">
        <v>0.63189024487174394</v>
      </c>
      <c r="I244" t="s">
        <v>3190</v>
      </c>
    </row>
    <row r="245" spans="1:9" x14ac:dyDescent="0.25">
      <c r="A245" t="s">
        <v>5614</v>
      </c>
      <c r="C245" s="3" t="str">
        <f>HYPERLINK("http://amigo.geneontology.org/amigo/term/GO:0043266","GO:0043266")</f>
        <v>GO:0043266</v>
      </c>
      <c r="D245" t="s">
        <v>1053</v>
      </c>
      <c r="E245">
        <v>4</v>
      </c>
      <c r="F245">
        <v>1</v>
      </c>
      <c r="G245">
        <v>3.3257381309039102E-2</v>
      </c>
      <c r="H245">
        <v>0.66514762618078305</v>
      </c>
      <c r="I245" t="s">
        <v>6296</v>
      </c>
    </row>
    <row r="246" spans="1:9" x14ac:dyDescent="0.25">
      <c r="A246" t="s">
        <v>1052</v>
      </c>
      <c r="C246" s="3" t="str">
        <f>HYPERLINK("http://amigo.geneontology.org/amigo/term/GO:0019239","GO:0019239")</f>
        <v>GO:0019239</v>
      </c>
      <c r="D246" t="s">
        <v>5695</v>
      </c>
      <c r="E246">
        <v>35</v>
      </c>
      <c r="F246">
        <v>2</v>
      </c>
      <c r="G246">
        <v>3.5071039268507499E-2</v>
      </c>
      <c r="H246">
        <v>0.66634974610164199</v>
      </c>
      <c r="I246" t="s">
        <v>5547</v>
      </c>
    </row>
    <row r="247" spans="1:9" x14ac:dyDescent="0.25">
      <c r="A247" t="s">
        <v>2665</v>
      </c>
      <c r="C247" s="3" t="str">
        <f>HYPERLINK("http://amigo.geneontology.org/amigo/term/GO:0009312","GO:0009312")</f>
        <v>GO:0009312</v>
      </c>
      <c r="D247" t="s">
        <v>6334</v>
      </c>
      <c r="E247">
        <v>85</v>
      </c>
      <c r="F247">
        <v>3</v>
      </c>
      <c r="G247">
        <v>3.5309793445777803E-2</v>
      </c>
      <c r="H247">
        <v>0.63557628202399996</v>
      </c>
      <c r="I247" t="s">
        <v>6218</v>
      </c>
    </row>
    <row r="248" spans="1:9" x14ac:dyDescent="0.25">
      <c r="A248" t="s">
        <v>5938</v>
      </c>
      <c r="C248" s="3" t="str">
        <f>HYPERLINK("http://amigo.geneontology.org/amigo/term/GO:0009163","GO:0009163")</f>
        <v>GO:0009163</v>
      </c>
      <c r="D248" t="s">
        <v>6335</v>
      </c>
      <c r="E248">
        <v>85</v>
      </c>
      <c r="F248">
        <v>3</v>
      </c>
      <c r="G248">
        <v>3.5309793445777803E-2</v>
      </c>
      <c r="H248">
        <v>0.67088607546977796</v>
      </c>
      <c r="I248" t="s">
        <v>6059</v>
      </c>
    </row>
    <row r="249" spans="1:9" x14ac:dyDescent="0.25">
      <c r="A249" t="s">
        <v>5167</v>
      </c>
      <c r="C249" s="3" t="str">
        <f>HYPERLINK("http://amigo.geneontology.org/amigo/term/GO:0042455","GO:0042455")</f>
        <v>GO:0042455</v>
      </c>
      <c r="D249" t="s">
        <v>6336</v>
      </c>
      <c r="E249">
        <v>85</v>
      </c>
      <c r="F249">
        <v>3</v>
      </c>
      <c r="G249">
        <v>3.5309793445777803E-2</v>
      </c>
      <c r="H249">
        <v>0.67088607546977796</v>
      </c>
      <c r="I249" t="s">
        <v>6059</v>
      </c>
    </row>
    <row r="250" spans="1:9" x14ac:dyDescent="0.25">
      <c r="A250" t="s">
        <v>108</v>
      </c>
      <c r="C250" s="3" t="str">
        <f>HYPERLINK("http://amigo.geneontology.org/amigo/term/GO:0009881","GO:0009881")</f>
        <v>GO:0009881</v>
      </c>
      <c r="D250" t="s">
        <v>6337</v>
      </c>
      <c r="E250">
        <v>36</v>
      </c>
      <c r="F250">
        <v>2</v>
      </c>
      <c r="G250">
        <v>3.6931079798468998E-2</v>
      </c>
      <c r="H250">
        <v>0.66475943637244295</v>
      </c>
      <c r="I250" t="s">
        <v>6338</v>
      </c>
    </row>
    <row r="251" spans="1:9" x14ac:dyDescent="0.25">
      <c r="A251" t="s">
        <v>1074</v>
      </c>
      <c r="C251" s="3" t="str">
        <f>HYPERLINK("http://amigo.geneontology.org/amigo/term/GO:0003968","GO:0003968")</f>
        <v>GO:0003968</v>
      </c>
      <c r="D251" t="s">
        <v>6339</v>
      </c>
      <c r="E251">
        <v>36</v>
      </c>
      <c r="F251">
        <v>2</v>
      </c>
      <c r="G251">
        <v>3.6931079798468998E-2</v>
      </c>
      <c r="H251">
        <v>0.66475943637244295</v>
      </c>
      <c r="I251" t="s">
        <v>6274</v>
      </c>
    </row>
    <row r="252" spans="1:9" x14ac:dyDescent="0.25">
      <c r="A252" t="s">
        <v>6340</v>
      </c>
      <c r="C252" s="3" t="str">
        <f>HYPERLINK("http://amigo.geneontology.org/amigo/term/GO:0019842","GO:0019842")</f>
        <v>GO:0019842</v>
      </c>
      <c r="D252" t="s">
        <v>4329</v>
      </c>
      <c r="E252">
        <v>448</v>
      </c>
      <c r="F252">
        <v>8</v>
      </c>
      <c r="G252">
        <v>3.7571442515510901E-2</v>
      </c>
      <c r="H252">
        <v>0.67628596527919604</v>
      </c>
      <c r="I252" t="s">
        <v>6210</v>
      </c>
    </row>
    <row r="253" spans="1:9" x14ac:dyDescent="0.25">
      <c r="A253" t="s">
        <v>6341</v>
      </c>
      <c r="C253" s="3" t="str">
        <f>HYPERLINK("http://amigo.geneontology.org/amigo/term/GO:0046394","GO:0046394")</f>
        <v>GO:0046394</v>
      </c>
      <c r="D253" t="s">
        <v>682</v>
      </c>
      <c r="E253">
        <v>1534</v>
      </c>
      <c r="F253">
        <v>20</v>
      </c>
      <c r="G253">
        <v>3.8194717323304699E-2</v>
      </c>
      <c r="H253">
        <v>0.68750491181948603</v>
      </c>
      <c r="I253" t="s">
        <v>6342</v>
      </c>
    </row>
    <row r="254" spans="1:9" x14ac:dyDescent="0.25">
      <c r="A254" t="s">
        <v>1094</v>
      </c>
      <c r="C254" s="3" t="str">
        <f>HYPERLINK("http://amigo.geneontology.org/amigo/term/GO:0016053","GO:0016053")</f>
        <v>GO:0016053</v>
      </c>
      <c r="D254" t="s">
        <v>685</v>
      </c>
      <c r="E254">
        <v>1536</v>
      </c>
      <c r="F254">
        <v>20</v>
      </c>
      <c r="G254">
        <v>3.8622424002574401E-2</v>
      </c>
      <c r="H254">
        <v>0.69520363204633995</v>
      </c>
      <c r="I254" t="s">
        <v>6342</v>
      </c>
    </row>
    <row r="255" spans="1:9" x14ac:dyDescent="0.25">
      <c r="A255" t="s">
        <v>6343</v>
      </c>
      <c r="C255" s="3" t="str">
        <f>HYPERLINK("http://amigo.geneontology.org/amigo/term/GO:0005088","GO:0005088")</f>
        <v>GO:0005088</v>
      </c>
      <c r="D255" t="s">
        <v>588</v>
      </c>
      <c r="E255">
        <v>37</v>
      </c>
      <c r="F255">
        <v>2</v>
      </c>
      <c r="G255">
        <v>3.8828197596881803E-2</v>
      </c>
      <c r="H255">
        <v>0.69890755674387295</v>
      </c>
      <c r="I255" t="s">
        <v>6344</v>
      </c>
    </row>
    <row r="256" spans="1:9" x14ac:dyDescent="0.25">
      <c r="A256" t="s">
        <v>6345</v>
      </c>
      <c r="C256" s="3" t="str">
        <f>HYPERLINK("http://amigo.geneontology.org/amigo/term/GO:0005089","GO:0005089")</f>
        <v>GO:0005089</v>
      </c>
      <c r="D256" t="s">
        <v>591</v>
      </c>
      <c r="E256">
        <v>37</v>
      </c>
      <c r="F256">
        <v>2</v>
      </c>
      <c r="G256">
        <v>3.8828197596881803E-2</v>
      </c>
      <c r="H256">
        <v>0.69890755674387295</v>
      </c>
      <c r="I256" t="s">
        <v>6344</v>
      </c>
    </row>
    <row r="257" spans="1:9" x14ac:dyDescent="0.25">
      <c r="A257" t="s">
        <v>5175</v>
      </c>
      <c r="C257" s="3" t="str">
        <f>HYPERLINK("http://amigo.geneontology.org/amigo/term/GO:0015672","GO:0015672")</f>
        <v>GO:0015672</v>
      </c>
      <c r="D257" t="s">
        <v>427</v>
      </c>
      <c r="E257">
        <v>537</v>
      </c>
      <c r="F257">
        <v>9</v>
      </c>
      <c r="G257">
        <v>4.0003665428248097E-2</v>
      </c>
      <c r="H257">
        <v>0.72006597770846703</v>
      </c>
      <c r="I257" t="s">
        <v>6346</v>
      </c>
    </row>
    <row r="258" spans="1:9" x14ac:dyDescent="0.25">
      <c r="A258" t="s">
        <v>2681</v>
      </c>
      <c r="C258" s="3" t="str">
        <f>HYPERLINK("http://amigo.geneontology.org/amigo/term/GO:0016667","GO:0016667")</f>
        <v>GO:0016667</v>
      </c>
      <c r="D258" t="s">
        <v>6347</v>
      </c>
      <c r="E258">
        <v>373</v>
      </c>
      <c r="F258">
        <v>7</v>
      </c>
      <c r="G258">
        <v>4.0011735119498897E-2</v>
      </c>
      <c r="H258">
        <v>0.72021123215098104</v>
      </c>
      <c r="I258" t="s">
        <v>6213</v>
      </c>
    </row>
    <row r="259" spans="1:9" x14ac:dyDescent="0.25">
      <c r="A259" t="s">
        <v>5176</v>
      </c>
      <c r="C259" s="3" t="str">
        <f>HYPERLINK("http://amigo.geneontology.org/amigo/term/GO:0019752","GO:0019752")</f>
        <v>GO:0019752</v>
      </c>
      <c r="D259" t="s">
        <v>4275</v>
      </c>
      <c r="E259">
        <v>2833</v>
      </c>
      <c r="F259">
        <v>33</v>
      </c>
      <c r="G259">
        <v>4.0017999899754297E-2</v>
      </c>
      <c r="H259">
        <v>0.72032399819557802</v>
      </c>
      <c r="I259" t="s">
        <v>6348</v>
      </c>
    </row>
    <row r="260" spans="1:9" x14ac:dyDescent="0.25">
      <c r="A260" t="s">
        <v>4559</v>
      </c>
      <c r="C260" s="3" t="str">
        <f>HYPERLINK("http://amigo.geneontology.org/amigo/term/GO:0018904","GO:0018904")</f>
        <v>GO:0018904</v>
      </c>
      <c r="D260" t="s">
        <v>1295</v>
      </c>
      <c r="E260">
        <v>90</v>
      </c>
      <c r="F260">
        <v>3</v>
      </c>
      <c r="G260">
        <v>4.0742255208839999E-2</v>
      </c>
      <c r="H260">
        <v>0.73336059375912099</v>
      </c>
      <c r="I260" t="s">
        <v>6349</v>
      </c>
    </row>
    <row r="261" spans="1:9" x14ac:dyDescent="0.25">
      <c r="A261" t="s">
        <v>4560</v>
      </c>
      <c r="C261" s="3" t="str">
        <f>HYPERLINK("http://amigo.geneontology.org/amigo/term/GO:0006662","GO:0006662")</f>
        <v>GO:0006662</v>
      </c>
      <c r="D261" t="s">
        <v>1298</v>
      </c>
      <c r="E261">
        <v>90</v>
      </c>
      <c r="F261">
        <v>3</v>
      </c>
      <c r="G261">
        <v>4.0742255208839999E-2</v>
      </c>
      <c r="H261">
        <v>0.73336059375912099</v>
      </c>
      <c r="I261" t="s">
        <v>6349</v>
      </c>
    </row>
    <row r="262" spans="1:9" x14ac:dyDescent="0.25">
      <c r="A262" t="s">
        <v>5625</v>
      </c>
      <c r="C262" s="3" t="str">
        <f>HYPERLINK("http://amigo.geneontology.org/amigo/term/GO:0017048","GO:0017048")</f>
        <v>GO:0017048</v>
      </c>
      <c r="D262" t="s">
        <v>504</v>
      </c>
      <c r="E262">
        <v>38</v>
      </c>
      <c r="F262">
        <v>2</v>
      </c>
      <c r="G262">
        <v>4.0761638525904399E-2</v>
      </c>
      <c r="H262">
        <v>0.69294785494037403</v>
      </c>
      <c r="I262" t="s">
        <v>6344</v>
      </c>
    </row>
    <row r="263" spans="1:9" x14ac:dyDescent="0.25">
      <c r="A263" t="s">
        <v>6350</v>
      </c>
      <c r="C263" s="3" t="str">
        <f>HYPERLINK("http://amigo.geneontology.org/amigo/term/GO:0043062","GO:0043062")</f>
        <v>GO:0043062</v>
      </c>
      <c r="D263" t="s">
        <v>6351</v>
      </c>
      <c r="E263">
        <v>38</v>
      </c>
      <c r="F263">
        <v>2</v>
      </c>
      <c r="G263">
        <v>4.0761638525904399E-2</v>
      </c>
      <c r="H263">
        <v>0.69294785494037403</v>
      </c>
      <c r="I263" t="s">
        <v>6352</v>
      </c>
    </row>
    <row r="264" spans="1:9" x14ac:dyDescent="0.25">
      <c r="A264" t="s">
        <v>5178</v>
      </c>
      <c r="C264" s="3" t="str">
        <f>HYPERLINK("http://amigo.geneontology.org/amigo/term/GO:0030198","GO:0030198")</f>
        <v>GO:0030198</v>
      </c>
      <c r="D264" t="s">
        <v>6353</v>
      </c>
      <c r="E264">
        <v>38</v>
      </c>
      <c r="F264">
        <v>2</v>
      </c>
      <c r="G264">
        <v>4.0761638525904399E-2</v>
      </c>
      <c r="H264">
        <v>0.69294785494037403</v>
      </c>
      <c r="I264" t="s">
        <v>6352</v>
      </c>
    </row>
    <row r="265" spans="1:9" x14ac:dyDescent="0.25">
      <c r="A265" t="s">
        <v>6354</v>
      </c>
      <c r="C265" s="3" t="str">
        <f>HYPERLINK("http://amigo.geneontology.org/amigo/term/GO:0070726","GO:0070726")</f>
        <v>GO:0070726</v>
      </c>
      <c r="D265" t="s">
        <v>6355</v>
      </c>
      <c r="E265">
        <v>38</v>
      </c>
      <c r="F265">
        <v>2</v>
      </c>
      <c r="G265">
        <v>4.0761638525904399E-2</v>
      </c>
      <c r="H265">
        <v>0.69294785494037403</v>
      </c>
      <c r="I265" t="s">
        <v>6352</v>
      </c>
    </row>
    <row r="266" spans="1:9" x14ac:dyDescent="0.25">
      <c r="A266" t="s">
        <v>6356</v>
      </c>
      <c r="C266" s="3" t="str">
        <f>HYPERLINK("http://amigo.geneontology.org/amigo/term/GO:0071668","GO:0071668")</f>
        <v>GO:0071668</v>
      </c>
      <c r="D266" t="s">
        <v>6357</v>
      </c>
      <c r="E266">
        <v>38</v>
      </c>
      <c r="F266">
        <v>2</v>
      </c>
      <c r="G266">
        <v>4.0761638525904399E-2</v>
      </c>
      <c r="H266">
        <v>0.69294785494037403</v>
      </c>
      <c r="I266" t="s">
        <v>6352</v>
      </c>
    </row>
    <row r="267" spans="1:9" x14ac:dyDescent="0.25">
      <c r="A267" t="s">
        <v>2694</v>
      </c>
      <c r="C267" s="3" t="str">
        <f>HYPERLINK("http://amigo.geneontology.org/amigo/term/GO:0010215","GO:0010215")</f>
        <v>GO:0010215</v>
      </c>
      <c r="D267" t="s">
        <v>6358</v>
      </c>
      <c r="E267">
        <v>38</v>
      </c>
      <c r="F267">
        <v>2</v>
      </c>
      <c r="G267">
        <v>4.0761638525904399E-2</v>
      </c>
      <c r="H267">
        <v>0.69294785494037403</v>
      </c>
      <c r="I267" t="s">
        <v>6352</v>
      </c>
    </row>
    <row r="268" spans="1:9" x14ac:dyDescent="0.25">
      <c r="A268" t="s">
        <v>6359</v>
      </c>
      <c r="C268" s="3" t="str">
        <f>HYPERLINK("http://amigo.geneontology.org/amigo/term/GO:0015791","GO:0015791")</f>
        <v>GO:0015791</v>
      </c>
      <c r="D268" t="s">
        <v>6360</v>
      </c>
      <c r="E268">
        <v>5</v>
      </c>
      <c r="F268">
        <v>1</v>
      </c>
      <c r="G268">
        <v>4.1397711633179901E-2</v>
      </c>
      <c r="H268">
        <v>0.70376109776405804</v>
      </c>
      <c r="I268" t="s">
        <v>6246</v>
      </c>
    </row>
    <row r="269" spans="1:9" x14ac:dyDescent="0.25">
      <c r="A269" t="s">
        <v>6361</v>
      </c>
      <c r="C269" s="3" t="str">
        <f>HYPERLINK("http://amigo.geneontology.org/amigo/term/GO:0005326","GO:0005326")</f>
        <v>GO:0005326</v>
      </c>
      <c r="D269" t="s">
        <v>5571</v>
      </c>
      <c r="E269">
        <v>5</v>
      </c>
      <c r="F269">
        <v>1</v>
      </c>
      <c r="G269">
        <v>4.1397711633179901E-2</v>
      </c>
      <c r="H269">
        <v>0.70376109776405804</v>
      </c>
      <c r="I269" t="s">
        <v>5683</v>
      </c>
    </row>
    <row r="270" spans="1:9" x14ac:dyDescent="0.25">
      <c r="A270" t="s">
        <v>110</v>
      </c>
      <c r="C270" s="3" t="str">
        <f>HYPERLINK("http://amigo.geneontology.org/amigo/term/GO:0007389","GO:0007389")</f>
        <v>GO:0007389</v>
      </c>
      <c r="D270" t="s">
        <v>4395</v>
      </c>
      <c r="E270">
        <v>159</v>
      </c>
      <c r="F270">
        <v>4</v>
      </c>
      <c r="G270">
        <v>4.6146595713999997E-2</v>
      </c>
      <c r="H270">
        <v>0.78449212713799998</v>
      </c>
      <c r="I270" t="s">
        <v>6091</v>
      </c>
    </row>
    <row r="271" spans="1:9" x14ac:dyDescent="0.25">
      <c r="A271" t="s">
        <v>6362</v>
      </c>
      <c r="C271" s="3" t="str">
        <f>HYPERLINK("http://amigo.geneontology.org/amigo/term/GO:0016799","GO:0016799")</f>
        <v>GO:0016799</v>
      </c>
      <c r="D271" t="s">
        <v>5953</v>
      </c>
      <c r="E271">
        <v>159</v>
      </c>
      <c r="F271">
        <v>4</v>
      </c>
      <c r="G271">
        <v>4.6146595713999997E-2</v>
      </c>
      <c r="H271">
        <v>0.78449212713799998</v>
      </c>
      <c r="I271" t="s">
        <v>6363</v>
      </c>
    </row>
    <row r="272" spans="1:9" x14ac:dyDescent="0.25">
      <c r="A272" t="s">
        <v>2703</v>
      </c>
      <c r="C272" s="3" t="str">
        <f>HYPERLINK("http://amigo.geneontology.org/amigo/term/GO:0022804","GO:0022804")</f>
        <v>GO:0022804</v>
      </c>
      <c r="D272" t="s">
        <v>676</v>
      </c>
      <c r="E272">
        <v>1000</v>
      </c>
      <c r="F272">
        <v>14</v>
      </c>
      <c r="G272">
        <v>4.6463729225772597E-2</v>
      </c>
      <c r="H272">
        <v>0.78988339683813502</v>
      </c>
      <c r="I272" t="s">
        <v>6364</v>
      </c>
    </row>
    <row r="273" spans="1:9" x14ac:dyDescent="0.25">
      <c r="A273" t="s">
        <v>5183</v>
      </c>
      <c r="C273" s="3" t="str">
        <f>HYPERLINK("http://amigo.geneontology.org/amigo/term/GO:0015079","GO:0015079")</f>
        <v>GO:0015079</v>
      </c>
      <c r="D273" t="s">
        <v>264</v>
      </c>
      <c r="E273">
        <v>160</v>
      </c>
      <c r="F273">
        <v>4</v>
      </c>
      <c r="G273">
        <v>4.7027895861027097E-2</v>
      </c>
      <c r="H273">
        <v>0.79947422963746095</v>
      </c>
      <c r="I273" t="s">
        <v>6290</v>
      </c>
    </row>
    <row r="274" spans="1:9" x14ac:dyDescent="0.25">
      <c r="A274" t="s">
        <v>6365</v>
      </c>
      <c r="C274" s="3" t="str">
        <f>HYPERLINK("http://amigo.geneontology.org/amigo/term/GO:0010358","GO:0010358")</f>
        <v>GO:0010358</v>
      </c>
      <c r="D274" t="s">
        <v>6366</v>
      </c>
      <c r="E274">
        <v>6</v>
      </c>
      <c r="F274">
        <v>1</v>
      </c>
      <c r="G274">
        <v>4.94696020889362E-2</v>
      </c>
      <c r="H274">
        <v>0.84098323551191601</v>
      </c>
      <c r="I274" t="s">
        <v>6237</v>
      </c>
    </row>
    <row r="275" spans="1:9" x14ac:dyDescent="0.25">
      <c r="A275" t="s">
        <v>2709</v>
      </c>
      <c r="C275" s="3" t="str">
        <f>HYPERLINK("http://amigo.geneontology.org/amigo/term/GO:0015556","GO:0015556")</f>
        <v>GO:0015556</v>
      </c>
      <c r="D275" t="s">
        <v>5269</v>
      </c>
      <c r="E275">
        <v>6</v>
      </c>
      <c r="F275">
        <v>1</v>
      </c>
      <c r="G275">
        <v>4.94696020889362E-2</v>
      </c>
      <c r="H275">
        <v>0.84098323551191601</v>
      </c>
      <c r="I275" t="s">
        <v>5223</v>
      </c>
    </row>
    <row r="276" spans="1:9" x14ac:dyDescent="0.25">
      <c r="A276" t="s">
        <v>5637</v>
      </c>
      <c r="C276" s="3" t="str">
        <f>HYPERLINK("http://amigo.geneontology.org/amigo/term/GO:0008374","GO:0008374")</f>
        <v>GO:0008374</v>
      </c>
      <c r="D276" t="s">
        <v>1016</v>
      </c>
      <c r="E276">
        <v>163</v>
      </c>
      <c r="F276">
        <v>4</v>
      </c>
      <c r="G276">
        <v>4.9727613963980899E-2</v>
      </c>
      <c r="H276">
        <v>0.845369437387675</v>
      </c>
      <c r="I276" t="s">
        <v>6144</v>
      </c>
    </row>
    <row r="277" spans="1:9" x14ac:dyDescent="0.25">
      <c r="A277" t="s">
        <v>6367</v>
      </c>
    </row>
    <row r="278" spans="1:9" x14ac:dyDescent="0.25">
      <c r="A278" t="s">
        <v>1145</v>
      </c>
    </row>
    <row r="279" spans="1:9" x14ac:dyDescent="0.25">
      <c r="A279" t="s">
        <v>6368</v>
      </c>
    </row>
    <row r="280" spans="1:9" x14ac:dyDescent="0.25">
      <c r="A280" t="s">
        <v>6369</v>
      </c>
    </row>
    <row r="281" spans="1:9" x14ac:dyDescent="0.25">
      <c r="A281" t="s">
        <v>4571</v>
      </c>
    </row>
    <row r="282" spans="1:9" x14ac:dyDescent="0.25">
      <c r="A282" t="s">
        <v>6370</v>
      </c>
    </row>
    <row r="283" spans="1:9" x14ac:dyDescent="0.25">
      <c r="A283" t="s">
        <v>6371</v>
      </c>
    </row>
    <row r="284" spans="1:9" x14ac:dyDescent="0.25">
      <c r="A284" t="s">
        <v>2729</v>
      </c>
    </row>
    <row r="285" spans="1:9" x14ac:dyDescent="0.25">
      <c r="A285" t="s">
        <v>6372</v>
      </c>
    </row>
    <row r="286" spans="1:9" x14ac:dyDescent="0.25">
      <c r="A286" t="s">
        <v>6373</v>
      </c>
    </row>
    <row r="287" spans="1:9" x14ac:dyDescent="0.25">
      <c r="A287" t="s">
        <v>5643</v>
      </c>
    </row>
    <row r="288" spans="1:9" x14ac:dyDescent="0.25">
      <c r="A288" t="s">
        <v>6374</v>
      </c>
    </row>
    <row r="289" spans="1:1" x14ac:dyDescent="0.25">
      <c r="A289" t="s">
        <v>6375</v>
      </c>
    </row>
    <row r="290" spans="1:1" x14ac:dyDescent="0.25">
      <c r="A290" t="s">
        <v>5647</v>
      </c>
    </row>
    <row r="291" spans="1:1" x14ac:dyDescent="0.25">
      <c r="A291" t="s">
        <v>2745</v>
      </c>
    </row>
    <row r="292" spans="1:1" x14ac:dyDescent="0.25">
      <c r="A292" t="s">
        <v>6376</v>
      </c>
    </row>
    <row r="293" spans="1:1" x14ac:dyDescent="0.25">
      <c r="A293" t="s">
        <v>5650</v>
      </c>
    </row>
    <row r="294" spans="1:1" x14ac:dyDescent="0.25">
      <c r="A294" t="s">
        <v>6377</v>
      </c>
    </row>
    <row r="295" spans="1:1" x14ac:dyDescent="0.25">
      <c r="A295" t="s">
        <v>5193</v>
      </c>
    </row>
    <row r="296" spans="1:1" x14ac:dyDescent="0.25">
      <c r="A296" t="s">
        <v>2753</v>
      </c>
    </row>
    <row r="297" spans="1:1" x14ac:dyDescent="0.25">
      <c r="A297" t="s">
        <v>5655</v>
      </c>
    </row>
    <row r="298" spans="1:1" x14ac:dyDescent="0.25">
      <c r="A298" t="s">
        <v>5657</v>
      </c>
    </row>
    <row r="299" spans="1:1" x14ac:dyDescent="0.25">
      <c r="A299" t="s">
        <v>2761</v>
      </c>
    </row>
    <row r="300" spans="1:1" x14ac:dyDescent="0.25">
      <c r="A300" t="s">
        <v>6378</v>
      </c>
    </row>
    <row r="301" spans="1:1" x14ac:dyDescent="0.25">
      <c r="A301" t="s">
        <v>1203</v>
      </c>
    </row>
    <row r="302" spans="1:1" x14ac:dyDescent="0.25">
      <c r="A302" t="s">
        <v>6379</v>
      </c>
    </row>
    <row r="303" spans="1:1" x14ac:dyDescent="0.25">
      <c r="A303" t="s">
        <v>49</v>
      </c>
    </row>
    <row r="304" spans="1:1" x14ac:dyDescent="0.25">
      <c r="A304" t="s">
        <v>2770</v>
      </c>
    </row>
    <row r="305" spans="1:1" x14ac:dyDescent="0.25">
      <c r="A305" t="s">
        <v>5197</v>
      </c>
    </row>
    <row r="306" spans="1:1" x14ac:dyDescent="0.25">
      <c r="A306" t="s">
        <v>5204</v>
      </c>
    </row>
    <row r="307" spans="1:1" x14ac:dyDescent="0.25">
      <c r="A307" t="s">
        <v>6380</v>
      </c>
    </row>
    <row r="308" spans="1:1" x14ac:dyDescent="0.25">
      <c r="A308" t="s">
        <v>6381</v>
      </c>
    </row>
    <row r="309" spans="1:1" x14ac:dyDescent="0.25">
      <c r="A309" t="s">
        <v>4591</v>
      </c>
    </row>
    <row r="310" spans="1:1" x14ac:dyDescent="0.25">
      <c r="A310" t="s">
        <v>6382</v>
      </c>
    </row>
    <row r="311" spans="1:1" x14ac:dyDescent="0.25">
      <c r="A311" t="s">
        <v>6383</v>
      </c>
    </row>
    <row r="312" spans="1:1" x14ac:dyDescent="0.25">
      <c r="A312" t="s">
        <v>6384</v>
      </c>
    </row>
    <row r="313" spans="1:1" x14ac:dyDescent="0.25">
      <c r="A313" t="s">
        <v>6385</v>
      </c>
    </row>
    <row r="314" spans="1:1" x14ac:dyDescent="0.25">
      <c r="A314" t="s">
        <v>6386</v>
      </c>
    </row>
    <row r="315" spans="1:1" x14ac:dyDescent="0.25">
      <c r="A315" t="s">
        <v>6387</v>
      </c>
    </row>
    <row r="316" spans="1:1" x14ac:dyDescent="0.25">
      <c r="A316" t="s">
        <v>6388</v>
      </c>
    </row>
    <row r="317" spans="1:1" x14ac:dyDescent="0.25">
      <c r="A317" t="s">
        <v>2809</v>
      </c>
    </row>
    <row r="318" spans="1:1" x14ac:dyDescent="0.25">
      <c r="A318" t="s">
        <v>4603</v>
      </c>
    </row>
    <row r="319" spans="1:1" x14ac:dyDescent="0.25">
      <c r="A319" t="s">
        <v>6389</v>
      </c>
    </row>
    <row r="320" spans="1:1" x14ac:dyDescent="0.25">
      <c r="A320" t="s">
        <v>2814</v>
      </c>
    </row>
    <row r="321" spans="1:1" x14ac:dyDescent="0.25">
      <c r="A321" t="s">
        <v>5668</v>
      </c>
    </row>
    <row r="322" spans="1:1" x14ac:dyDescent="0.25">
      <c r="A322" t="s">
        <v>6390</v>
      </c>
    </row>
    <row r="323" spans="1:1" x14ac:dyDescent="0.25">
      <c r="A323" t="s">
        <v>6391</v>
      </c>
    </row>
    <row r="324" spans="1:1" x14ac:dyDescent="0.25">
      <c r="A324" t="s">
        <v>6392</v>
      </c>
    </row>
    <row r="325" spans="1:1" x14ac:dyDescent="0.25">
      <c r="A325" t="s">
        <v>5205</v>
      </c>
    </row>
    <row r="326" spans="1:1" x14ac:dyDescent="0.25">
      <c r="A326" t="s">
        <v>4608</v>
      </c>
    </row>
    <row r="327" spans="1:1" x14ac:dyDescent="0.25">
      <c r="A327" t="s">
        <v>2839</v>
      </c>
    </row>
    <row r="328" spans="1:1" x14ac:dyDescent="0.25">
      <c r="A328" t="s">
        <v>6393</v>
      </c>
    </row>
    <row r="329" spans="1:1" x14ac:dyDescent="0.25">
      <c r="A329" t="s">
        <v>6394</v>
      </c>
    </row>
    <row r="330" spans="1:1" x14ac:dyDescent="0.25">
      <c r="A330" t="s">
        <v>6395</v>
      </c>
    </row>
    <row r="331" spans="1:1" x14ac:dyDescent="0.25">
      <c r="A331" t="s">
        <v>6396</v>
      </c>
    </row>
    <row r="332" spans="1:1" x14ac:dyDescent="0.25">
      <c r="A332" t="s">
        <v>2853</v>
      </c>
    </row>
    <row r="333" spans="1:1" x14ac:dyDescent="0.25">
      <c r="A333" t="s">
        <v>6397</v>
      </c>
    </row>
    <row r="334" spans="1:1" x14ac:dyDescent="0.25">
      <c r="A334" t="s">
        <v>5210</v>
      </c>
    </row>
    <row r="335" spans="1:1" x14ac:dyDescent="0.25">
      <c r="A335" t="s">
        <v>1308</v>
      </c>
    </row>
    <row r="336" spans="1:1" x14ac:dyDescent="0.25">
      <c r="A336" t="s">
        <v>5212</v>
      </c>
    </row>
    <row r="337" spans="1:1" x14ac:dyDescent="0.25">
      <c r="A337" t="s">
        <v>5674</v>
      </c>
    </row>
    <row r="338" spans="1:1" x14ac:dyDescent="0.25">
      <c r="A338" t="s">
        <v>2868</v>
      </c>
    </row>
    <row r="339" spans="1:1" x14ac:dyDescent="0.25">
      <c r="A339" t="s">
        <v>1319</v>
      </c>
    </row>
    <row r="340" spans="1:1" x14ac:dyDescent="0.25">
      <c r="A340" t="s">
        <v>6398</v>
      </c>
    </row>
    <row r="341" spans="1:1" x14ac:dyDescent="0.25">
      <c r="A341" t="s">
        <v>6399</v>
      </c>
    </row>
    <row r="342" spans="1:1" x14ac:dyDescent="0.25">
      <c r="A342" t="s">
        <v>6400</v>
      </c>
    </row>
    <row r="343" spans="1:1" x14ac:dyDescent="0.25">
      <c r="A343" t="s">
        <v>54</v>
      </c>
    </row>
    <row r="344" spans="1:1" x14ac:dyDescent="0.25">
      <c r="A344" t="s">
        <v>5680</v>
      </c>
    </row>
    <row r="345" spans="1:1" x14ac:dyDescent="0.25">
      <c r="A345" t="s">
        <v>2879</v>
      </c>
    </row>
    <row r="346" spans="1:1" x14ac:dyDescent="0.25">
      <c r="A346" t="s">
        <v>2881</v>
      </c>
    </row>
    <row r="347" spans="1:1" x14ac:dyDescent="0.25">
      <c r="A347" t="s">
        <v>5683</v>
      </c>
    </row>
    <row r="348" spans="1:1" x14ac:dyDescent="0.25">
      <c r="A348" t="s">
        <v>6401</v>
      </c>
    </row>
    <row r="349" spans="1:1" x14ac:dyDescent="0.25">
      <c r="A349" t="s">
        <v>2884</v>
      </c>
    </row>
    <row r="350" spans="1:1" x14ac:dyDescent="0.25">
      <c r="A350" t="s">
        <v>5981</v>
      </c>
    </row>
    <row r="351" spans="1:1" x14ac:dyDescent="0.25">
      <c r="A351" t="s">
        <v>2889</v>
      </c>
    </row>
    <row r="352" spans="1:1" x14ac:dyDescent="0.25">
      <c r="A352" t="s">
        <v>5689</v>
      </c>
    </row>
    <row r="353" spans="1:1" x14ac:dyDescent="0.25">
      <c r="A353" t="s">
        <v>2895</v>
      </c>
    </row>
    <row r="354" spans="1:1" x14ac:dyDescent="0.25">
      <c r="A354" t="s">
        <v>2896</v>
      </c>
    </row>
    <row r="355" spans="1:1" x14ac:dyDescent="0.25">
      <c r="A355" t="s">
        <v>6402</v>
      </c>
    </row>
    <row r="356" spans="1:1" x14ac:dyDescent="0.25">
      <c r="A356" t="s">
        <v>4629</v>
      </c>
    </row>
    <row r="357" spans="1:1" x14ac:dyDescent="0.25">
      <c r="A357" t="s">
        <v>6403</v>
      </c>
    </row>
    <row r="358" spans="1:1" x14ac:dyDescent="0.25">
      <c r="A358" t="s">
        <v>6404</v>
      </c>
    </row>
    <row r="359" spans="1:1" x14ac:dyDescent="0.25">
      <c r="A359" t="s">
        <v>8</v>
      </c>
    </row>
    <row r="360" spans="1:1" x14ac:dyDescent="0.25">
      <c r="A360" t="s">
        <v>2900</v>
      </c>
    </row>
    <row r="361" spans="1:1" x14ac:dyDescent="0.25">
      <c r="A361" t="s">
        <v>2901</v>
      </c>
    </row>
    <row r="362" spans="1:1" x14ac:dyDescent="0.25">
      <c r="A362" t="s">
        <v>6405</v>
      </c>
    </row>
    <row r="363" spans="1:1" x14ac:dyDescent="0.25">
      <c r="A363" t="s">
        <v>6406</v>
      </c>
    </row>
    <row r="364" spans="1:1" x14ac:dyDescent="0.25">
      <c r="A364" t="s">
        <v>5693</v>
      </c>
    </row>
    <row r="365" spans="1:1" x14ac:dyDescent="0.25">
      <c r="A365" t="s">
        <v>6407</v>
      </c>
    </row>
    <row r="366" spans="1:1" x14ac:dyDescent="0.25">
      <c r="A366" t="s">
        <v>5215</v>
      </c>
    </row>
    <row r="367" spans="1:1" x14ac:dyDescent="0.25">
      <c r="A367" t="s">
        <v>6408</v>
      </c>
    </row>
    <row r="368" spans="1:1" x14ac:dyDescent="0.25">
      <c r="A368" t="s">
        <v>1394</v>
      </c>
    </row>
    <row r="369" spans="1:1" x14ac:dyDescent="0.25">
      <c r="A369" t="s">
        <v>6409</v>
      </c>
    </row>
    <row r="370" spans="1:1" x14ac:dyDescent="0.25">
      <c r="A370" t="s">
        <v>6410</v>
      </c>
    </row>
    <row r="371" spans="1:1" x14ac:dyDescent="0.25">
      <c r="A371" t="s">
        <v>6411</v>
      </c>
    </row>
    <row r="372" spans="1:1" x14ac:dyDescent="0.25">
      <c r="A372" t="s">
        <v>6412</v>
      </c>
    </row>
    <row r="373" spans="1:1" x14ac:dyDescent="0.25">
      <c r="A373" t="s">
        <v>112</v>
      </c>
    </row>
    <row r="374" spans="1:1" x14ac:dyDescent="0.25">
      <c r="A374" t="s">
        <v>6413</v>
      </c>
    </row>
    <row r="375" spans="1:1" x14ac:dyDescent="0.25">
      <c r="A375" t="s">
        <v>1401</v>
      </c>
    </row>
    <row r="376" spans="1:1" x14ac:dyDescent="0.25">
      <c r="A376" t="s">
        <v>5217</v>
      </c>
    </row>
    <row r="377" spans="1:1" x14ac:dyDescent="0.25">
      <c r="A377" t="s">
        <v>6414</v>
      </c>
    </row>
    <row r="378" spans="1:1" x14ac:dyDescent="0.25">
      <c r="A378" t="s">
        <v>6415</v>
      </c>
    </row>
    <row r="379" spans="1:1" x14ac:dyDescent="0.25">
      <c r="A379" t="s">
        <v>2931</v>
      </c>
    </row>
    <row r="380" spans="1:1" x14ac:dyDescent="0.25">
      <c r="A380" t="s">
        <v>5218</v>
      </c>
    </row>
    <row r="381" spans="1:1" x14ac:dyDescent="0.25">
      <c r="A381" t="s">
        <v>5992</v>
      </c>
    </row>
    <row r="382" spans="1:1" x14ac:dyDescent="0.25">
      <c r="A382" t="s">
        <v>2935</v>
      </c>
    </row>
    <row r="383" spans="1:1" x14ac:dyDescent="0.25">
      <c r="A383" t="s">
        <v>6416</v>
      </c>
    </row>
    <row r="384" spans="1:1" x14ac:dyDescent="0.25">
      <c r="A384" t="s">
        <v>6417</v>
      </c>
    </row>
    <row r="385" spans="1:1" x14ac:dyDescent="0.25">
      <c r="A385" t="s">
        <v>2944</v>
      </c>
    </row>
    <row r="386" spans="1:1" x14ac:dyDescent="0.25">
      <c r="A386" t="s">
        <v>5697</v>
      </c>
    </row>
    <row r="387" spans="1:1" x14ac:dyDescent="0.25">
      <c r="A387" t="s">
        <v>6418</v>
      </c>
    </row>
    <row r="388" spans="1:1" x14ac:dyDescent="0.25">
      <c r="A388" t="s">
        <v>6419</v>
      </c>
    </row>
    <row r="389" spans="1:1" x14ac:dyDescent="0.25">
      <c r="A389" t="s">
        <v>5224</v>
      </c>
    </row>
    <row r="390" spans="1:1" x14ac:dyDescent="0.25">
      <c r="A390" t="s">
        <v>6420</v>
      </c>
    </row>
    <row r="391" spans="1:1" x14ac:dyDescent="0.25">
      <c r="A391" t="s">
        <v>5707</v>
      </c>
    </row>
    <row r="392" spans="1:1" x14ac:dyDescent="0.25">
      <c r="A392" t="s">
        <v>2962</v>
      </c>
    </row>
    <row r="393" spans="1:1" x14ac:dyDescent="0.25">
      <c r="A393" t="s">
        <v>6421</v>
      </c>
    </row>
    <row r="394" spans="1:1" x14ac:dyDescent="0.25">
      <c r="A394" t="s">
        <v>5708</v>
      </c>
    </row>
    <row r="395" spans="1:1" x14ac:dyDescent="0.25">
      <c r="A395" t="s">
        <v>6422</v>
      </c>
    </row>
    <row r="396" spans="1:1" x14ac:dyDescent="0.25">
      <c r="A396" t="s">
        <v>6423</v>
      </c>
    </row>
    <row r="397" spans="1:1" x14ac:dyDescent="0.25">
      <c r="A397" t="s">
        <v>6424</v>
      </c>
    </row>
    <row r="398" spans="1:1" x14ac:dyDescent="0.25">
      <c r="A398" t="s">
        <v>2976</v>
      </c>
    </row>
    <row r="399" spans="1:1" x14ac:dyDescent="0.25">
      <c r="A399" t="s">
        <v>5230</v>
      </c>
    </row>
    <row r="400" spans="1:1" x14ac:dyDescent="0.25">
      <c r="A400" t="s">
        <v>4656</v>
      </c>
    </row>
    <row r="401" spans="1:1" x14ac:dyDescent="0.25">
      <c r="A401" t="s">
        <v>6003</v>
      </c>
    </row>
    <row r="402" spans="1:1" x14ac:dyDescent="0.25">
      <c r="A402" t="s">
        <v>6425</v>
      </c>
    </row>
    <row r="403" spans="1:1" x14ac:dyDescent="0.25">
      <c r="A403" t="s">
        <v>6426</v>
      </c>
    </row>
    <row r="404" spans="1:1" x14ac:dyDescent="0.25">
      <c r="A404" t="s">
        <v>6427</v>
      </c>
    </row>
    <row r="405" spans="1:1" x14ac:dyDescent="0.25">
      <c r="A405" t="s">
        <v>6428</v>
      </c>
    </row>
    <row r="406" spans="1:1" x14ac:dyDescent="0.25">
      <c r="A406" t="s">
        <v>2994</v>
      </c>
    </row>
    <row r="407" spans="1:1" x14ac:dyDescent="0.25">
      <c r="A407" t="s">
        <v>6429</v>
      </c>
    </row>
    <row r="408" spans="1:1" x14ac:dyDescent="0.25">
      <c r="A408" t="s">
        <v>4664</v>
      </c>
    </row>
    <row r="409" spans="1:1" x14ac:dyDescent="0.25">
      <c r="A409" t="s">
        <v>114</v>
      </c>
    </row>
    <row r="410" spans="1:1" x14ac:dyDescent="0.25">
      <c r="A410" t="s">
        <v>6430</v>
      </c>
    </row>
    <row r="411" spans="1:1" x14ac:dyDescent="0.25">
      <c r="A411" t="s">
        <v>1516</v>
      </c>
    </row>
    <row r="412" spans="1:1" x14ac:dyDescent="0.25">
      <c r="A412" t="s">
        <v>5234</v>
      </c>
    </row>
    <row r="413" spans="1:1" x14ac:dyDescent="0.25">
      <c r="A413" t="s">
        <v>6431</v>
      </c>
    </row>
    <row r="414" spans="1:1" x14ac:dyDescent="0.25">
      <c r="A414" t="s">
        <v>5720</v>
      </c>
    </row>
    <row r="415" spans="1:1" x14ac:dyDescent="0.25">
      <c r="A415" t="s">
        <v>1527</v>
      </c>
    </row>
    <row r="416" spans="1:1" x14ac:dyDescent="0.25">
      <c r="A416" t="s">
        <v>6432</v>
      </c>
    </row>
    <row r="417" spans="1:1" x14ac:dyDescent="0.25">
      <c r="A417" t="s">
        <v>5235</v>
      </c>
    </row>
    <row r="418" spans="1:1" x14ac:dyDescent="0.25">
      <c r="A418" t="s">
        <v>5238</v>
      </c>
    </row>
    <row r="419" spans="1:1" x14ac:dyDescent="0.25">
      <c r="A419" t="s">
        <v>6433</v>
      </c>
    </row>
    <row r="420" spans="1:1" x14ac:dyDescent="0.25">
      <c r="A420" t="s">
        <v>6434</v>
      </c>
    </row>
    <row r="421" spans="1:1" x14ac:dyDescent="0.25">
      <c r="A421" t="s">
        <v>6435</v>
      </c>
    </row>
    <row r="422" spans="1:1" x14ac:dyDescent="0.25">
      <c r="A422" t="s">
        <v>4677</v>
      </c>
    </row>
    <row r="423" spans="1:1" x14ac:dyDescent="0.25">
      <c r="A423" t="s">
        <v>3057</v>
      </c>
    </row>
    <row r="424" spans="1:1" x14ac:dyDescent="0.25">
      <c r="A424" t="s">
        <v>6436</v>
      </c>
    </row>
    <row r="425" spans="1:1" x14ac:dyDescent="0.25">
      <c r="A425" t="s">
        <v>1577</v>
      </c>
    </row>
    <row r="426" spans="1:1" x14ac:dyDescent="0.25">
      <c r="A426" t="s">
        <v>3068</v>
      </c>
    </row>
    <row r="427" spans="1:1" x14ac:dyDescent="0.25">
      <c r="A427" t="s">
        <v>1581</v>
      </c>
    </row>
    <row r="428" spans="1:1" x14ac:dyDescent="0.25">
      <c r="A428" t="s">
        <v>4681</v>
      </c>
    </row>
    <row r="429" spans="1:1" x14ac:dyDescent="0.25">
      <c r="A429" t="s">
        <v>6437</v>
      </c>
    </row>
    <row r="430" spans="1:1" x14ac:dyDescent="0.25">
      <c r="A430" t="s">
        <v>6438</v>
      </c>
    </row>
    <row r="431" spans="1:1" x14ac:dyDescent="0.25">
      <c r="A431" t="s">
        <v>3075</v>
      </c>
    </row>
    <row r="432" spans="1:1" x14ac:dyDescent="0.25">
      <c r="A432" t="s">
        <v>5248</v>
      </c>
    </row>
    <row r="433" spans="1:1" x14ac:dyDescent="0.25">
      <c r="A433" t="s">
        <v>6439</v>
      </c>
    </row>
    <row r="434" spans="1:1" x14ac:dyDescent="0.25">
      <c r="A434" t="s">
        <v>6440</v>
      </c>
    </row>
    <row r="435" spans="1:1" x14ac:dyDescent="0.25">
      <c r="A435" t="s">
        <v>4686</v>
      </c>
    </row>
    <row r="436" spans="1:1" x14ac:dyDescent="0.25">
      <c r="A436" t="s">
        <v>1594</v>
      </c>
    </row>
    <row r="437" spans="1:1" x14ac:dyDescent="0.25">
      <c r="A437" t="s">
        <v>5251</v>
      </c>
    </row>
    <row r="438" spans="1:1" x14ac:dyDescent="0.25">
      <c r="A438" t="s">
        <v>6441</v>
      </c>
    </row>
    <row r="439" spans="1:1" x14ac:dyDescent="0.25">
      <c r="A439" t="s">
        <v>6442</v>
      </c>
    </row>
    <row r="440" spans="1:1" x14ac:dyDescent="0.25">
      <c r="A440" t="s">
        <v>6443</v>
      </c>
    </row>
    <row r="441" spans="1:1" x14ac:dyDescent="0.25">
      <c r="A441" t="s">
        <v>5736</v>
      </c>
    </row>
    <row r="442" spans="1:1" x14ac:dyDescent="0.25">
      <c r="A442" t="s">
        <v>6444</v>
      </c>
    </row>
    <row r="443" spans="1:1" x14ac:dyDescent="0.25">
      <c r="A443" t="s">
        <v>6445</v>
      </c>
    </row>
    <row r="444" spans="1:1" x14ac:dyDescent="0.25">
      <c r="A444" t="s">
        <v>6446</v>
      </c>
    </row>
    <row r="445" spans="1:1" x14ac:dyDescent="0.25">
      <c r="A445" t="s">
        <v>6447</v>
      </c>
    </row>
    <row r="446" spans="1:1" x14ac:dyDescent="0.25">
      <c r="A446" t="s">
        <v>4695</v>
      </c>
    </row>
    <row r="447" spans="1:1" x14ac:dyDescent="0.25">
      <c r="A447" t="s">
        <v>5257</v>
      </c>
    </row>
    <row r="448" spans="1:1" x14ac:dyDescent="0.25">
      <c r="A448" t="s">
        <v>5739</v>
      </c>
    </row>
    <row r="449" spans="1:1" x14ac:dyDescent="0.25">
      <c r="A449" t="s">
        <v>1603</v>
      </c>
    </row>
    <row r="450" spans="1:1" x14ac:dyDescent="0.25">
      <c r="A450" t="s">
        <v>1605</v>
      </c>
    </row>
    <row r="451" spans="1:1" x14ac:dyDescent="0.25">
      <c r="A451" t="s">
        <v>6448</v>
      </c>
    </row>
    <row r="452" spans="1:1" x14ac:dyDescent="0.25">
      <c r="A452" t="s">
        <v>6449</v>
      </c>
    </row>
    <row r="453" spans="1:1" x14ac:dyDescent="0.25">
      <c r="A453" t="s">
        <v>6450</v>
      </c>
    </row>
    <row r="454" spans="1:1" x14ac:dyDescent="0.25">
      <c r="A454" t="s">
        <v>1609</v>
      </c>
    </row>
    <row r="455" spans="1:1" x14ac:dyDescent="0.25">
      <c r="A455" t="s">
        <v>6451</v>
      </c>
    </row>
    <row r="456" spans="1:1" x14ac:dyDescent="0.25">
      <c r="A456" t="s">
        <v>6452</v>
      </c>
    </row>
    <row r="457" spans="1:1" x14ac:dyDescent="0.25">
      <c r="A457" t="s">
        <v>5262</v>
      </c>
    </row>
    <row r="458" spans="1:1" x14ac:dyDescent="0.25">
      <c r="A458" t="s">
        <v>6453</v>
      </c>
    </row>
    <row r="459" spans="1:1" x14ac:dyDescent="0.25">
      <c r="A459" t="s">
        <v>6454</v>
      </c>
    </row>
    <row r="460" spans="1:1" x14ac:dyDescent="0.25">
      <c r="A460" t="s">
        <v>3112</v>
      </c>
    </row>
    <row r="461" spans="1:1" x14ac:dyDescent="0.25">
      <c r="A461" t="s">
        <v>6455</v>
      </c>
    </row>
    <row r="462" spans="1:1" x14ac:dyDescent="0.25">
      <c r="A462" t="s">
        <v>6456</v>
      </c>
    </row>
    <row r="463" spans="1:1" x14ac:dyDescent="0.25">
      <c r="A463" t="s">
        <v>3116</v>
      </c>
    </row>
    <row r="464" spans="1:1" x14ac:dyDescent="0.25">
      <c r="A464" t="s">
        <v>5264</v>
      </c>
    </row>
    <row r="465" spans="1:1" x14ac:dyDescent="0.25">
      <c r="A465" t="s">
        <v>6457</v>
      </c>
    </row>
    <row r="466" spans="1:1" x14ac:dyDescent="0.25">
      <c r="A466" t="s">
        <v>6458</v>
      </c>
    </row>
    <row r="467" spans="1:1" x14ac:dyDescent="0.25">
      <c r="A467" t="s">
        <v>6459</v>
      </c>
    </row>
    <row r="468" spans="1:1" x14ac:dyDescent="0.25">
      <c r="A468" t="s">
        <v>6460</v>
      </c>
    </row>
    <row r="469" spans="1:1" x14ac:dyDescent="0.25">
      <c r="A469" t="s">
        <v>1622</v>
      </c>
    </row>
    <row r="470" spans="1:1" x14ac:dyDescent="0.25">
      <c r="A470" t="s">
        <v>6461</v>
      </c>
    </row>
    <row r="471" spans="1:1" x14ac:dyDescent="0.25">
      <c r="A471" t="s">
        <v>6462</v>
      </c>
    </row>
    <row r="472" spans="1:1" x14ac:dyDescent="0.25">
      <c r="A472" t="s">
        <v>4711</v>
      </c>
    </row>
    <row r="473" spans="1:1" x14ac:dyDescent="0.25">
      <c r="A473" t="s">
        <v>1626</v>
      </c>
    </row>
    <row r="474" spans="1:1" x14ac:dyDescent="0.25">
      <c r="A474" t="s">
        <v>6463</v>
      </c>
    </row>
    <row r="475" spans="1:1" x14ac:dyDescent="0.25">
      <c r="A475" t="s">
        <v>5755</v>
      </c>
    </row>
    <row r="476" spans="1:1" x14ac:dyDescent="0.25">
      <c r="A476" t="s">
        <v>6464</v>
      </c>
    </row>
    <row r="477" spans="1:1" x14ac:dyDescent="0.25">
      <c r="A477" t="s">
        <v>6465</v>
      </c>
    </row>
    <row r="478" spans="1:1" x14ac:dyDescent="0.25">
      <c r="A478" t="s">
        <v>6466</v>
      </c>
    </row>
    <row r="479" spans="1:1" x14ac:dyDescent="0.25">
      <c r="A479" t="s">
        <v>6467</v>
      </c>
    </row>
    <row r="480" spans="1:1" x14ac:dyDescent="0.25">
      <c r="A480" t="s">
        <v>6468</v>
      </c>
    </row>
    <row r="481" spans="1:1" x14ac:dyDescent="0.25">
      <c r="A481" t="s">
        <v>3174</v>
      </c>
    </row>
    <row r="482" spans="1:1" x14ac:dyDescent="0.25">
      <c r="A482" t="s">
        <v>6469</v>
      </c>
    </row>
    <row r="483" spans="1:1" x14ac:dyDescent="0.25">
      <c r="A483" t="s">
        <v>6470</v>
      </c>
    </row>
    <row r="484" spans="1:1" x14ac:dyDescent="0.25">
      <c r="A484" t="s">
        <v>6471</v>
      </c>
    </row>
    <row r="485" spans="1:1" x14ac:dyDescent="0.25">
      <c r="A485" t="s">
        <v>3190</v>
      </c>
    </row>
    <row r="486" spans="1:1" x14ac:dyDescent="0.25">
      <c r="A486" t="s">
        <v>5758</v>
      </c>
    </row>
    <row r="487" spans="1:1" x14ac:dyDescent="0.25">
      <c r="A487" t="s">
        <v>6472</v>
      </c>
    </row>
    <row r="488" spans="1:1" x14ac:dyDescent="0.25">
      <c r="A488" t="s">
        <v>6473</v>
      </c>
    </row>
    <row r="489" spans="1:1" x14ac:dyDescent="0.25">
      <c r="A489" t="s">
        <v>3209</v>
      </c>
    </row>
    <row r="490" spans="1:1" x14ac:dyDescent="0.25">
      <c r="A490" t="s">
        <v>5282</v>
      </c>
    </row>
    <row r="491" spans="1:1" x14ac:dyDescent="0.25">
      <c r="A491" t="s">
        <v>6474</v>
      </c>
    </row>
    <row r="492" spans="1:1" x14ac:dyDescent="0.25">
      <c r="A492" t="s">
        <v>6475</v>
      </c>
    </row>
    <row r="493" spans="1:1" x14ac:dyDescent="0.25">
      <c r="A493" t="s">
        <v>3231</v>
      </c>
    </row>
    <row r="494" spans="1:1" x14ac:dyDescent="0.25">
      <c r="A494" t="s">
        <v>5284</v>
      </c>
    </row>
    <row r="495" spans="1:1" x14ac:dyDescent="0.25">
      <c r="A495" t="s">
        <v>6476</v>
      </c>
    </row>
    <row r="496" spans="1:1" x14ac:dyDescent="0.25">
      <c r="A496" t="s">
        <v>3238</v>
      </c>
    </row>
    <row r="497" spans="1:1" x14ac:dyDescent="0.25">
      <c r="A497" t="s">
        <v>6477</v>
      </c>
    </row>
    <row r="498" spans="1:1" x14ac:dyDescent="0.25">
      <c r="A498" t="s">
        <v>4736</v>
      </c>
    </row>
    <row r="499" spans="1:1" x14ac:dyDescent="0.25">
      <c r="A499" t="s">
        <v>6478</v>
      </c>
    </row>
    <row r="500" spans="1:1" x14ac:dyDescent="0.25">
      <c r="A500" t="s">
        <v>1669</v>
      </c>
    </row>
    <row r="501" spans="1:1" x14ac:dyDescent="0.25">
      <c r="A501" t="s">
        <v>6295</v>
      </c>
    </row>
    <row r="502" spans="1:1" x14ac:dyDescent="0.25">
      <c r="A502" t="s">
        <v>1674</v>
      </c>
    </row>
    <row r="503" spans="1:1" x14ac:dyDescent="0.25">
      <c r="A503" t="s">
        <v>6479</v>
      </c>
    </row>
    <row r="504" spans="1:1" x14ac:dyDescent="0.25">
      <c r="A504" t="s">
        <v>6480</v>
      </c>
    </row>
    <row r="505" spans="1:1" x14ac:dyDescent="0.25">
      <c r="A505" t="s">
        <v>1681</v>
      </c>
    </row>
    <row r="506" spans="1:1" x14ac:dyDescent="0.25">
      <c r="A506" t="s">
        <v>5289</v>
      </c>
    </row>
    <row r="507" spans="1:1" x14ac:dyDescent="0.25">
      <c r="A507" t="s">
        <v>3259</v>
      </c>
    </row>
    <row r="508" spans="1:1" x14ac:dyDescent="0.25">
      <c r="A508" t="s">
        <v>6481</v>
      </c>
    </row>
    <row r="509" spans="1:1" x14ac:dyDescent="0.25">
      <c r="A509" t="s">
        <v>6482</v>
      </c>
    </row>
    <row r="510" spans="1:1" x14ac:dyDescent="0.25">
      <c r="A510" t="s">
        <v>6483</v>
      </c>
    </row>
    <row r="511" spans="1:1" x14ac:dyDescent="0.25">
      <c r="A511" t="s">
        <v>6484</v>
      </c>
    </row>
    <row r="512" spans="1:1" x14ac:dyDescent="0.25">
      <c r="A512" t="s">
        <v>6485</v>
      </c>
    </row>
    <row r="513" spans="1:1" x14ac:dyDescent="0.25">
      <c r="A513" t="s">
        <v>2157</v>
      </c>
    </row>
    <row r="514" spans="1:1" x14ac:dyDescent="0.25">
      <c r="A514" t="s">
        <v>6486</v>
      </c>
    </row>
    <row r="515" spans="1:1" x14ac:dyDescent="0.25">
      <c r="A515" t="s">
        <v>6487</v>
      </c>
    </row>
    <row r="516" spans="1:1" x14ac:dyDescent="0.25">
      <c r="A516" t="s">
        <v>6488</v>
      </c>
    </row>
    <row r="517" spans="1:1" x14ac:dyDescent="0.25">
      <c r="A517" t="s">
        <v>5775</v>
      </c>
    </row>
    <row r="518" spans="1:1" x14ac:dyDescent="0.25">
      <c r="A518" t="s">
        <v>6296</v>
      </c>
    </row>
    <row r="519" spans="1:1" x14ac:dyDescent="0.25">
      <c r="A519" t="s">
        <v>5300</v>
      </c>
    </row>
    <row r="520" spans="1:1" x14ac:dyDescent="0.25">
      <c r="A520" t="s">
        <v>6489</v>
      </c>
    </row>
    <row r="521" spans="1:1" x14ac:dyDescent="0.25">
      <c r="A521" t="s">
        <v>5303</v>
      </c>
    </row>
    <row r="522" spans="1:1" x14ac:dyDescent="0.25">
      <c r="A522" t="s">
        <v>3290</v>
      </c>
    </row>
    <row r="523" spans="1:1" x14ac:dyDescent="0.25">
      <c r="A523" t="s">
        <v>6490</v>
      </c>
    </row>
    <row r="524" spans="1:1" x14ac:dyDescent="0.25">
      <c r="A524" t="s">
        <v>6491</v>
      </c>
    </row>
    <row r="525" spans="1:1" x14ac:dyDescent="0.25">
      <c r="A525" t="s">
        <v>3295</v>
      </c>
    </row>
    <row r="526" spans="1:1" x14ac:dyDescent="0.25">
      <c r="A526" t="s">
        <v>5305</v>
      </c>
    </row>
    <row r="527" spans="1:1" x14ac:dyDescent="0.25">
      <c r="A527" t="s">
        <v>1713</v>
      </c>
    </row>
    <row r="528" spans="1:1" x14ac:dyDescent="0.25">
      <c r="A528" t="s">
        <v>6016</v>
      </c>
    </row>
    <row r="529" spans="1:1" x14ac:dyDescent="0.25">
      <c r="A529" t="s">
        <v>4759</v>
      </c>
    </row>
    <row r="530" spans="1:1" x14ac:dyDescent="0.25">
      <c r="A530" t="s">
        <v>6492</v>
      </c>
    </row>
    <row r="531" spans="1:1" x14ac:dyDescent="0.25">
      <c r="A531" t="s">
        <v>6493</v>
      </c>
    </row>
    <row r="532" spans="1:1" x14ac:dyDescent="0.25">
      <c r="A532" t="s">
        <v>1718</v>
      </c>
    </row>
    <row r="533" spans="1:1" x14ac:dyDescent="0.25">
      <c r="A533" t="s">
        <v>6494</v>
      </c>
    </row>
    <row r="534" spans="1:1" x14ac:dyDescent="0.25">
      <c r="A534" t="s">
        <v>6495</v>
      </c>
    </row>
    <row r="535" spans="1:1" x14ac:dyDescent="0.25">
      <c r="A535" t="s">
        <v>3308</v>
      </c>
    </row>
    <row r="536" spans="1:1" x14ac:dyDescent="0.25">
      <c r="A536" t="s">
        <v>6017</v>
      </c>
    </row>
    <row r="537" spans="1:1" x14ac:dyDescent="0.25">
      <c r="A537" t="s">
        <v>1723</v>
      </c>
    </row>
    <row r="538" spans="1:1" x14ac:dyDescent="0.25">
      <c r="A538" t="s">
        <v>6496</v>
      </c>
    </row>
    <row r="539" spans="1:1" x14ac:dyDescent="0.25">
      <c r="A539" t="s">
        <v>6497</v>
      </c>
    </row>
    <row r="540" spans="1:1" x14ac:dyDescent="0.25">
      <c r="A540" t="s">
        <v>5308</v>
      </c>
    </row>
    <row r="541" spans="1:1" x14ac:dyDescent="0.25">
      <c r="A541" t="s">
        <v>4762</v>
      </c>
    </row>
    <row r="542" spans="1:1" x14ac:dyDescent="0.25">
      <c r="A542" t="s">
        <v>5779</v>
      </c>
    </row>
    <row r="543" spans="1:1" x14ac:dyDescent="0.25">
      <c r="A543" t="s">
        <v>6498</v>
      </c>
    </row>
    <row r="544" spans="1:1" x14ac:dyDescent="0.25">
      <c r="A544" t="s">
        <v>123</v>
      </c>
    </row>
    <row r="545" spans="1:1" x14ac:dyDescent="0.25">
      <c r="A545" t="s">
        <v>6499</v>
      </c>
    </row>
    <row r="546" spans="1:1" x14ac:dyDescent="0.25">
      <c r="A546" t="s">
        <v>6500</v>
      </c>
    </row>
    <row r="547" spans="1:1" x14ac:dyDescent="0.25">
      <c r="A547" t="s">
        <v>4768</v>
      </c>
    </row>
    <row r="548" spans="1:1" x14ac:dyDescent="0.25">
      <c r="A548" t="s">
        <v>5310</v>
      </c>
    </row>
    <row r="549" spans="1:1" x14ac:dyDescent="0.25">
      <c r="A549" t="s">
        <v>6501</v>
      </c>
    </row>
    <row r="550" spans="1:1" x14ac:dyDescent="0.25">
      <c r="A550" t="s">
        <v>5780</v>
      </c>
    </row>
    <row r="551" spans="1:1" x14ac:dyDescent="0.25">
      <c r="A551" t="s">
        <v>1743</v>
      </c>
    </row>
    <row r="552" spans="1:1" x14ac:dyDescent="0.25">
      <c r="A552" t="s">
        <v>6502</v>
      </c>
    </row>
    <row r="553" spans="1:1" x14ac:dyDescent="0.25">
      <c r="A553" t="s">
        <v>6503</v>
      </c>
    </row>
    <row r="554" spans="1:1" x14ac:dyDescent="0.25">
      <c r="A554" t="s">
        <v>3335</v>
      </c>
    </row>
    <row r="555" spans="1:1" x14ac:dyDescent="0.25">
      <c r="A555" t="s">
        <v>6504</v>
      </c>
    </row>
    <row r="556" spans="1:1" x14ac:dyDescent="0.25">
      <c r="A556" t="s">
        <v>6505</v>
      </c>
    </row>
    <row r="557" spans="1:1" x14ac:dyDescent="0.25">
      <c r="A557" t="s">
        <v>63</v>
      </c>
    </row>
    <row r="558" spans="1:1" x14ac:dyDescent="0.25">
      <c r="A558" t="s">
        <v>125</v>
      </c>
    </row>
    <row r="559" spans="1:1" x14ac:dyDescent="0.25">
      <c r="A559" t="s">
        <v>6506</v>
      </c>
    </row>
    <row r="560" spans="1:1" x14ac:dyDescent="0.25">
      <c r="A560" t="s">
        <v>1756</v>
      </c>
    </row>
    <row r="561" spans="1:1" x14ac:dyDescent="0.25">
      <c r="A561" t="s">
        <v>4784</v>
      </c>
    </row>
    <row r="562" spans="1:1" x14ac:dyDescent="0.25">
      <c r="A562" t="s">
        <v>6507</v>
      </c>
    </row>
    <row r="563" spans="1:1" x14ac:dyDescent="0.25">
      <c r="A563" t="s">
        <v>6508</v>
      </c>
    </row>
    <row r="564" spans="1:1" x14ac:dyDescent="0.25">
      <c r="A564" t="s">
        <v>6509</v>
      </c>
    </row>
    <row r="565" spans="1:1" x14ac:dyDescent="0.25">
      <c r="A565" t="s">
        <v>6510</v>
      </c>
    </row>
    <row r="566" spans="1:1" x14ac:dyDescent="0.25">
      <c r="A566" t="s">
        <v>5323</v>
      </c>
    </row>
    <row r="567" spans="1:1" x14ac:dyDescent="0.25">
      <c r="A567" t="s">
        <v>5325</v>
      </c>
    </row>
    <row r="568" spans="1:1" x14ac:dyDescent="0.25">
      <c r="A568" t="s">
        <v>3380</v>
      </c>
    </row>
    <row r="569" spans="1:1" x14ac:dyDescent="0.25">
      <c r="A569" t="s">
        <v>5783</v>
      </c>
    </row>
    <row r="570" spans="1:1" x14ac:dyDescent="0.25">
      <c r="A570" t="s">
        <v>5784</v>
      </c>
    </row>
    <row r="571" spans="1:1" x14ac:dyDescent="0.25">
      <c r="A571" t="s">
        <v>6511</v>
      </c>
    </row>
    <row r="572" spans="1:1" x14ac:dyDescent="0.25">
      <c r="A572" t="s">
        <v>6512</v>
      </c>
    </row>
    <row r="573" spans="1:1" x14ac:dyDescent="0.25">
      <c r="A573" t="s">
        <v>4797</v>
      </c>
    </row>
    <row r="574" spans="1:1" x14ac:dyDescent="0.25">
      <c r="A574" t="s">
        <v>6513</v>
      </c>
    </row>
    <row r="575" spans="1:1" x14ac:dyDescent="0.25">
      <c r="A575" t="s">
        <v>5785</v>
      </c>
    </row>
    <row r="576" spans="1:1" x14ac:dyDescent="0.25">
      <c r="A576" t="s">
        <v>1769</v>
      </c>
    </row>
    <row r="577" spans="1:1" x14ac:dyDescent="0.25">
      <c r="A577" t="s">
        <v>4798</v>
      </c>
    </row>
    <row r="578" spans="1:1" x14ac:dyDescent="0.25">
      <c r="A578" t="s">
        <v>6514</v>
      </c>
    </row>
    <row r="579" spans="1:1" x14ac:dyDescent="0.25">
      <c r="A579" t="s">
        <v>5327</v>
      </c>
    </row>
    <row r="580" spans="1:1" x14ac:dyDescent="0.25">
      <c r="A580" t="s">
        <v>6515</v>
      </c>
    </row>
    <row r="581" spans="1:1" x14ac:dyDescent="0.25">
      <c r="A581" t="s">
        <v>5786</v>
      </c>
    </row>
    <row r="582" spans="1:1" x14ac:dyDescent="0.25">
      <c r="A582" t="s">
        <v>5787</v>
      </c>
    </row>
    <row r="583" spans="1:1" x14ac:dyDescent="0.25">
      <c r="A583" t="s">
        <v>5788</v>
      </c>
    </row>
    <row r="584" spans="1:1" x14ac:dyDescent="0.25">
      <c r="A584" t="s">
        <v>3400</v>
      </c>
    </row>
    <row r="585" spans="1:1" x14ac:dyDescent="0.25">
      <c r="A585" t="s">
        <v>4804</v>
      </c>
    </row>
    <row r="586" spans="1:1" x14ac:dyDescent="0.25">
      <c r="A586" t="s">
        <v>6516</v>
      </c>
    </row>
    <row r="587" spans="1:1" x14ac:dyDescent="0.25">
      <c r="A587" t="s">
        <v>6517</v>
      </c>
    </row>
    <row r="588" spans="1:1" x14ac:dyDescent="0.25">
      <c r="A588" t="s">
        <v>4806</v>
      </c>
    </row>
    <row r="589" spans="1:1" x14ac:dyDescent="0.25">
      <c r="A589" t="s">
        <v>6518</v>
      </c>
    </row>
    <row r="590" spans="1:1" x14ac:dyDescent="0.25">
      <c r="A590" t="s">
        <v>14</v>
      </c>
    </row>
    <row r="591" spans="1:1" x14ac:dyDescent="0.25">
      <c r="A591" t="s">
        <v>6519</v>
      </c>
    </row>
    <row r="592" spans="1:1" x14ac:dyDescent="0.25">
      <c r="A592" t="s">
        <v>4807</v>
      </c>
    </row>
    <row r="593" spans="1:1" x14ac:dyDescent="0.25">
      <c r="A593" t="s">
        <v>6520</v>
      </c>
    </row>
    <row r="594" spans="1:1" x14ac:dyDescent="0.25">
      <c r="A594" t="s">
        <v>6521</v>
      </c>
    </row>
    <row r="595" spans="1:1" x14ac:dyDescent="0.25">
      <c r="A595" t="s">
        <v>5334</v>
      </c>
    </row>
    <row r="596" spans="1:1" x14ac:dyDescent="0.25">
      <c r="A596" t="s">
        <v>6522</v>
      </c>
    </row>
    <row r="597" spans="1:1" x14ac:dyDescent="0.25">
      <c r="A597" t="s">
        <v>6523</v>
      </c>
    </row>
    <row r="598" spans="1:1" x14ac:dyDescent="0.25">
      <c r="A598" t="s">
        <v>1809</v>
      </c>
    </row>
    <row r="599" spans="1:1" x14ac:dyDescent="0.25">
      <c r="A599" t="s">
        <v>6524</v>
      </c>
    </row>
    <row r="600" spans="1:1" x14ac:dyDescent="0.25">
      <c r="A600" t="s">
        <v>5794</v>
      </c>
    </row>
    <row r="601" spans="1:1" x14ac:dyDescent="0.25">
      <c r="A601" t="s">
        <v>6525</v>
      </c>
    </row>
    <row r="602" spans="1:1" x14ac:dyDescent="0.25">
      <c r="A602" t="s">
        <v>6526</v>
      </c>
    </row>
    <row r="603" spans="1:1" x14ac:dyDescent="0.25">
      <c r="A603" t="s">
        <v>6527</v>
      </c>
    </row>
    <row r="604" spans="1:1" x14ac:dyDescent="0.25">
      <c r="A604" t="s">
        <v>6528</v>
      </c>
    </row>
    <row r="605" spans="1:1" x14ac:dyDescent="0.25">
      <c r="A605" t="s">
        <v>5339</v>
      </c>
    </row>
    <row r="606" spans="1:1" x14ac:dyDescent="0.25">
      <c r="A606" t="s">
        <v>6529</v>
      </c>
    </row>
    <row r="607" spans="1:1" x14ac:dyDescent="0.25">
      <c r="A607" t="s">
        <v>3465</v>
      </c>
    </row>
    <row r="608" spans="1:1" x14ac:dyDescent="0.25">
      <c r="A608" t="s">
        <v>6530</v>
      </c>
    </row>
    <row r="609" spans="1:1" x14ac:dyDescent="0.25">
      <c r="A609" t="s">
        <v>5796</v>
      </c>
    </row>
    <row r="610" spans="1:1" x14ac:dyDescent="0.25">
      <c r="A610" t="s">
        <v>1824</v>
      </c>
    </row>
    <row r="611" spans="1:1" x14ac:dyDescent="0.25">
      <c r="A611" t="s">
        <v>6531</v>
      </c>
    </row>
    <row r="612" spans="1:1" x14ac:dyDescent="0.25">
      <c r="A612" t="s">
        <v>4829</v>
      </c>
    </row>
    <row r="613" spans="1:1" x14ac:dyDescent="0.25">
      <c r="A613" t="s">
        <v>4830</v>
      </c>
    </row>
    <row r="614" spans="1:1" x14ac:dyDescent="0.25">
      <c r="A614" t="s">
        <v>4831</v>
      </c>
    </row>
    <row r="615" spans="1:1" x14ac:dyDescent="0.25">
      <c r="A615" t="s">
        <v>6532</v>
      </c>
    </row>
    <row r="616" spans="1:1" x14ac:dyDescent="0.25">
      <c r="A616" t="s">
        <v>6533</v>
      </c>
    </row>
    <row r="617" spans="1:1" x14ac:dyDescent="0.25">
      <c r="A617" t="s">
        <v>5346</v>
      </c>
    </row>
    <row r="618" spans="1:1" x14ac:dyDescent="0.25">
      <c r="A618" t="s">
        <v>6534</v>
      </c>
    </row>
    <row r="619" spans="1:1" x14ac:dyDescent="0.25">
      <c r="A619" t="s">
        <v>6535</v>
      </c>
    </row>
    <row r="620" spans="1:1" x14ac:dyDescent="0.25">
      <c r="A620" t="s">
        <v>6536</v>
      </c>
    </row>
    <row r="621" spans="1:1" x14ac:dyDescent="0.25">
      <c r="A621" t="s">
        <v>4836</v>
      </c>
    </row>
    <row r="622" spans="1:1" x14ac:dyDescent="0.25">
      <c r="A622" t="s">
        <v>6537</v>
      </c>
    </row>
    <row r="623" spans="1:1" x14ac:dyDescent="0.25">
      <c r="A623" t="s">
        <v>5349</v>
      </c>
    </row>
    <row r="624" spans="1:1" x14ac:dyDescent="0.25">
      <c r="A624" t="s">
        <v>4838</v>
      </c>
    </row>
    <row r="625" spans="1:1" x14ac:dyDescent="0.25">
      <c r="A625" t="s">
        <v>6538</v>
      </c>
    </row>
    <row r="626" spans="1:1" x14ac:dyDescent="0.25">
      <c r="A626" t="s">
        <v>5351</v>
      </c>
    </row>
    <row r="627" spans="1:1" x14ac:dyDescent="0.25">
      <c r="A627" t="s">
        <v>3503</v>
      </c>
    </row>
    <row r="628" spans="1:1" x14ac:dyDescent="0.25">
      <c r="A628" t="s">
        <v>6539</v>
      </c>
    </row>
    <row r="629" spans="1:1" x14ac:dyDescent="0.25">
      <c r="A629" t="s">
        <v>3504</v>
      </c>
    </row>
    <row r="630" spans="1:1" x14ac:dyDescent="0.25">
      <c r="A630" t="s">
        <v>6540</v>
      </c>
    </row>
    <row r="631" spans="1:1" x14ac:dyDescent="0.25">
      <c r="A631" t="s">
        <v>6541</v>
      </c>
    </row>
    <row r="632" spans="1:1" x14ac:dyDescent="0.25">
      <c r="A632" t="s">
        <v>6542</v>
      </c>
    </row>
    <row r="633" spans="1:1" x14ac:dyDescent="0.25">
      <c r="A633" t="s">
        <v>1844</v>
      </c>
    </row>
    <row r="634" spans="1:1" x14ac:dyDescent="0.25">
      <c r="A634" t="s">
        <v>6543</v>
      </c>
    </row>
    <row r="635" spans="1:1" x14ac:dyDescent="0.25">
      <c r="A635" t="s">
        <v>4841</v>
      </c>
    </row>
    <row r="636" spans="1:1" x14ac:dyDescent="0.25">
      <c r="A636" t="s">
        <v>6544</v>
      </c>
    </row>
    <row r="637" spans="1:1" x14ac:dyDescent="0.25">
      <c r="A637" t="s">
        <v>4844</v>
      </c>
    </row>
    <row r="638" spans="1:1" x14ac:dyDescent="0.25">
      <c r="A638" t="s">
        <v>6545</v>
      </c>
    </row>
    <row r="639" spans="1:1" x14ac:dyDescent="0.25">
      <c r="A639" t="s">
        <v>1849</v>
      </c>
    </row>
    <row r="640" spans="1:1" x14ac:dyDescent="0.25">
      <c r="A640" t="s">
        <v>3520</v>
      </c>
    </row>
    <row r="641" spans="1:1" x14ac:dyDescent="0.25">
      <c r="A641" t="s">
        <v>6546</v>
      </c>
    </row>
    <row r="642" spans="1:1" x14ac:dyDescent="0.25">
      <c r="A642" t="s">
        <v>6547</v>
      </c>
    </row>
    <row r="643" spans="1:1" x14ac:dyDescent="0.25">
      <c r="A643" t="s">
        <v>2160</v>
      </c>
    </row>
    <row r="644" spans="1:1" x14ac:dyDescent="0.25">
      <c r="A644" t="s">
        <v>5361</v>
      </c>
    </row>
    <row r="645" spans="1:1" x14ac:dyDescent="0.25">
      <c r="A645" t="s">
        <v>6548</v>
      </c>
    </row>
    <row r="646" spans="1:1" x14ac:dyDescent="0.25">
      <c r="A646" t="s">
        <v>3546</v>
      </c>
    </row>
    <row r="647" spans="1:1" x14ac:dyDescent="0.25">
      <c r="A647" t="s">
        <v>3554</v>
      </c>
    </row>
    <row r="648" spans="1:1" x14ac:dyDescent="0.25">
      <c r="A648" t="s">
        <v>3555</v>
      </c>
    </row>
    <row r="649" spans="1:1" x14ac:dyDescent="0.25">
      <c r="A649" t="s">
        <v>3564</v>
      </c>
    </row>
    <row r="650" spans="1:1" x14ac:dyDescent="0.25">
      <c r="A650" t="s">
        <v>5802</v>
      </c>
    </row>
    <row r="651" spans="1:1" x14ac:dyDescent="0.25">
      <c r="A651" t="s">
        <v>6549</v>
      </c>
    </row>
    <row r="652" spans="1:1" x14ac:dyDescent="0.25">
      <c r="A652" t="s">
        <v>6550</v>
      </c>
    </row>
    <row r="653" spans="1:1" x14ac:dyDescent="0.25">
      <c r="A653" t="s">
        <v>3571</v>
      </c>
    </row>
    <row r="654" spans="1:1" x14ac:dyDescent="0.25">
      <c r="A654" t="s">
        <v>6551</v>
      </c>
    </row>
    <row r="655" spans="1:1" x14ac:dyDescent="0.25">
      <c r="A655" t="s">
        <v>6552</v>
      </c>
    </row>
    <row r="656" spans="1:1" x14ac:dyDescent="0.25">
      <c r="A656" t="s">
        <v>6553</v>
      </c>
    </row>
    <row r="657" spans="1:1" x14ac:dyDescent="0.25">
      <c r="A657" t="s">
        <v>5364</v>
      </c>
    </row>
    <row r="658" spans="1:1" x14ac:dyDescent="0.25">
      <c r="A658" t="s">
        <v>6023</v>
      </c>
    </row>
    <row r="659" spans="1:1" x14ac:dyDescent="0.25">
      <c r="A659" t="s">
        <v>3588</v>
      </c>
    </row>
    <row r="660" spans="1:1" x14ac:dyDescent="0.25">
      <c r="A660" t="s">
        <v>6554</v>
      </c>
    </row>
    <row r="661" spans="1:1" x14ac:dyDescent="0.25">
      <c r="A661" t="s">
        <v>1882</v>
      </c>
    </row>
    <row r="662" spans="1:1" x14ac:dyDescent="0.25">
      <c r="A662" t="s">
        <v>5365</v>
      </c>
    </row>
    <row r="663" spans="1:1" x14ac:dyDescent="0.25">
      <c r="A663" t="s">
        <v>5367</v>
      </c>
    </row>
    <row r="664" spans="1:1" x14ac:dyDescent="0.25">
      <c r="A664" t="s">
        <v>6555</v>
      </c>
    </row>
    <row r="665" spans="1:1" x14ac:dyDescent="0.25">
      <c r="A665" t="s">
        <v>4874</v>
      </c>
    </row>
    <row r="666" spans="1:1" x14ac:dyDescent="0.25">
      <c r="A666" t="s">
        <v>6556</v>
      </c>
    </row>
    <row r="667" spans="1:1" x14ac:dyDescent="0.25">
      <c r="A667" t="s">
        <v>4875</v>
      </c>
    </row>
    <row r="668" spans="1:1" x14ac:dyDescent="0.25">
      <c r="A668" t="s">
        <v>5804</v>
      </c>
    </row>
    <row r="669" spans="1:1" x14ac:dyDescent="0.25">
      <c r="A669" t="s">
        <v>6557</v>
      </c>
    </row>
    <row r="670" spans="1:1" x14ac:dyDescent="0.25">
      <c r="A670" t="s">
        <v>5805</v>
      </c>
    </row>
    <row r="671" spans="1:1" x14ac:dyDescent="0.25">
      <c r="A671" t="s">
        <v>6558</v>
      </c>
    </row>
    <row r="672" spans="1:1" x14ac:dyDescent="0.25">
      <c r="A672" t="s">
        <v>6559</v>
      </c>
    </row>
    <row r="673" spans="1:1" x14ac:dyDescent="0.25">
      <c r="A673" t="s">
        <v>6560</v>
      </c>
    </row>
    <row r="674" spans="1:1" x14ac:dyDescent="0.25">
      <c r="A674" t="s">
        <v>6561</v>
      </c>
    </row>
    <row r="675" spans="1:1" x14ac:dyDescent="0.25">
      <c r="A675" t="s">
        <v>6562</v>
      </c>
    </row>
    <row r="676" spans="1:1" x14ac:dyDescent="0.25">
      <c r="A676" t="s">
        <v>6563</v>
      </c>
    </row>
    <row r="677" spans="1:1" x14ac:dyDescent="0.25">
      <c r="A677" t="s">
        <v>6564</v>
      </c>
    </row>
    <row r="678" spans="1:1" x14ac:dyDescent="0.25">
      <c r="A678" t="s">
        <v>6565</v>
      </c>
    </row>
    <row r="679" spans="1:1" x14ac:dyDescent="0.25">
      <c r="A679" t="s">
        <v>3618</v>
      </c>
    </row>
    <row r="680" spans="1:1" x14ac:dyDescent="0.25">
      <c r="A680" t="s">
        <v>6566</v>
      </c>
    </row>
    <row r="681" spans="1:1" x14ac:dyDescent="0.25">
      <c r="A681" t="s">
        <v>3620</v>
      </c>
    </row>
    <row r="682" spans="1:1" x14ac:dyDescent="0.25">
      <c r="A682" t="s">
        <v>5806</v>
      </c>
    </row>
    <row r="683" spans="1:1" x14ac:dyDescent="0.25">
      <c r="A683" t="s">
        <v>5807</v>
      </c>
    </row>
    <row r="684" spans="1:1" x14ac:dyDescent="0.25">
      <c r="A684" t="s">
        <v>6567</v>
      </c>
    </row>
    <row r="685" spans="1:1" x14ac:dyDescent="0.25">
      <c r="A685" t="s">
        <v>2163</v>
      </c>
    </row>
    <row r="686" spans="1:1" x14ac:dyDescent="0.25">
      <c r="A686" t="s">
        <v>5368</v>
      </c>
    </row>
    <row r="687" spans="1:1" x14ac:dyDescent="0.25">
      <c r="A687" t="s">
        <v>6568</v>
      </c>
    </row>
    <row r="688" spans="1:1" x14ac:dyDescent="0.25">
      <c r="A688" t="s">
        <v>6569</v>
      </c>
    </row>
    <row r="689" spans="1:1" x14ac:dyDescent="0.25">
      <c r="A689" t="s">
        <v>6570</v>
      </c>
    </row>
    <row r="690" spans="1:1" x14ac:dyDescent="0.25">
      <c r="A690" t="s">
        <v>5809</v>
      </c>
    </row>
    <row r="691" spans="1:1" x14ac:dyDescent="0.25">
      <c r="A691" t="s">
        <v>4886</v>
      </c>
    </row>
    <row r="692" spans="1:1" x14ac:dyDescent="0.25">
      <c r="A692" t="s">
        <v>6571</v>
      </c>
    </row>
    <row r="693" spans="1:1" x14ac:dyDescent="0.25">
      <c r="A693" t="s">
        <v>4887</v>
      </c>
    </row>
    <row r="694" spans="1:1" x14ac:dyDescent="0.25">
      <c r="A694" t="s">
        <v>6572</v>
      </c>
    </row>
    <row r="695" spans="1:1" x14ac:dyDescent="0.25">
      <c r="A695" t="s">
        <v>6573</v>
      </c>
    </row>
    <row r="696" spans="1:1" x14ac:dyDescent="0.25">
      <c r="A696" t="s">
        <v>1909</v>
      </c>
    </row>
    <row r="697" spans="1:1" x14ac:dyDescent="0.25">
      <c r="A697" t="s">
        <v>6574</v>
      </c>
    </row>
    <row r="698" spans="1:1" x14ac:dyDescent="0.25">
      <c r="A698" t="s">
        <v>1917</v>
      </c>
    </row>
    <row r="699" spans="1:1" x14ac:dyDescent="0.25">
      <c r="A699" t="s">
        <v>133</v>
      </c>
    </row>
    <row r="700" spans="1:1" x14ac:dyDescent="0.25">
      <c r="A700" t="s">
        <v>4897</v>
      </c>
    </row>
    <row r="701" spans="1:1" x14ac:dyDescent="0.25">
      <c r="A701" t="s">
        <v>3677</v>
      </c>
    </row>
    <row r="702" spans="1:1" x14ac:dyDescent="0.25">
      <c r="A702" t="s">
        <v>4899</v>
      </c>
    </row>
    <row r="703" spans="1:1" x14ac:dyDescent="0.25">
      <c r="A703" t="s">
        <v>6575</v>
      </c>
    </row>
    <row r="704" spans="1:1" x14ac:dyDescent="0.25">
      <c r="A704" t="s">
        <v>3687</v>
      </c>
    </row>
    <row r="705" spans="1:1" x14ac:dyDescent="0.25">
      <c r="A705" t="s">
        <v>4903</v>
      </c>
    </row>
    <row r="706" spans="1:1" x14ac:dyDescent="0.25">
      <c r="A706" t="s">
        <v>6576</v>
      </c>
    </row>
    <row r="707" spans="1:1" x14ac:dyDescent="0.25">
      <c r="A707" t="s">
        <v>6577</v>
      </c>
    </row>
    <row r="708" spans="1:1" x14ac:dyDescent="0.25">
      <c r="A708" t="s">
        <v>6578</v>
      </c>
    </row>
    <row r="709" spans="1:1" x14ac:dyDescent="0.25">
      <c r="A709" t="s">
        <v>4906</v>
      </c>
    </row>
    <row r="710" spans="1:1" x14ac:dyDescent="0.25">
      <c r="A710" t="s">
        <v>6579</v>
      </c>
    </row>
    <row r="711" spans="1:1" x14ac:dyDescent="0.25">
      <c r="A711" t="s">
        <v>6580</v>
      </c>
    </row>
    <row r="712" spans="1:1" x14ac:dyDescent="0.25">
      <c r="A712" t="s">
        <v>6581</v>
      </c>
    </row>
    <row r="713" spans="1:1" x14ac:dyDescent="0.25">
      <c r="A713" t="s">
        <v>5381</v>
      </c>
    </row>
    <row r="714" spans="1:1" x14ac:dyDescent="0.25">
      <c r="A714" t="s">
        <v>2165</v>
      </c>
    </row>
    <row r="715" spans="1:1" x14ac:dyDescent="0.25">
      <c r="A715" t="s">
        <v>4909</v>
      </c>
    </row>
    <row r="716" spans="1:1" x14ac:dyDescent="0.25">
      <c r="A716" t="s">
        <v>6582</v>
      </c>
    </row>
    <row r="717" spans="1:1" x14ac:dyDescent="0.25">
      <c r="A717" t="s">
        <v>4910</v>
      </c>
    </row>
    <row r="718" spans="1:1" x14ac:dyDescent="0.25">
      <c r="A718" t="s">
        <v>5382</v>
      </c>
    </row>
    <row r="719" spans="1:1" x14ac:dyDescent="0.25">
      <c r="A719" t="s">
        <v>5383</v>
      </c>
    </row>
    <row r="720" spans="1:1" x14ac:dyDescent="0.25">
      <c r="A720" t="s">
        <v>5384</v>
      </c>
    </row>
    <row r="721" spans="1:1" x14ac:dyDescent="0.25">
      <c r="A721" t="s">
        <v>6583</v>
      </c>
    </row>
    <row r="722" spans="1:1" x14ac:dyDescent="0.25">
      <c r="A722" t="s">
        <v>5816</v>
      </c>
    </row>
    <row r="723" spans="1:1" x14ac:dyDescent="0.25">
      <c r="A723" t="s">
        <v>5817</v>
      </c>
    </row>
    <row r="724" spans="1:1" x14ac:dyDescent="0.25">
      <c r="A724" t="s">
        <v>6584</v>
      </c>
    </row>
    <row r="725" spans="1:1" x14ac:dyDescent="0.25">
      <c r="A725" t="s">
        <v>6585</v>
      </c>
    </row>
    <row r="726" spans="1:1" x14ac:dyDescent="0.25">
      <c r="A726" t="s">
        <v>3733</v>
      </c>
    </row>
    <row r="727" spans="1:1" x14ac:dyDescent="0.25">
      <c r="A727" t="s">
        <v>6586</v>
      </c>
    </row>
    <row r="728" spans="1:1" x14ac:dyDescent="0.25">
      <c r="A728" t="s">
        <v>5818</v>
      </c>
    </row>
    <row r="729" spans="1:1" x14ac:dyDescent="0.25">
      <c r="A729" t="s">
        <v>3749</v>
      </c>
    </row>
    <row r="730" spans="1:1" x14ac:dyDescent="0.25">
      <c r="A730" t="s">
        <v>6587</v>
      </c>
    </row>
    <row r="731" spans="1:1" x14ac:dyDescent="0.25">
      <c r="A731" t="s">
        <v>6588</v>
      </c>
    </row>
    <row r="732" spans="1:1" x14ac:dyDescent="0.25">
      <c r="A732" t="s">
        <v>5385</v>
      </c>
    </row>
    <row r="733" spans="1:1" x14ac:dyDescent="0.25">
      <c r="A733" t="s">
        <v>5386</v>
      </c>
    </row>
    <row r="734" spans="1:1" x14ac:dyDescent="0.25">
      <c r="A734" t="s">
        <v>5387</v>
      </c>
    </row>
    <row r="735" spans="1:1" x14ac:dyDescent="0.25">
      <c r="A735" t="s">
        <v>6589</v>
      </c>
    </row>
    <row r="736" spans="1:1" x14ac:dyDescent="0.25">
      <c r="A736" t="s">
        <v>6590</v>
      </c>
    </row>
    <row r="737" spans="1:1" x14ac:dyDescent="0.25">
      <c r="A737" t="s">
        <v>5819</v>
      </c>
    </row>
    <row r="738" spans="1:1" x14ac:dyDescent="0.25">
      <c r="A738" t="s">
        <v>6591</v>
      </c>
    </row>
    <row r="739" spans="1:1" x14ac:dyDescent="0.25">
      <c r="A739" t="s">
        <v>1959</v>
      </c>
    </row>
    <row r="740" spans="1:1" x14ac:dyDescent="0.25">
      <c r="A740" t="s">
        <v>6592</v>
      </c>
    </row>
    <row r="741" spans="1:1" x14ac:dyDescent="0.25">
      <c r="A741" t="s">
        <v>3766</v>
      </c>
    </row>
    <row r="742" spans="1:1" x14ac:dyDescent="0.25">
      <c r="A742" t="s">
        <v>5388</v>
      </c>
    </row>
    <row r="743" spans="1:1" x14ac:dyDescent="0.25">
      <c r="A743" t="s">
        <v>5822</v>
      </c>
    </row>
    <row r="744" spans="1:1" x14ac:dyDescent="0.25">
      <c r="A744" t="s">
        <v>6593</v>
      </c>
    </row>
    <row r="745" spans="1:1" x14ac:dyDescent="0.25">
      <c r="A745" t="s">
        <v>6594</v>
      </c>
    </row>
    <row r="746" spans="1:1" x14ac:dyDescent="0.25">
      <c r="A746" t="s">
        <v>4934</v>
      </c>
    </row>
    <row r="747" spans="1:1" x14ac:dyDescent="0.25">
      <c r="A747" t="s">
        <v>5823</v>
      </c>
    </row>
    <row r="748" spans="1:1" x14ac:dyDescent="0.25">
      <c r="A748" t="s">
        <v>5389</v>
      </c>
    </row>
    <row r="749" spans="1:1" x14ac:dyDescent="0.25">
      <c r="A749" t="s">
        <v>4936</v>
      </c>
    </row>
    <row r="750" spans="1:1" x14ac:dyDescent="0.25">
      <c r="A750" t="s">
        <v>6595</v>
      </c>
    </row>
    <row r="751" spans="1:1" x14ac:dyDescent="0.25">
      <c r="A751" t="s">
        <v>5824</v>
      </c>
    </row>
    <row r="752" spans="1:1" x14ac:dyDescent="0.25">
      <c r="A752" t="s">
        <v>1969</v>
      </c>
    </row>
    <row r="753" spans="1:1" x14ac:dyDescent="0.25">
      <c r="A753" t="s">
        <v>5825</v>
      </c>
    </row>
    <row r="754" spans="1:1" x14ac:dyDescent="0.25">
      <c r="A754" t="s">
        <v>5826</v>
      </c>
    </row>
    <row r="755" spans="1:1" x14ac:dyDescent="0.25">
      <c r="A755" t="s">
        <v>6596</v>
      </c>
    </row>
    <row r="756" spans="1:1" x14ac:dyDescent="0.25">
      <c r="A756" t="s">
        <v>71</v>
      </c>
    </row>
    <row r="757" spans="1:1" x14ac:dyDescent="0.25">
      <c r="A757" t="s">
        <v>3789</v>
      </c>
    </row>
    <row r="758" spans="1:1" x14ac:dyDescent="0.25">
      <c r="A758" t="s">
        <v>3791</v>
      </c>
    </row>
    <row r="759" spans="1:1" x14ac:dyDescent="0.25">
      <c r="A759" t="s">
        <v>1974</v>
      </c>
    </row>
    <row r="760" spans="1:1" x14ac:dyDescent="0.25">
      <c r="A760" t="s">
        <v>6597</v>
      </c>
    </row>
    <row r="761" spans="1:1" x14ac:dyDescent="0.25">
      <c r="A761" t="s">
        <v>1975</v>
      </c>
    </row>
    <row r="762" spans="1:1" x14ac:dyDescent="0.25">
      <c r="A762" t="s">
        <v>6598</v>
      </c>
    </row>
    <row r="763" spans="1:1" x14ac:dyDescent="0.25">
      <c r="A763" t="s">
        <v>5827</v>
      </c>
    </row>
    <row r="764" spans="1:1" x14ac:dyDescent="0.25">
      <c r="A764" t="s">
        <v>1978</v>
      </c>
    </row>
    <row r="765" spans="1:1" x14ac:dyDescent="0.25">
      <c r="A765" t="s">
        <v>6599</v>
      </c>
    </row>
    <row r="766" spans="1:1" x14ac:dyDescent="0.25">
      <c r="A766" t="s">
        <v>6027</v>
      </c>
    </row>
    <row r="767" spans="1:1" x14ac:dyDescent="0.25">
      <c r="A767" t="s">
        <v>3811</v>
      </c>
    </row>
    <row r="768" spans="1:1" x14ac:dyDescent="0.25">
      <c r="A768" t="s">
        <v>6600</v>
      </c>
    </row>
    <row r="769" spans="1:1" x14ac:dyDescent="0.25">
      <c r="A769" t="s">
        <v>6601</v>
      </c>
    </row>
    <row r="770" spans="1:1" x14ac:dyDescent="0.25">
      <c r="A770" t="s">
        <v>5223</v>
      </c>
    </row>
    <row r="771" spans="1:1" x14ac:dyDescent="0.25">
      <c r="A771" t="s">
        <v>6602</v>
      </c>
    </row>
    <row r="772" spans="1:1" x14ac:dyDescent="0.25">
      <c r="A772" t="s">
        <v>4950</v>
      </c>
    </row>
    <row r="773" spans="1:1" x14ac:dyDescent="0.25">
      <c r="A773" t="s">
        <v>3822</v>
      </c>
    </row>
    <row r="774" spans="1:1" x14ac:dyDescent="0.25">
      <c r="A774" t="s">
        <v>3827</v>
      </c>
    </row>
    <row r="775" spans="1:1" x14ac:dyDescent="0.25">
      <c r="A775" t="s">
        <v>6603</v>
      </c>
    </row>
    <row r="776" spans="1:1" x14ac:dyDescent="0.25">
      <c r="A776" t="s">
        <v>6604</v>
      </c>
    </row>
    <row r="777" spans="1:1" x14ac:dyDescent="0.25">
      <c r="A777" t="s">
        <v>5831</v>
      </c>
    </row>
    <row r="778" spans="1:1" x14ac:dyDescent="0.25">
      <c r="A778" t="s">
        <v>5832</v>
      </c>
    </row>
    <row r="779" spans="1:1" x14ac:dyDescent="0.25">
      <c r="A779" t="s">
        <v>6605</v>
      </c>
    </row>
    <row r="780" spans="1:1" x14ac:dyDescent="0.25">
      <c r="A780" t="s">
        <v>3850</v>
      </c>
    </row>
    <row r="781" spans="1:1" x14ac:dyDescent="0.25">
      <c r="A781" t="s">
        <v>3852</v>
      </c>
    </row>
    <row r="782" spans="1:1" x14ac:dyDescent="0.25">
      <c r="A782" t="s">
        <v>2006</v>
      </c>
    </row>
    <row r="783" spans="1:1" x14ac:dyDescent="0.25">
      <c r="A783" t="s">
        <v>6606</v>
      </c>
    </row>
    <row r="784" spans="1:1" x14ac:dyDescent="0.25">
      <c r="A784" t="s">
        <v>3859</v>
      </c>
    </row>
    <row r="785" spans="1:1" x14ac:dyDescent="0.25">
      <c r="A785" t="s">
        <v>6607</v>
      </c>
    </row>
    <row r="786" spans="1:1" x14ac:dyDescent="0.25">
      <c r="A786" t="s">
        <v>6608</v>
      </c>
    </row>
    <row r="787" spans="1:1" x14ac:dyDescent="0.25">
      <c r="A787" t="s">
        <v>3865</v>
      </c>
    </row>
    <row r="788" spans="1:1" x14ac:dyDescent="0.25">
      <c r="A788" t="s">
        <v>2009</v>
      </c>
    </row>
    <row r="789" spans="1:1" x14ac:dyDescent="0.25">
      <c r="A789" t="s">
        <v>2010</v>
      </c>
    </row>
    <row r="790" spans="1:1" x14ac:dyDescent="0.25">
      <c r="A790" t="s">
        <v>5833</v>
      </c>
    </row>
    <row r="791" spans="1:1" x14ac:dyDescent="0.25">
      <c r="A791" t="s">
        <v>5403</v>
      </c>
    </row>
    <row r="792" spans="1:1" x14ac:dyDescent="0.25">
      <c r="A792" t="s">
        <v>6609</v>
      </c>
    </row>
    <row r="793" spans="1:1" x14ac:dyDescent="0.25">
      <c r="A793" t="s">
        <v>2167</v>
      </c>
    </row>
    <row r="794" spans="1:1" x14ac:dyDescent="0.25">
      <c r="A794" t="s">
        <v>6610</v>
      </c>
    </row>
    <row r="795" spans="1:1" x14ac:dyDescent="0.25">
      <c r="A795" t="s">
        <v>5834</v>
      </c>
    </row>
    <row r="796" spans="1:1" x14ac:dyDescent="0.25">
      <c r="A796" t="s">
        <v>2017</v>
      </c>
    </row>
    <row r="797" spans="1:1" x14ac:dyDescent="0.25">
      <c r="A797" t="s">
        <v>2168</v>
      </c>
    </row>
    <row r="798" spans="1:1" x14ac:dyDescent="0.25">
      <c r="A798" t="s">
        <v>5404</v>
      </c>
    </row>
    <row r="799" spans="1:1" x14ac:dyDescent="0.25">
      <c r="A799" t="s">
        <v>5835</v>
      </c>
    </row>
    <row r="800" spans="1:1" x14ac:dyDescent="0.25">
      <c r="A800" t="s">
        <v>6611</v>
      </c>
    </row>
    <row r="801" spans="1:1" x14ac:dyDescent="0.25">
      <c r="A801" t="s">
        <v>6612</v>
      </c>
    </row>
    <row r="802" spans="1:1" x14ac:dyDescent="0.25">
      <c r="A802" t="s">
        <v>6613</v>
      </c>
    </row>
    <row r="803" spans="1:1" x14ac:dyDescent="0.25">
      <c r="A803" t="s">
        <v>5836</v>
      </c>
    </row>
    <row r="804" spans="1:1" x14ac:dyDescent="0.25">
      <c r="A804" t="s">
        <v>6614</v>
      </c>
    </row>
    <row r="805" spans="1:1" x14ac:dyDescent="0.25">
      <c r="A805" t="s">
        <v>6615</v>
      </c>
    </row>
    <row r="806" spans="1:1" x14ac:dyDescent="0.25">
      <c r="A806" t="s">
        <v>6616</v>
      </c>
    </row>
    <row r="807" spans="1:1" x14ac:dyDescent="0.25">
      <c r="A807" t="s">
        <v>75</v>
      </c>
    </row>
    <row r="808" spans="1:1" x14ac:dyDescent="0.25">
      <c r="A808" t="s">
        <v>6617</v>
      </c>
    </row>
    <row r="809" spans="1:1" x14ac:dyDescent="0.25">
      <c r="A809" t="s">
        <v>3901</v>
      </c>
    </row>
    <row r="810" spans="1:1" x14ac:dyDescent="0.25">
      <c r="A810" t="s">
        <v>6618</v>
      </c>
    </row>
    <row r="811" spans="1:1" x14ac:dyDescent="0.25">
      <c r="A811" t="s">
        <v>5837</v>
      </c>
    </row>
    <row r="812" spans="1:1" x14ac:dyDescent="0.25">
      <c r="A812" t="s">
        <v>4981</v>
      </c>
    </row>
    <row r="813" spans="1:1" x14ac:dyDescent="0.25">
      <c r="A813" t="s">
        <v>5408</v>
      </c>
    </row>
    <row r="814" spans="1:1" x14ac:dyDescent="0.25">
      <c r="A814" t="s">
        <v>4983</v>
      </c>
    </row>
    <row r="815" spans="1:1" x14ac:dyDescent="0.25">
      <c r="A815" t="s">
        <v>2028</v>
      </c>
    </row>
    <row r="816" spans="1:1" x14ac:dyDescent="0.25">
      <c r="A816" t="s">
        <v>3904</v>
      </c>
    </row>
    <row r="817" spans="1:1" x14ac:dyDescent="0.25">
      <c r="A817" t="s">
        <v>6619</v>
      </c>
    </row>
    <row r="818" spans="1:1" x14ac:dyDescent="0.25">
      <c r="A818" t="s">
        <v>4984</v>
      </c>
    </row>
    <row r="819" spans="1:1" x14ac:dyDescent="0.25">
      <c r="A819" t="s">
        <v>3908</v>
      </c>
    </row>
    <row r="820" spans="1:1" x14ac:dyDescent="0.25">
      <c r="A820" t="s">
        <v>3914</v>
      </c>
    </row>
    <row r="821" spans="1:1" x14ac:dyDescent="0.25">
      <c r="A821" t="s">
        <v>6620</v>
      </c>
    </row>
    <row r="822" spans="1:1" x14ac:dyDescent="0.25">
      <c r="A822" t="s">
        <v>2035</v>
      </c>
    </row>
    <row r="823" spans="1:1" x14ac:dyDescent="0.25">
      <c r="A823" t="s">
        <v>6621</v>
      </c>
    </row>
    <row r="824" spans="1:1" x14ac:dyDescent="0.25">
      <c r="A824" t="s">
        <v>1454</v>
      </c>
    </row>
    <row r="825" spans="1:1" x14ac:dyDescent="0.25">
      <c r="A825" t="s">
        <v>5412</v>
      </c>
    </row>
    <row r="826" spans="1:1" x14ac:dyDescent="0.25">
      <c r="A826" t="s">
        <v>3944</v>
      </c>
    </row>
    <row r="827" spans="1:1" x14ac:dyDescent="0.25">
      <c r="A827" t="s">
        <v>3950</v>
      </c>
    </row>
    <row r="828" spans="1:1" x14ac:dyDescent="0.25">
      <c r="A828" t="s">
        <v>3951</v>
      </c>
    </row>
    <row r="829" spans="1:1" x14ac:dyDescent="0.25">
      <c r="A829" t="s">
        <v>6622</v>
      </c>
    </row>
    <row r="830" spans="1:1" x14ac:dyDescent="0.25">
      <c r="A830" t="s">
        <v>6623</v>
      </c>
    </row>
    <row r="831" spans="1:1" x14ac:dyDescent="0.25">
      <c r="A831" t="s">
        <v>6624</v>
      </c>
    </row>
    <row r="832" spans="1:1" x14ac:dyDescent="0.25">
      <c r="A832" t="s">
        <v>6625</v>
      </c>
    </row>
    <row r="833" spans="1:1" x14ac:dyDescent="0.25">
      <c r="A833" t="s">
        <v>6626</v>
      </c>
    </row>
    <row r="834" spans="1:1" x14ac:dyDescent="0.25">
      <c r="A834" t="s">
        <v>5840</v>
      </c>
    </row>
    <row r="835" spans="1:1" x14ac:dyDescent="0.25">
      <c r="A835" t="s">
        <v>3960</v>
      </c>
    </row>
    <row r="836" spans="1:1" x14ac:dyDescent="0.25">
      <c r="A836" t="s">
        <v>6627</v>
      </c>
    </row>
    <row r="837" spans="1:1" x14ac:dyDescent="0.25">
      <c r="A837" t="s">
        <v>3964</v>
      </c>
    </row>
    <row r="838" spans="1:1" x14ac:dyDescent="0.25">
      <c r="A838" t="s">
        <v>2062</v>
      </c>
    </row>
    <row r="839" spans="1:1" x14ac:dyDescent="0.25">
      <c r="A839" t="s">
        <v>6628</v>
      </c>
    </row>
    <row r="840" spans="1:1" x14ac:dyDescent="0.25">
      <c r="A840" t="s">
        <v>6629</v>
      </c>
    </row>
    <row r="841" spans="1:1" x14ac:dyDescent="0.25">
      <c r="A841" t="s">
        <v>6630</v>
      </c>
    </row>
    <row r="842" spans="1:1" x14ac:dyDescent="0.25">
      <c r="A842" t="s">
        <v>4999</v>
      </c>
    </row>
    <row r="843" spans="1:1" x14ac:dyDescent="0.25">
      <c r="A843" t="s">
        <v>2074</v>
      </c>
    </row>
    <row r="844" spans="1:1" x14ac:dyDescent="0.25">
      <c r="A844" t="s">
        <v>5416</v>
      </c>
    </row>
    <row r="845" spans="1:1" x14ac:dyDescent="0.25">
      <c r="A845" t="s">
        <v>5841</v>
      </c>
    </row>
    <row r="846" spans="1:1" x14ac:dyDescent="0.25">
      <c r="A846" t="s">
        <v>6631</v>
      </c>
    </row>
    <row r="847" spans="1:1" x14ac:dyDescent="0.25">
      <c r="A847" t="s">
        <v>5417</v>
      </c>
    </row>
    <row r="848" spans="1:1" x14ac:dyDescent="0.25">
      <c r="A848" t="s">
        <v>6632</v>
      </c>
    </row>
    <row r="849" spans="1:1" x14ac:dyDescent="0.25">
      <c r="A849" t="s">
        <v>5842</v>
      </c>
    </row>
    <row r="850" spans="1:1" x14ac:dyDescent="0.25">
      <c r="A850" t="s">
        <v>6633</v>
      </c>
    </row>
    <row r="851" spans="1:1" x14ac:dyDescent="0.25">
      <c r="A851" t="s">
        <v>6634</v>
      </c>
    </row>
    <row r="852" spans="1:1" x14ac:dyDescent="0.25">
      <c r="A852" t="s">
        <v>6635</v>
      </c>
    </row>
    <row r="853" spans="1:1" x14ac:dyDescent="0.25">
      <c r="A853" t="s">
        <v>6636</v>
      </c>
    </row>
    <row r="854" spans="1:1" x14ac:dyDescent="0.25">
      <c r="A854" t="s">
        <v>6637</v>
      </c>
    </row>
    <row r="855" spans="1:1" x14ac:dyDescent="0.25">
      <c r="A855" t="s">
        <v>2088</v>
      </c>
    </row>
    <row r="856" spans="1:1" x14ac:dyDescent="0.25">
      <c r="A856" t="s">
        <v>6638</v>
      </c>
    </row>
    <row r="857" spans="1:1" x14ac:dyDescent="0.25">
      <c r="A857" t="s">
        <v>6639</v>
      </c>
    </row>
    <row r="858" spans="1:1" x14ac:dyDescent="0.25">
      <c r="A858" t="s">
        <v>6640</v>
      </c>
    </row>
    <row r="859" spans="1:1" x14ac:dyDescent="0.25">
      <c r="A859" t="s">
        <v>6641</v>
      </c>
    </row>
    <row r="860" spans="1:1" x14ac:dyDescent="0.25">
      <c r="A860" t="s">
        <v>6642</v>
      </c>
    </row>
    <row r="861" spans="1:1" x14ac:dyDescent="0.25">
      <c r="A861" t="s">
        <v>77</v>
      </c>
    </row>
    <row r="862" spans="1:1" x14ac:dyDescent="0.25">
      <c r="A862" t="s">
        <v>3996</v>
      </c>
    </row>
    <row r="863" spans="1:1" x14ac:dyDescent="0.25">
      <c r="A863" t="s">
        <v>6643</v>
      </c>
    </row>
    <row r="864" spans="1:1" x14ac:dyDescent="0.25">
      <c r="A864" t="s">
        <v>5845</v>
      </c>
    </row>
    <row r="865" spans="1:1" x14ac:dyDescent="0.25">
      <c r="A865" t="s">
        <v>5009</v>
      </c>
    </row>
    <row r="866" spans="1:1" x14ac:dyDescent="0.25">
      <c r="A866" t="s">
        <v>5425</v>
      </c>
    </row>
    <row r="867" spans="1:1" x14ac:dyDescent="0.25">
      <c r="A867" t="s">
        <v>4012</v>
      </c>
    </row>
    <row r="868" spans="1:1" x14ac:dyDescent="0.25">
      <c r="A868" t="s">
        <v>5427</v>
      </c>
    </row>
    <row r="869" spans="1:1" x14ac:dyDescent="0.25">
      <c r="A869" t="s">
        <v>6644</v>
      </c>
    </row>
    <row r="870" spans="1:1" x14ac:dyDescent="0.25">
      <c r="A870" t="s">
        <v>4029</v>
      </c>
    </row>
    <row r="871" spans="1:1" x14ac:dyDescent="0.25">
      <c r="A871" t="s">
        <v>5021</v>
      </c>
    </row>
    <row r="872" spans="1:1" x14ac:dyDescent="0.25">
      <c r="A872" t="s">
        <v>5431</v>
      </c>
    </row>
    <row r="873" spans="1:1" x14ac:dyDescent="0.25">
      <c r="A873" t="s">
        <v>4044</v>
      </c>
    </row>
    <row r="874" spans="1:1" x14ac:dyDescent="0.25">
      <c r="A874" t="s">
        <v>4046</v>
      </c>
    </row>
    <row r="875" spans="1:1" x14ac:dyDescent="0.25">
      <c r="A875" t="s">
        <v>4047</v>
      </c>
    </row>
    <row r="876" spans="1:1" x14ac:dyDescent="0.25">
      <c r="A876" t="s">
        <v>6645</v>
      </c>
    </row>
    <row r="877" spans="1:1" x14ac:dyDescent="0.25">
      <c r="A877" t="s">
        <v>5023</v>
      </c>
    </row>
    <row r="878" spans="1:1" x14ac:dyDescent="0.25">
      <c r="A878" t="s">
        <v>4055</v>
      </c>
    </row>
    <row r="879" spans="1:1" x14ac:dyDescent="0.25">
      <c r="A879" t="s">
        <v>6646</v>
      </c>
    </row>
    <row r="880" spans="1:1" x14ac:dyDescent="0.25">
      <c r="A880" t="s">
        <v>6647</v>
      </c>
    </row>
    <row r="881" spans="1:1" x14ac:dyDescent="0.25">
      <c r="A881" t="s">
        <v>6648</v>
      </c>
    </row>
    <row r="882" spans="1:1" x14ac:dyDescent="0.25">
      <c r="A882" t="s">
        <v>6649</v>
      </c>
    </row>
    <row r="883" spans="1:1" x14ac:dyDescent="0.25">
      <c r="A883" t="s">
        <v>6650</v>
      </c>
    </row>
    <row r="884" spans="1:1" x14ac:dyDescent="0.25">
      <c r="A884" t="s">
        <v>4061</v>
      </c>
    </row>
    <row r="885" spans="1:1" x14ac:dyDescent="0.25">
      <c r="A885" t="s">
        <v>5434</v>
      </c>
    </row>
    <row r="886" spans="1:1" x14ac:dyDescent="0.25">
      <c r="A886" t="s">
        <v>4065</v>
      </c>
    </row>
    <row r="887" spans="1:1" x14ac:dyDescent="0.25">
      <c r="A887" t="s">
        <v>4069</v>
      </c>
    </row>
    <row r="888" spans="1:1" x14ac:dyDescent="0.25">
      <c r="A888" t="s">
        <v>6651</v>
      </c>
    </row>
    <row r="889" spans="1:1" x14ac:dyDescent="0.25">
      <c r="A889" t="s">
        <v>5435</v>
      </c>
    </row>
    <row r="890" spans="1:1" x14ac:dyDescent="0.25">
      <c r="A890" t="s">
        <v>6652</v>
      </c>
    </row>
    <row r="891" spans="1:1" x14ac:dyDescent="0.25">
      <c r="A891" t="s">
        <v>2171</v>
      </c>
    </row>
    <row r="892" spans="1:1" x14ac:dyDescent="0.25">
      <c r="A892" t="s">
        <v>5852</v>
      </c>
    </row>
    <row r="893" spans="1:1" x14ac:dyDescent="0.25">
      <c r="A893" t="s">
        <v>4076</v>
      </c>
    </row>
    <row r="894" spans="1:1" x14ac:dyDescent="0.25">
      <c r="A894" t="s">
        <v>4079</v>
      </c>
    </row>
    <row r="895" spans="1:1" x14ac:dyDescent="0.25">
      <c r="A895" t="s">
        <v>2140</v>
      </c>
    </row>
    <row r="896" spans="1:1" x14ac:dyDescent="0.25">
      <c r="A896" t="s">
        <v>6653</v>
      </c>
    </row>
    <row r="897" spans="1:1" x14ac:dyDescent="0.25">
      <c r="A897" t="s">
        <v>5035</v>
      </c>
    </row>
    <row r="898" spans="1:1" x14ac:dyDescent="0.25">
      <c r="A898" t="s">
        <v>5036</v>
      </c>
    </row>
    <row r="899" spans="1:1" x14ac:dyDescent="0.25">
      <c r="A899" t="s">
        <v>6654</v>
      </c>
    </row>
    <row r="900" spans="1:1" x14ac:dyDescent="0.25">
      <c r="A900" t="s">
        <v>4086</v>
      </c>
    </row>
    <row r="901" spans="1:1" x14ac:dyDescent="0.25">
      <c r="A901" t="s">
        <v>2144</v>
      </c>
    </row>
    <row r="902" spans="1:1" x14ac:dyDescent="0.25">
      <c r="A902" t="s">
        <v>6655</v>
      </c>
    </row>
    <row r="903" spans="1:1" x14ac:dyDescent="0.25">
      <c r="A903" t="s">
        <v>6656</v>
      </c>
    </row>
    <row r="904" spans="1:1" x14ac:dyDescent="0.25">
      <c r="A904" t="s">
        <v>5038</v>
      </c>
    </row>
    <row r="905" spans="1:1" x14ac:dyDescent="0.25">
      <c r="A905" t="s">
        <v>143</v>
      </c>
    </row>
    <row r="906" spans="1:1" x14ac:dyDescent="0.25">
      <c r="A906" t="s">
        <v>23</v>
      </c>
    </row>
  </sheetData>
  <sortState ref="C11:I275">
    <sortCondition ref="G11:G27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2.28515625" customWidth="1"/>
    <col min="3" max="3" width="14" customWidth="1"/>
    <col min="4" max="4" width="37.85546875" customWidth="1"/>
  </cols>
  <sheetData>
    <row r="1" spans="1:9" ht="20.25" x14ac:dyDescent="0.3">
      <c r="A1" s="12" t="s">
        <v>6657</v>
      </c>
    </row>
    <row r="2" spans="1:9" x14ac:dyDescent="0.25">
      <c r="A2" s="6" t="s">
        <v>6658</v>
      </c>
      <c r="B2" s="8">
        <f>47/7100</f>
        <v>6.619718309859155E-3</v>
      </c>
      <c r="C2" t="s">
        <v>2</v>
      </c>
      <c r="D2">
        <v>34</v>
      </c>
    </row>
    <row r="3" spans="1:9" x14ac:dyDescent="0.25">
      <c r="A3" t="s">
        <v>165</v>
      </c>
      <c r="C3" t="s">
        <v>4</v>
      </c>
      <c r="D3">
        <v>77079</v>
      </c>
    </row>
    <row r="4" spans="1:9" x14ac:dyDescent="0.25">
      <c r="A4" t="s">
        <v>199</v>
      </c>
      <c r="C4" t="s">
        <v>6</v>
      </c>
      <c r="D4" t="s">
        <v>7</v>
      </c>
    </row>
    <row r="5" spans="1:9" x14ac:dyDescent="0.25">
      <c r="A5" t="s">
        <v>2221</v>
      </c>
      <c r="C5" t="s">
        <v>9</v>
      </c>
      <c r="D5" t="s">
        <v>10</v>
      </c>
    </row>
    <row r="6" spans="1:9" x14ac:dyDescent="0.25">
      <c r="A6" t="s">
        <v>406</v>
      </c>
      <c r="C6" t="s">
        <v>12</v>
      </c>
      <c r="D6" t="s">
        <v>13</v>
      </c>
    </row>
    <row r="7" spans="1:9" x14ac:dyDescent="0.25">
      <c r="A7" t="s">
        <v>450</v>
      </c>
      <c r="C7" t="s">
        <v>15</v>
      </c>
      <c r="D7" t="s">
        <v>16</v>
      </c>
    </row>
    <row r="8" spans="1:9" x14ac:dyDescent="0.25">
      <c r="A8" t="s">
        <v>569</v>
      </c>
      <c r="C8" t="s">
        <v>18</v>
      </c>
      <c r="D8" t="s">
        <v>19</v>
      </c>
    </row>
    <row r="9" spans="1:9" x14ac:dyDescent="0.25">
      <c r="A9" t="s">
        <v>592</v>
      </c>
      <c r="C9" t="s">
        <v>21</v>
      </c>
      <c r="D9">
        <v>3</v>
      </c>
    </row>
    <row r="10" spans="1:9" x14ac:dyDescent="0.25">
      <c r="A10" t="s">
        <v>598</v>
      </c>
    </row>
    <row r="11" spans="1:9" x14ac:dyDescent="0.25">
      <c r="A11" t="s">
        <v>2489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720</v>
      </c>
      <c r="C12" s="3" t="str">
        <f>HYPERLINK("http://amigo.geneontology.org/amigo/term/GO:0016157","GO:0016157")</f>
        <v>GO:0016157</v>
      </c>
      <c r="D12" t="s">
        <v>378</v>
      </c>
      <c r="E12">
        <v>37</v>
      </c>
      <c r="F12">
        <v>3</v>
      </c>
      <c r="G12" s="4">
        <v>6.0300153244925096E-7</v>
      </c>
      <c r="H12">
        <v>2.72255191900837E-3</v>
      </c>
      <c r="I12" t="s">
        <v>6659</v>
      </c>
    </row>
    <row r="13" spans="1:9" x14ac:dyDescent="0.25">
      <c r="A13" t="s">
        <v>810</v>
      </c>
      <c r="C13" s="3" t="str">
        <f>HYPERLINK("http://amigo.geneontology.org/amigo/term/GO:0005985","GO:0005985")</f>
        <v>GO:0005985</v>
      </c>
      <c r="D13" t="s">
        <v>481</v>
      </c>
      <c r="E13">
        <v>55</v>
      </c>
      <c r="F13">
        <v>3</v>
      </c>
      <c r="G13" s="4">
        <v>2.0249812178196802E-6</v>
      </c>
      <c r="H13">
        <v>4.5703826086190202E-3</v>
      </c>
      <c r="I13" t="s">
        <v>6659</v>
      </c>
    </row>
    <row r="14" spans="1:9" x14ac:dyDescent="0.25">
      <c r="A14" t="s">
        <v>2539</v>
      </c>
      <c r="C14" s="3" t="str">
        <f>HYPERLINK("http://amigo.geneontology.org/amigo/term/GO:0035251","GO:0035251")</f>
        <v>GO:0035251</v>
      </c>
      <c r="D14" t="s">
        <v>436</v>
      </c>
      <c r="E14">
        <v>234</v>
      </c>
      <c r="F14">
        <v>4</v>
      </c>
      <c r="G14" s="4">
        <v>3.5739975661576301E-6</v>
      </c>
      <c r="H14">
        <v>5.3788663370672399E-3</v>
      </c>
      <c r="I14" t="s">
        <v>6660</v>
      </c>
    </row>
    <row r="15" spans="1:9" x14ac:dyDescent="0.25">
      <c r="A15" t="s">
        <v>4515</v>
      </c>
      <c r="C15" s="3" t="str">
        <f>HYPERLINK("http://amigo.geneontology.org/amigo/term/GO:0043562","GO:0043562")</f>
        <v>GO:0043562</v>
      </c>
      <c r="D15" t="s">
        <v>635</v>
      </c>
      <c r="E15">
        <v>14</v>
      </c>
      <c r="F15">
        <v>2</v>
      </c>
      <c r="G15" s="4">
        <v>1.7128735087560801E-5</v>
      </c>
      <c r="H15">
        <v>1.9321213178768601E-2</v>
      </c>
      <c r="I15" t="s">
        <v>6661</v>
      </c>
    </row>
    <row r="16" spans="1:9" x14ac:dyDescent="0.25">
      <c r="A16" t="s">
        <v>2604</v>
      </c>
      <c r="C16" s="3" t="str">
        <f>HYPERLINK("http://amigo.geneontology.org/amigo/term/GO:0046527","GO:0046527")</f>
        <v>GO:0046527</v>
      </c>
      <c r="D16" t="s">
        <v>234</v>
      </c>
      <c r="E16">
        <v>380</v>
      </c>
      <c r="F16">
        <v>4</v>
      </c>
      <c r="G16" s="4">
        <v>2.3988638631761601E-5</v>
      </c>
      <c r="H16">
        <v>2.16617406844807E-2</v>
      </c>
      <c r="I16" t="s">
        <v>6660</v>
      </c>
    </row>
    <row r="17" spans="1:9" x14ac:dyDescent="0.25">
      <c r="A17" t="s">
        <v>989</v>
      </c>
      <c r="C17" s="3" t="str">
        <f>HYPERLINK("http://amigo.geneontology.org/amigo/term/GO:0008194","GO:0008194")</f>
        <v>GO:0008194</v>
      </c>
      <c r="D17" t="s">
        <v>825</v>
      </c>
      <c r="E17">
        <v>480</v>
      </c>
      <c r="F17">
        <v>4</v>
      </c>
      <c r="G17" s="4">
        <v>5.9396580205170901E-5</v>
      </c>
      <c r="H17">
        <v>4.46662283142885E-2</v>
      </c>
      <c r="I17" t="s">
        <v>6660</v>
      </c>
    </row>
    <row r="18" spans="1:9" x14ac:dyDescent="0.25">
      <c r="A18" t="s">
        <v>5613</v>
      </c>
      <c r="C18" s="3" t="str">
        <f>HYPERLINK("http://amigo.geneontology.org/amigo/term/GO:0044262","GO:0044262")</f>
        <v>GO:0044262</v>
      </c>
      <c r="D18" t="s">
        <v>237</v>
      </c>
      <c r="E18">
        <v>1040</v>
      </c>
      <c r="F18">
        <v>5</v>
      </c>
      <c r="G18" s="4">
        <v>8.9065123503403293E-5</v>
      </c>
      <c r="H18">
        <v>5.74470046596951E-2</v>
      </c>
      <c r="I18" t="s">
        <v>6662</v>
      </c>
    </row>
    <row r="19" spans="1:9" x14ac:dyDescent="0.25">
      <c r="A19" t="s">
        <v>2675</v>
      </c>
      <c r="C19" s="3" t="str">
        <f>HYPERLINK("http://amigo.geneontology.org/amigo/term/GO:0005984","GO:0005984")</f>
        <v>GO:0005984</v>
      </c>
      <c r="D19" t="s">
        <v>673</v>
      </c>
      <c r="E19">
        <v>251</v>
      </c>
      <c r="F19">
        <v>3</v>
      </c>
      <c r="G19" s="4">
        <v>1.8947808758441E-4</v>
      </c>
      <c r="H19">
        <v>0.106865641397607</v>
      </c>
      <c r="I19" t="s">
        <v>6659</v>
      </c>
    </row>
    <row r="20" spans="1:9" x14ac:dyDescent="0.25">
      <c r="A20" t="s">
        <v>1131</v>
      </c>
      <c r="C20" s="3" t="str">
        <f>HYPERLINK("http://amigo.geneontology.org/amigo/term/GO:0009311","GO:0009311")</f>
        <v>GO:0009311</v>
      </c>
      <c r="D20" t="s">
        <v>762</v>
      </c>
      <c r="E20">
        <v>275</v>
      </c>
      <c r="F20">
        <v>3</v>
      </c>
      <c r="G20" s="4">
        <v>2.4765973330793001E-4</v>
      </c>
      <c r="H20">
        <v>0.124077526387273</v>
      </c>
      <c r="I20" t="s">
        <v>6659</v>
      </c>
    </row>
    <row r="21" spans="1:9" x14ac:dyDescent="0.25">
      <c r="A21" t="s">
        <v>2771</v>
      </c>
      <c r="C21" s="3" t="str">
        <f>HYPERLINK("http://amigo.geneontology.org/amigo/term/GO:0005975","GO:0005975")</f>
        <v>GO:0005975</v>
      </c>
      <c r="D21" t="s">
        <v>171</v>
      </c>
      <c r="E21">
        <v>2990</v>
      </c>
      <c r="F21">
        <v>7</v>
      </c>
      <c r="G21" s="4">
        <v>2.8056763565169302E-4</v>
      </c>
      <c r="H21">
        <v>0.12653600367891299</v>
      </c>
      <c r="I21" t="s">
        <v>6663</v>
      </c>
    </row>
    <row r="22" spans="1:9" x14ac:dyDescent="0.25">
      <c r="A22" t="s">
        <v>2773</v>
      </c>
      <c r="C22" s="3" t="str">
        <f>HYPERLINK("http://amigo.geneontology.org/amigo/term/GO:0031669","GO:0031669")</f>
        <v>GO:0031669</v>
      </c>
      <c r="D22" t="s">
        <v>6664</v>
      </c>
      <c r="E22">
        <v>89</v>
      </c>
      <c r="F22">
        <v>2</v>
      </c>
      <c r="G22" s="4">
        <v>7.2197321380948899E-4</v>
      </c>
      <c r="H22">
        <v>0.29600901766188997</v>
      </c>
      <c r="I22" t="s">
        <v>6661</v>
      </c>
    </row>
    <row r="23" spans="1:9" x14ac:dyDescent="0.25">
      <c r="A23" t="s">
        <v>4602</v>
      </c>
      <c r="C23" s="3" t="str">
        <f>HYPERLINK("http://amigo.geneontology.org/amigo/term/GO:0031667","GO:0031667")</f>
        <v>GO:0031667</v>
      </c>
      <c r="D23" t="s">
        <v>6665</v>
      </c>
      <c r="E23">
        <v>96</v>
      </c>
      <c r="F23">
        <v>2</v>
      </c>
      <c r="G23" s="4">
        <v>8.3908043949156702E-4</v>
      </c>
      <c r="H23">
        <v>0.31549424524882902</v>
      </c>
      <c r="I23" t="s">
        <v>6661</v>
      </c>
    </row>
    <row r="24" spans="1:9" x14ac:dyDescent="0.25">
      <c r="A24" t="s">
        <v>2826</v>
      </c>
      <c r="C24" s="3" t="str">
        <f>HYPERLINK("http://amigo.geneontology.org/amigo/term/GO:0009744","GO:0009744")</f>
        <v>GO:0009744</v>
      </c>
      <c r="D24" t="s">
        <v>6666</v>
      </c>
      <c r="E24">
        <v>102</v>
      </c>
      <c r="F24">
        <v>2</v>
      </c>
      <c r="G24" s="4">
        <v>9.4626052834966099E-4</v>
      </c>
      <c r="H24">
        <v>0.32835240333733201</v>
      </c>
      <c r="I24" t="s">
        <v>6661</v>
      </c>
    </row>
    <row r="25" spans="1:9" x14ac:dyDescent="0.25">
      <c r="A25" t="s">
        <v>1324</v>
      </c>
      <c r="C25" s="3" t="str">
        <f>HYPERLINK("http://amigo.geneontology.org/amigo/term/GO:0034285","GO:0034285")</f>
        <v>GO:0034285</v>
      </c>
      <c r="D25" t="s">
        <v>6667</v>
      </c>
      <c r="E25">
        <v>104</v>
      </c>
      <c r="F25">
        <v>2</v>
      </c>
      <c r="G25" s="4">
        <v>9.833766851261689E-4</v>
      </c>
      <c r="H25">
        <v>0.31664729261062602</v>
      </c>
      <c r="I25" t="s">
        <v>6661</v>
      </c>
    </row>
    <row r="26" spans="1:9" x14ac:dyDescent="0.25">
      <c r="A26" t="s">
        <v>2917</v>
      </c>
      <c r="C26" s="3" t="str">
        <f>HYPERLINK("http://amigo.geneontology.org/amigo/term/GO:0005618","GO:0005618")</f>
        <v>GO:0005618</v>
      </c>
      <c r="D26" t="s">
        <v>218</v>
      </c>
      <c r="E26">
        <v>446</v>
      </c>
      <c r="F26">
        <v>3</v>
      </c>
      <c r="G26">
        <v>1.0077740408748501E-3</v>
      </c>
      <c r="H26">
        <v>0.30333998630333098</v>
      </c>
      <c r="I26" t="s">
        <v>6668</v>
      </c>
    </row>
    <row r="27" spans="1:9" x14ac:dyDescent="0.25">
      <c r="A27" t="s">
        <v>1413</v>
      </c>
      <c r="C27" s="3" t="str">
        <f>HYPERLINK("http://amigo.geneontology.org/amigo/term/GO:0030312","GO:0030312")</f>
        <v>GO:0030312</v>
      </c>
      <c r="D27" t="s">
        <v>209</v>
      </c>
      <c r="E27">
        <v>450</v>
      </c>
      <c r="F27">
        <v>3</v>
      </c>
      <c r="G27">
        <v>1.03395224145859E-3</v>
      </c>
      <c r="H27">
        <v>0.291574532091323</v>
      </c>
      <c r="I27" t="s">
        <v>6668</v>
      </c>
    </row>
    <row r="28" spans="1:9" x14ac:dyDescent="0.25">
      <c r="A28" t="s">
        <v>2974</v>
      </c>
      <c r="C28" s="3" t="str">
        <f>HYPERLINK("http://amigo.geneontology.org/amigo/term/GO:0071496","GO:0071496")</f>
        <v>GO:0071496</v>
      </c>
      <c r="D28" t="s">
        <v>1563</v>
      </c>
      <c r="E28">
        <v>108</v>
      </c>
      <c r="F28">
        <v>2</v>
      </c>
      <c r="G28">
        <v>1.0596861097189199E-3</v>
      </c>
      <c r="H28">
        <v>0.26492152742973202</v>
      </c>
      <c r="I28" t="s">
        <v>6661</v>
      </c>
    </row>
    <row r="29" spans="1:9" x14ac:dyDescent="0.25">
      <c r="A29" t="s">
        <v>3023</v>
      </c>
      <c r="C29" s="3" t="str">
        <f>HYPERLINK("http://amigo.geneontology.org/amigo/term/GO:0031668","GO:0031668")</f>
        <v>GO:0031668</v>
      </c>
      <c r="D29" t="s">
        <v>1566</v>
      </c>
      <c r="E29">
        <v>108</v>
      </c>
      <c r="F29">
        <v>2</v>
      </c>
      <c r="G29">
        <v>1.0596861097189199E-3</v>
      </c>
      <c r="H29">
        <v>0.28081681907551598</v>
      </c>
      <c r="I29" t="s">
        <v>6661</v>
      </c>
    </row>
    <row r="30" spans="1:9" x14ac:dyDescent="0.25">
      <c r="A30" t="s">
        <v>3034</v>
      </c>
      <c r="C30" s="3" t="str">
        <f>HYPERLINK("http://amigo.geneontology.org/amigo/term/GO:0009991","GO:0009991")</f>
        <v>GO:0009991</v>
      </c>
      <c r="D30" t="s">
        <v>6669</v>
      </c>
      <c r="E30">
        <v>117</v>
      </c>
      <c r="F30">
        <v>2</v>
      </c>
      <c r="G30">
        <v>1.24146522336479E-3</v>
      </c>
      <c r="H30">
        <v>0.29422725793745602</v>
      </c>
      <c r="I30" t="s">
        <v>6661</v>
      </c>
    </row>
    <row r="31" spans="1:9" x14ac:dyDescent="0.25">
      <c r="A31" t="s">
        <v>3100</v>
      </c>
      <c r="C31" s="3" t="str">
        <f>HYPERLINK("http://amigo.geneontology.org/amigo/term/GO:0030599","GO:0030599")</f>
        <v>GO:0030599</v>
      </c>
      <c r="D31" t="s">
        <v>185</v>
      </c>
      <c r="E31">
        <v>167</v>
      </c>
      <c r="F31">
        <v>2</v>
      </c>
      <c r="G31">
        <v>2.5010668696046098E-3</v>
      </c>
      <c r="H31">
        <v>0.56274004566103697</v>
      </c>
      <c r="I31" t="s">
        <v>6670</v>
      </c>
    </row>
    <row r="32" spans="1:9" x14ac:dyDescent="0.25">
      <c r="A32" t="s">
        <v>1624</v>
      </c>
      <c r="C32" s="3" t="str">
        <f>HYPERLINK("http://amigo.geneontology.org/amigo/term/GO:0042545","GO:0042545")</f>
        <v>GO:0042545</v>
      </c>
      <c r="D32" t="s">
        <v>188</v>
      </c>
      <c r="E32">
        <v>168</v>
      </c>
      <c r="F32">
        <v>2</v>
      </c>
      <c r="G32">
        <v>2.5305025284311001E-3</v>
      </c>
      <c r="H32">
        <v>0.54405804361268795</v>
      </c>
      <c r="I32" t="s">
        <v>6670</v>
      </c>
    </row>
    <row r="33" spans="1:9" x14ac:dyDescent="0.25">
      <c r="A33" t="s">
        <v>3180</v>
      </c>
      <c r="C33" s="3" t="str">
        <f>HYPERLINK("http://amigo.geneontology.org/amigo/term/GO:0009743","GO:0009743")</f>
        <v>GO:0009743</v>
      </c>
      <c r="D33" t="s">
        <v>6671</v>
      </c>
      <c r="E33">
        <v>195</v>
      </c>
      <c r="F33">
        <v>2</v>
      </c>
      <c r="G33">
        <v>3.38677262785651E-3</v>
      </c>
      <c r="H33">
        <v>0.69428838871058596</v>
      </c>
      <c r="I33" t="s">
        <v>6661</v>
      </c>
    </row>
    <row r="34" spans="1:9" x14ac:dyDescent="0.25">
      <c r="A34" t="s">
        <v>1646</v>
      </c>
      <c r="C34" s="3" t="str">
        <f>HYPERLINK("http://amigo.geneontology.org/amigo/term/GO:0015368","GO:0015368")</f>
        <v>GO:0015368</v>
      </c>
      <c r="D34" t="s">
        <v>1102</v>
      </c>
      <c r="E34">
        <v>14</v>
      </c>
      <c r="F34">
        <v>1</v>
      </c>
      <c r="G34">
        <v>6.1583250857728299E-3</v>
      </c>
      <c r="H34">
        <v>1</v>
      </c>
      <c r="I34" t="s">
        <v>3724</v>
      </c>
    </row>
    <row r="35" spans="1:9" x14ac:dyDescent="0.25">
      <c r="A35" t="s">
        <v>1652</v>
      </c>
      <c r="C35" s="3" t="str">
        <f>HYPERLINK("http://amigo.geneontology.org/amigo/term/GO:0051139","GO:0051139")</f>
        <v>GO:0051139</v>
      </c>
      <c r="D35" t="s">
        <v>1105</v>
      </c>
      <c r="E35">
        <v>14</v>
      </c>
      <c r="F35">
        <v>1</v>
      </c>
      <c r="G35">
        <v>6.1583250857728299E-3</v>
      </c>
      <c r="H35">
        <v>1</v>
      </c>
      <c r="I35" t="s">
        <v>3724</v>
      </c>
    </row>
    <row r="36" spans="1:9" x14ac:dyDescent="0.25">
      <c r="A36" t="s">
        <v>1708</v>
      </c>
      <c r="C36" s="3" t="str">
        <f>HYPERLINK("http://amigo.geneontology.org/amigo/term/GO:0015369","GO:0015369")</f>
        <v>GO:0015369</v>
      </c>
      <c r="D36" t="s">
        <v>1107</v>
      </c>
      <c r="E36">
        <v>14</v>
      </c>
      <c r="F36">
        <v>1</v>
      </c>
      <c r="G36">
        <v>6.1583250857728299E-3</v>
      </c>
      <c r="H36">
        <v>1</v>
      </c>
      <c r="I36" t="s">
        <v>3724</v>
      </c>
    </row>
    <row r="37" spans="1:9" x14ac:dyDescent="0.25">
      <c r="A37" t="s">
        <v>3358</v>
      </c>
      <c r="C37" s="3" t="str">
        <f>HYPERLINK("http://amigo.geneontology.org/amigo/term/GO:0006869","GO:0006869")</f>
        <v>GO:0006869</v>
      </c>
      <c r="D37" t="s">
        <v>6672</v>
      </c>
      <c r="E37">
        <v>275</v>
      </c>
      <c r="F37">
        <v>2</v>
      </c>
      <c r="G37">
        <v>6.5989042647762496E-3</v>
      </c>
      <c r="H37">
        <v>1</v>
      </c>
      <c r="I37" t="s">
        <v>6673</v>
      </c>
    </row>
    <row r="38" spans="1:9" x14ac:dyDescent="0.25">
      <c r="A38" t="s">
        <v>3390</v>
      </c>
      <c r="C38" s="3" t="str">
        <f>HYPERLINK("http://amigo.geneontology.org/amigo/term/GO:0071944","GO:0071944")</f>
        <v>GO:0071944</v>
      </c>
      <c r="D38" t="s">
        <v>255</v>
      </c>
      <c r="E38">
        <v>1732</v>
      </c>
      <c r="F38">
        <v>4</v>
      </c>
      <c r="G38">
        <v>6.8889287481078898E-3</v>
      </c>
      <c r="H38">
        <v>1</v>
      </c>
      <c r="I38" t="s">
        <v>6674</v>
      </c>
    </row>
    <row r="39" spans="1:9" x14ac:dyDescent="0.25">
      <c r="A39" t="s">
        <v>3419</v>
      </c>
      <c r="C39" s="3" t="str">
        <f>HYPERLINK("http://amigo.geneontology.org/amigo/term/GO:0016758","GO:0016758")</f>
        <v>GO:0016758</v>
      </c>
      <c r="D39" t="s">
        <v>721</v>
      </c>
      <c r="E39">
        <v>1783</v>
      </c>
      <c r="F39">
        <v>4</v>
      </c>
      <c r="G39">
        <v>7.6164410038095202E-3</v>
      </c>
      <c r="H39">
        <v>1</v>
      </c>
      <c r="I39" t="s">
        <v>6660</v>
      </c>
    </row>
    <row r="40" spans="1:9" x14ac:dyDescent="0.25">
      <c r="A40" t="s">
        <v>3574</v>
      </c>
      <c r="C40" s="3" t="str">
        <f>HYPERLINK("http://amigo.geneontology.org/amigo/term/GO:0016787","GO:0016787")</f>
        <v>GO:0016787</v>
      </c>
      <c r="D40" t="s">
        <v>98</v>
      </c>
      <c r="E40">
        <v>9814</v>
      </c>
      <c r="F40">
        <v>10</v>
      </c>
      <c r="G40">
        <v>8.0068355048738497E-3</v>
      </c>
      <c r="H40">
        <v>1</v>
      </c>
      <c r="I40" t="s">
        <v>6675</v>
      </c>
    </row>
    <row r="41" spans="1:9" x14ac:dyDescent="0.25">
      <c r="A41" t="s">
        <v>1888</v>
      </c>
      <c r="C41" s="3" t="str">
        <f>HYPERLINK("http://amigo.geneontology.org/amigo/term/GO:0017089","GO:0017089")</f>
        <v>GO:0017089</v>
      </c>
      <c r="D41" t="s">
        <v>936</v>
      </c>
      <c r="E41">
        <v>20</v>
      </c>
      <c r="F41">
        <v>1</v>
      </c>
      <c r="G41">
        <v>8.7863245244040201E-3</v>
      </c>
      <c r="H41">
        <v>1</v>
      </c>
      <c r="I41" t="s">
        <v>3180</v>
      </c>
    </row>
    <row r="42" spans="1:9" x14ac:dyDescent="0.25">
      <c r="A42" t="s">
        <v>1916</v>
      </c>
      <c r="C42" s="3" t="str">
        <f>HYPERLINK("http://amigo.geneontology.org/amigo/term/GO:0046836","GO:0046836")</f>
        <v>GO:0046836</v>
      </c>
      <c r="D42" t="s">
        <v>939</v>
      </c>
      <c r="E42">
        <v>20</v>
      </c>
      <c r="F42">
        <v>1</v>
      </c>
      <c r="G42">
        <v>8.7863245244040201E-3</v>
      </c>
      <c r="H42">
        <v>1</v>
      </c>
      <c r="I42" t="s">
        <v>3180</v>
      </c>
    </row>
    <row r="43" spans="1:9" x14ac:dyDescent="0.25">
      <c r="A43" t="s">
        <v>1925</v>
      </c>
      <c r="C43" s="3" t="str">
        <f>HYPERLINK("http://amigo.geneontology.org/amigo/term/GO:0051861","GO:0051861")</f>
        <v>GO:0051861</v>
      </c>
      <c r="D43" t="s">
        <v>941</v>
      </c>
      <c r="E43">
        <v>20</v>
      </c>
      <c r="F43">
        <v>1</v>
      </c>
      <c r="G43">
        <v>8.7863245244040201E-3</v>
      </c>
      <c r="H43">
        <v>1</v>
      </c>
      <c r="I43" t="s">
        <v>3180</v>
      </c>
    </row>
    <row r="44" spans="1:9" x14ac:dyDescent="0.25">
      <c r="A44" t="s">
        <v>3707</v>
      </c>
      <c r="C44" s="3" t="str">
        <f>HYPERLINK("http://amigo.geneontology.org/amigo/term/GO:0010876","GO:0010876")</f>
        <v>GO:0010876</v>
      </c>
      <c r="D44" t="s">
        <v>6676</v>
      </c>
      <c r="E44">
        <v>332</v>
      </c>
      <c r="F44">
        <v>2</v>
      </c>
      <c r="G44">
        <v>9.4744593413755608E-3</v>
      </c>
      <c r="H44">
        <v>1</v>
      </c>
      <c r="I44" t="s">
        <v>6673</v>
      </c>
    </row>
    <row r="45" spans="1:9" x14ac:dyDescent="0.25">
      <c r="A45" t="s">
        <v>3724</v>
      </c>
      <c r="C45" s="3" t="str">
        <f>HYPERLINK("http://amigo.geneontology.org/amigo/term/GO:0033500","GO:0033500")</f>
        <v>GO:0033500</v>
      </c>
      <c r="D45" t="s">
        <v>695</v>
      </c>
      <c r="E45">
        <v>28</v>
      </c>
      <c r="F45">
        <v>1</v>
      </c>
      <c r="G45">
        <v>1.2279833969554999E-2</v>
      </c>
      <c r="H45">
        <v>1</v>
      </c>
      <c r="I45" t="s">
        <v>2917</v>
      </c>
    </row>
    <row r="46" spans="1:9" x14ac:dyDescent="0.25">
      <c r="A46" t="s">
        <v>1951</v>
      </c>
      <c r="C46" s="3" t="str">
        <f>HYPERLINK("http://amigo.geneontology.org/amigo/term/GO:0042593","GO:0042593")</f>
        <v>GO:0042593</v>
      </c>
      <c r="D46" t="s">
        <v>698</v>
      </c>
      <c r="E46">
        <v>28</v>
      </c>
      <c r="F46">
        <v>1</v>
      </c>
      <c r="G46">
        <v>1.2279833969554999E-2</v>
      </c>
      <c r="H46">
        <v>1</v>
      </c>
      <c r="I46" t="s">
        <v>2917</v>
      </c>
    </row>
    <row r="47" spans="1:9" x14ac:dyDescent="0.25">
      <c r="A47" t="s">
        <v>3782</v>
      </c>
      <c r="C47" s="3" t="str">
        <f>HYPERLINK("http://amigo.geneontology.org/amigo/term/GO:0001678","GO:0001678")</f>
        <v>GO:0001678</v>
      </c>
      <c r="D47" t="s">
        <v>700</v>
      </c>
      <c r="E47">
        <v>28</v>
      </c>
      <c r="F47">
        <v>1</v>
      </c>
      <c r="G47">
        <v>1.2279833969554999E-2</v>
      </c>
      <c r="H47">
        <v>1</v>
      </c>
      <c r="I47" t="s">
        <v>2917</v>
      </c>
    </row>
    <row r="48" spans="1:9" x14ac:dyDescent="0.25">
      <c r="A48" t="s">
        <v>3793</v>
      </c>
      <c r="C48" s="3" t="str">
        <f>HYPERLINK("http://amigo.geneontology.org/amigo/term/GO:0004396","GO:0004396")</f>
        <v>GO:0004396</v>
      </c>
      <c r="D48" t="s">
        <v>702</v>
      </c>
      <c r="E48">
        <v>28</v>
      </c>
      <c r="F48">
        <v>1</v>
      </c>
      <c r="G48">
        <v>1.2279833969554999E-2</v>
      </c>
      <c r="H48">
        <v>1</v>
      </c>
      <c r="I48" t="s">
        <v>2917</v>
      </c>
    </row>
    <row r="49" spans="1:9" x14ac:dyDescent="0.25">
      <c r="A49" t="s">
        <v>3889</v>
      </c>
      <c r="C49" s="3" t="str">
        <f>HYPERLINK("http://amigo.geneontology.org/amigo/term/GO:0005536","GO:0005536")</f>
        <v>GO:0005536</v>
      </c>
      <c r="D49" t="s">
        <v>704</v>
      </c>
      <c r="E49">
        <v>28</v>
      </c>
      <c r="F49">
        <v>1</v>
      </c>
      <c r="G49">
        <v>1.2279833969554999E-2</v>
      </c>
      <c r="H49">
        <v>1</v>
      </c>
      <c r="I49" t="s">
        <v>2917</v>
      </c>
    </row>
    <row r="50" spans="1:9" x14ac:dyDescent="0.25">
      <c r="C50" s="3" t="str">
        <f>HYPERLINK("http://amigo.geneontology.org/amigo/term/GO:0052689","GO:0052689")</f>
        <v>GO:0052689</v>
      </c>
      <c r="D50" t="s">
        <v>267</v>
      </c>
      <c r="E50">
        <v>389</v>
      </c>
      <c r="F50">
        <v>2</v>
      </c>
      <c r="G50">
        <v>1.2810899363193001E-2</v>
      </c>
      <c r="H50">
        <v>1</v>
      </c>
      <c r="I50" t="s">
        <v>6670</v>
      </c>
    </row>
    <row r="51" spans="1:9" x14ac:dyDescent="0.25">
      <c r="C51" s="3" t="str">
        <f>HYPERLINK("http://amigo.geneontology.org/amigo/term/GO:0008289","GO:0008289")</f>
        <v>GO:0008289</v>
      </c>
      <c r="D51" t="s">
        <v>745</v>
      </c>
      <c r="E51">
        <v>400</v>
      </c>
      <c r="F51">
        <v>2</v>
      </c>
      <c r="G51">
        <v>1.35058521202119E-2</v>
      </c>
      <c r="H51">
        <v>1</v>
      </c>
      <c r="I51" t="s">
        <v>6673</v>
      </c>
    </row>
    <row r="52" spans="1:9" x14ac:dyDescent="0.25">
      <c r="C52" s="3" t="str">
        <f>HYPERLINK("http://amigo.geneontology.org/amigo/term/GO:0007154","GO:0007154")</f>
        <v>GO:0007154</v>
      </c>
      <c r="D52" t="s">
        <v>6677</v>
      </c>
      <c r="E52">
        <v>2132</v>
      </c>
      <c r="F52">
        <v>4</v>
      </c>
      <c r="G52">
        <v>1.39849779709234E-2</v>
      </c>
      <c r="H52">
        <v>1</v>
      </c>
      <c r="I52" t="s">
        <v>6678</v>
      </c>
    </row>
    <row r="53" spans="1:9" x14ac:dyDescent="0.25">
      <c r="C53" s="3" t="str">
        <f>HYPERLINK("http://amigo.geneontology.org/amigo/term/GO:0045490","GO:0045490")</f>
        <v>GO:0045490</v>
      </c>
      <c r="D53" t="s">
        <v>544</v>
      </c>
      <c r="E53">
        <v>32</v>
      </c>
      <c r="F53">
        <v>1</v>
      </c>
      <c r="G53">
        <v>1.4022104252132199E-2</v>
      </c>
      <c r="H53">
        <v>1</v>
      </c>
      <c r="I53" t="s">
        <v>1324</v>
      </c>
    </row>
    <row r="54" spans="1:9" x14ac:dyDescent="0.25">
      <c r="C54" s="3" t="str">
        <f>HYPERLINK("http://amigo.geneontology.org/amigo/term/GO:0046873","GO:0046873")</f>
        <v>GO:0046873</v>
      </c>
      <c r="D54" t="s">
        <v>273</v>
      </c>
      <c r="E54">
        <v>411</v>
      </c>
      <c r="F54">
        <v>2</v>
      </c>
      <c r="G54">
        <v>1.42169348542058E-2</v>
      </c>
      <c r="H54">
        <v>1</v>
      </c>
      <c r="I54" t="s">
        <v>6679</v>
      </c>
    </row>
    <row r="55" spans="1:9" x14ac:dyDescent="0.25">
      <c r="C55" s="3" t="str">
        <f>HYPERLINK("http://amigo.geneontology.org/amigo/term/GO:0016757","GO:0016757")</f>
        <v>GO:0016757</v>
      </c>
      <c r="D55" t="s">
        <v>977</v>
      </c>
      <c r="E55">
        <v>2155</v>
      </c>
      <c r="F55">
        <v>4</v>
      </c>
      <c r="G55">
        <v>1.4495362532591601E-2</v>
      </c>
      <c r="H55">
        <v>1</v>
      </c>
      <c r="I55" t="s">
        <v>6660</v>
      </c>
    </row>
    <row r="56" spans="1:9" x14ac:dyDescent="0.25">
      <c r="C56" s="3" t="str">
        <f>HYPERLINK("http://amigo.geneontology.org/amigo/term/GO:0016052","GO:0016052")</f>
        <v>GO:0016052</v>
      </c>
      <c r="D56" t="s">
        <v>445</v>
      </c>
      <c r="E56">
        <v>452</v>
      </c>
      <c r="F56">
        <v>2</v>
      </c>
      <c r="G56">
        <v>1.70067118128675E-2</v>
      </c>
      <c r="H56">
        <v>1</v>
      </c>
      <c r="I56" t="s">
        <v>6680</v>
      </c>
    </row>
    <row r="57" spans="1:9" x14ac:dyDescent="0.25">
      <c r="C57" s="3" t="str">
        <f>HYPERLINK("http://amigo.geneontology.org/amigo/term/GO:0000148","GO:0000148")</f>
        <v>GO:0000148</v>
      </c>
      <c r="D57" t="s">
        <v>6681</v>
      </c>
      <c r="E57">
        <v>41</v>
      </c>
      <c r="F57">
        <v>1</v>
      </c>
      <c r="G57">
        <v>1.7931313303264799E-2</v>
      </c>
      <c r="H57">
        <v>1</v>
      </c>
      <c r="I57" t="s">
        <v>3889</v>
      </c>
    </row>
    <row r="58" spans="1:9" x14ac:dyDescent="0.25">
      <c r="C58" s="3" t="str">
        <f>HYPERLINK("http://amigo.geneontology.org/amigo/term/GO:0006074","GO:0006074")</f>
        <v>GO:0006074</v>
      </c>
      <c r="D58" t="s">
        <v>6682</v>
      </c>
      <c r="E58">
        <v>41</v>
      </c>
      <c r="F58">
        <v>1</v>
      </c>
      <c r="G58">
        <v>1.7931313303264799E-2</v>
      </c>
      <c r="H58">
        <v>1</v>
      </c>
      <c r="I58" t="s">
        <v>3889</v>
      </c>
    </row>
    <row r="59" spans="1:9" x14ac:dyDescent="0.25">
      <c r="C59" s="3" t="str">
        <f>HYPERLINK("http://amigo.geneontology.org/amigo/term/GO:0006075","GO:0006075")</f>
        <v>GO:0006075</v>
      </c>
      <c r="D59" t="s">
        <v>6683</v>
      </c>
      <c r="E59">
        <v>41</v>
      </c>
      <c r="F59">
        <v>1</v>
      </c>
      <c r="G59">
        <v>1.7931313303264799E-2</v>
      </c>
      <c r="H59">
        <v>1</v>
      </c>
      <c r="I59" t="s">
        <v>3889</v>
      </c>
    </row>
    <row r="60" spans="1:9" x14ac:dyDescent="0.25">
      <c r="C60" s="3" t="str">
        <f>HYPERLINK("http://amigo.geneontology.org/amigo/term/GO:0015491","GO:0015491")</f>
        <v>GO:0015491</v>
      </c>
      <c r="D60" t="s">
        <v>478</v>
      </c>
      <c r="E60">
        <v>43</v>
      </c>
      <c r="F60">
        <v>1</v>
      </c>
      <c r="G60">
        <v>1.8797981277127299E-2</v>
      </c>
      <c r="H60">
        <v>1</v>
      </c>
      <c r="I60" t="s">
        <v>3724</v>
      </c>
    </row>
    <row r="61" spans="1:9" x14ac:dyDescent="0.25">
      <c r="C61" s="3" t="str">
        <f>HYPERLINK("http://amigo.geneontology.org/amigo/term/GO:0003843","GO:0003843")</f>
        <v>GO:0003843</v>
      </c>
      <c r="D61" t="s">
        <v>6684</v>
      </c>
      <c r="E61">
        <v>47</v>
      </c>
      <c r="F61">
        <v>1</v>
      </c>
      <c r="G61">
        <v>2.0529090783697999E-2</v>
      </c>
      <c r="H61">
        <v>1</v>
      </c>
      <c r="I61" t="s">
        <v>3889</v>
      </c>
    </row>
    <row r="62" spans="1:9" x14ac:dyDescent="0.25">
      <c r="C62" s="3" t="str">
        <f>HYPERLINK("http://amigo.geneontology.org/amigo/term/GO:0010033","GO:0010033")</f>
        <v>GO:0010033</v>
      </c>
      <c r="D62" t="s">
        <v>6685</v>
      </c>
      <c r="E62">
        <v>1335</v>
      </c>
      <c r="F62">
        <v>3</v>
      </c>
      <c r="G62">
        <v>2.0815558638768401E-2</v>
      </c>
      <c r="H62">
        <v>1</v>
      </c>
      <c r="I62" t="s">
        <v>6686</v>
      </c>
    </row>
    <row r="63" spans="1:9" x14ac:dyDescent="0.25">
      <c r="C63" s="3" t="str">
        <f>HYPERLINK("http://amigo.geneontology.org/amigo/term/GO:0070588","GO:0070588")</f>
        <v>GO:0070588</v>
      </c>
      <c r="D63" t="s">
        <v>593</v>
      </c>
      <c r="E63">
        <v>48</v>
      </c>
      <c r="F63">
        <v>1</v>
      </c>
      <c r="G63">
        <v>2.0961404770526201E-2</v>
      </c>
      <c r="H63">
        <v>1</v>
      </c>
      <c r="I63" t="s">
        <v>3724</v>
      </c>
    </row>
    <row r="64" spans="1:9" x14ac:dyDescent="0.25">
      <c r="C64" s="3" t="str">
        <f>HYPERLINK("http://amigo.geneontology.org/amigo/term/GO:0051716","GO:0051716")</f>
        <v>GO:0051716</v>
      </c>
      <c r="D64" t="s">
        <v>6687</v>
      </c>
      <c r="E64">
        <v>2438</v>
      </c>
      <c r="F64">
        <v>4</v>
      </c>
      <c r="G64">
        <v>2.17658638817841E-2</v>
      </c>
      <c r="H64">
        <v>1</v>
      </c>
      <c r="I64" t="s">
        <v>6678</v>
      </c>
    </row>
    <row r="65" spans="3:9" x14ac:dyDescent="0.25">
      <c r="C65" s="3" t="str">
        <f>HYPERLINK("http://amigo.geneontology.org/amigo/term/GO:0005249","GO:0005249")</f>
        <v>GO:0005249</v>
      </c>
      <c r="D65" t="s">
        <v>279</v>
      </c>
      <c r="E65">
        <v>51</v>
      </c>
      <c r="F65">
        <v>1</v>
      </c>
      <c r="G65">
        <v>2.2257235818787802E-2</v>
      </c>
      <c r="H65">
        <v>1</v>
      </c>
      <c r="I65" t="s">
        <v>1646</v>
      </c>
    </row>
    <row r="66" spans="3:9" x14ac:dyDescent="0.25">
      <c r="C66" s="3" t="str">
        <f>HYPERLINK("http://amigo.geneontology.org/amigo/term/GO:0022843","GO:0022843")</f>
        <v>GO:0022843</v>
      </c>
      <c r="D66" t="s">
        <v>282</v>
      </c>
      <c r="E66">
        <v>52</v>
      </c>
      <c r="F66">
        <v>1</v>
      </c>
      <c r="G66">
        <v>2.2688809453713401E-2</v>
      </c>
      <c r="H66">
        <v>1</v>
      </c>
      <c r="I66" t="s">
        <v>1646</v>
      </c>
    </row>
    <row r="67" spans="3:9" x14ac:dyDescent="0.25">
      <c r="C67" s="3" t="str">
        <f>HYPERLINK("http://amigo.geneontology.org/amigo/term/GO:0099516","GO:0099516")</f>
        <v>GO:0099516</v>
      </c>
      <c r="D67" t="s">
        <v>579</v>
      </c>
      <c r="E67">
        <v>58</v>
      </c>
      <c r="F67">
        <v>1</v>
      </c>
      <c r="G67">
        <v>2.5274371148497399E-2</v>
      </c>
      <c r="H67">
        <v>1</v>
      </c>
      <c r="I67" t="s">
        <v>3724</v>
      </c>
    </row>
    <row r="68" spans="3:9" x14ac:dyDescent="0.25">
      <c r="C68" s="3" t="str">
        <f>HYPERLINK("http://amigo.geneontology.org/amigo/term/GO:0015085","GO:0015085")</f>
        <v>GO:0015085</v>
      </c>
      <c r="D68" t="s">
        <v>656</v>
      </c>
      <c r="E68">
        <v>60</v>
      </c>
      <c r="F68">
        <v>1</v>
      </c>
      <c r="G68">
        <v>2.6134748752815701E-2</v>
      </c>
      <c r="H68">
        <v>1</v>
      </c>
      <c r="I68" t="s">
        <v>3724</v>
      </c>
    </row>
    <row r="69" spans="3:9" x14ac:dyDescent="0.25">
      <c r="C69" s="3" t="str">
        <f>HYPERLINK("http://amigo.geneontology.org/amigo/term/GO:0045330","GO:0045330")</f>
        <v>GO:0045330</v>
      </c>
      <c r="D69" t="s">
        <v>243</v>
      </c>
      <c r="E69">
        <v>61</v>
      </c>
      <c r="F69">
        <v>1</v>
      </c>
      <c r="G69">
        <v>2.6564661093347999E-2</v>
      </c>
      <c r="H69">
        <v>1</v>
      </c>
      <c r="I69" t="s">
        <v>1324</v>
      </c>
    </row>
    <row r="70" spans="3:9" x14ac:dyDescent="0.25">
      <c r="C70" s="3" t="str">
        <f>HYPERLINK("http://amigo.geneontology.org/amigo/term/GO:0071555","GO:0071555")</f>
        <v>GO:0071555</v>
      </c>
      <c r="D70" t="s">
        <v>194</v>
      </c>
      <c r="E70">
        <v>577</v>
      </c>
      <c r="F70">
        <v>2</v>
      </c>
      <c r="G70">
        <v>2.67962564461556E-2</v>
      </c>
      <c r="H70">
        <v>1</v>
      </c>
      <c r="I70" t="s">
        <v>6670</v>
      </c>
    </row>
    <row r="71" spans="3:9" x14ac:dyDescent="0.25">
      <c r="C71" s="3" t="str">
        <f>HYPERLINK("http://amigo.geneontology.org/amigo/term/GO:0044425","GO:0044425")</f>
        <v>GO:0044425</v>
      </c>
      <c r="D71" t="s">
        <v>215</v>
      </c>
      <c r="E71">
        <v>8465</v>
      </c>
      <c r="F71">
        <v>8</v>
      </c>
      <c r="G71">
        <v>2.80501346156997E-2</v>
      </c>
      <c r="H71">
        <v>1</v>
      </c>
      <c r="I71" t="s">
        <v>6688</v>
      </c>
    </row>
    <row r="72" spans="3:9" x14ac:dyDescent="0.25">
      <c r="C72" s="3" t="str">
        <f>HYPERLINK("http://amigo.geneontology.org/amigo/term/GO:0005267","GO:0005267")</f>
        <v>GO:0005267</v>
      </c>
      <c r="D72" t="s">
        <v>310</v>
      </c>
      <c r="E72">
        <v>65</v>
      </c>
      <c r="F72">
        <v>1</v>
      </c>
      <c r="G72">
        <v>2.8282469170226501E-2</v>
      </c>
      <c r="H72">
        <v>1</v>
      </c>
      <c r="I72" t="s">
        <v>1646</v>
      </c>
    </row>
    <row r="73" spans="3:9" x14ac:dyDescent="0.25">
      <c r="C73" s="3" t="str">
        <f>HYPERLINK("http://amigo.geneontology.org/amigo/term/GO:0005261","GO:0005261")</f>
        <v>GO:0005261</v>
      </c>
      <c r="D73" t="s">
        <v>321</v>
      </c>
      <c r="E73">
        <v>68</v>
      </c>
      <c r="F73">
        <v>1</v>
      </c>
      <c r="G73">
        <v>2.9568894017749901E-2</v>
      </c>
      <c r="H73">
        <v>1</v>
      </c>
      <c r="I73" t="s">
        <v>1646</v>
      </c>
    </row>
    <row r="74" spans="3:9" x14ac:dyDescent="0.25">
      <c r="C74" s="3" t="str">
        <f>HYPERLINK("http://amigo.geneontology.org/amigo/term/GO:0045229","GO:0045229")</f>
        <v>GO:0045229</v>
      </c>
      <c r="D74" t="s">
        <v>197</v>
      </c>
      <c r="E74">
        <v>609</v>
      </c>
      <c r="F74">
        <v>2</v>
      </c>
      <c r="G74">
        <v>2.95943220494287E-2</v>
      </c>
      <c r="H74">
        <v>1</v>
      </c>
      <c r="I74" t="s">
        <v>6670</v>
      </c>
    </row>
    <row r="75" spans="3:9" x14ac:dyDescent="0.25">
      <c r="C75" s="3" t="str">
        <f>HYPERLINK("http://amigo.geneontology.org/amigo/term/GO:0015077","GO:0015077")</f>
        <v>GO:0015077</v>
      </c>
      <c r="D75" t="s">
        <v>249</v>
      </c>
      <c r="E75">
        <v>614</v>
      </c>
      <c r="F75">
        <v>2</v>
      </c>
      <c r="G75">
        <v>3.0041716636065498E-2</v>
      </c>
      <c r="H75">
        <v>1</v>
      </c>
      <c r="I75" t="s">
        <v>6679</v>
      </c>
    </row>
    <row r="76" spans="3:9" x14ac:dyDescent="0.25">
      <c r="C76" s="3" t="str">
        <f>HYPERLINK("http://amigo.geneontology.org/amigo/term/GO:0048029","GO:0048029")</f>
        <v>GO:0048029</v>
      </c>
      <c r="D76" t="s">
        <v>1290</v>
      </c>
      <c r="E76">
        <v>70</v>
      </c>
      <c r="F76">
        <v>1</v>
      </c>
      <c r="G76">
        <v>3.0425592102265E-2</v>
      </c>
      <c r="H76">
        <v>1</v>
      </c>
      <c r="I76" t="s">
        <v>2917</v>
      </c>
    </row>
    <row r="77" spans="3:9" x14ac:dyDescent="0.25">
      <c r="C77" s="3" t="str">
        <f>HYPERLINK("http://amigo.geneontology.org/amigo/term/GO:1901264","GO:1901264")</f>
        <v>GO:1901264</v>
      </c>
      <c r="D77" t="s">
        <v>6689</v>
      </c>
      <c r="E77">
        <v>71</v>
      </c>
      <c r="F77">
        <v>1</v>
      </c>
      <c r="G77">
        <v>3.0853665832822199E-2</v>
      </c>
      <c r="H77">
        <v>1</v>
      </c>
      <c r="I77" t="s">
        <v>3180</v>
      </c>
    </row>
    <row r="78" spans="3:9" x14ac:dyDescent="0.25">
      <c r="C78" s="3" t="str">
        <f>HYPERLINK("http://amigo.geneontology.org/amigo/term/GO:0010393","GO:0010393")</f>
        <v>GO:0010393</v>
      </c>
      <c r="D78" t="s">
        <v>786</v>
      </c>
      <c r="E78">
        <v>77</v>
      </c>
      <c r="F78">
        <v>1</v>
      </c>
      <c r="G78">
        <v>3.3418258613708798E-2</v>
      </c>
      <c r="H78">
        <v>1</v>
      </c>
      <c r="I78" t="s">
        <v>1324</v>
      </c>
    </row>
    <row r="79" spans="3:9" x14ac:dyDescent="0.25">
      <c r="C79" s="3" t="str">
        <f>HYPERLINK("http://amigo.geneontology.org/amigo/term/GO:0045488","GO:0045488")</f>
        <v>GO:0045488</v>
      </c>
      <c r="D79" t="s">
        <v>789</v>
      </c>
      <c r="E79">
        <v>77</v>
      </c>
      <c r="F79">
        <v>1</v>
      </c>
      <c r="G79">
        <v>3.3418258613708798E-2</v>
      </c>
      <c r="H79">
        <v>1</v>
      </c>
      <c r="I79" t="s">
        <v>1324</v>
      </c>
    </row>
    <row r="80" spans="3:9" x14ac:dyDescent="0.25">
      <c r="C80" s="3" t="str">
        <f>HYPERLINK("http://amigo.geneontology.org/amigo/term/GO:0009505","GO:0009505")</f>
        <v>GO:0009505</v>
      </c>
      <c r="D80" t="s">
        <v>6690</v>
      </c>
      <c r="E80">
        <v>77</v>
      </c>
      <c r="F80">
        <v>1</v>
      </c>
      <c r="G80">
        <v>3.3418258613708798E-2</v>
      </c>
      <c r="H80">
        <v>1</v>
      </c>
      <c r="I80" t="s">
        <v>1888</v>
      </c>
    </row>
    <row r="81" spans="3:9" x14ac:dyDescent="0.25">
      <c r="C81" s="3" t="str">
        <f>HYPERLINK("http://amigo.geneontology.org/amigo/term/GO:0046835","GO:0046835")</f>
        <v>GO:0046835</v>
      </c>
      <c r="D81" t="s">
        <v>891</v>
      </c>
      <c r="E81">
        <v>78</v>
      </c>
      <c r="F81">
        <v>1</v>
      </c>
      <c r="G81">
        <v>3.3845049855406602E-2</v>
      </c>
      <c r="H81">
        <v>1</v>
      </c>
      <c r="I81" t="s">
        <v>2917</v>
      </c>
    </row>
    <row r="82" spans="3:9" x14ac:dyDescent="0.25">
      <c r="C82" s="3" t="str">
        <f>HYPERLINK("http://amigo.geneontology.org/amigo/term/GO:0098797","GO:0098797")</f>
        <v>GO:0098797</v>
      </c>
      <c r="D82" t="s">
        <v>6691</v>
      </c>
      <c r="E82">
        <v>80</v>
      </c>
      <c r="F82">
        <v>1</v>
      </c>
      <c r="G82">
        <v>3.4698083688247498E-2</v>
      </c>
      <c r="H82">
        <v>1</v>
      </c>
      <c r="I82" t="s">
        <v>3889</v>
      </c>
    </row>
    <row r="83" spans="3:9" x14ac:dyDescent="0.25">
      <c r="C83" s="3" t="str">
        <f>HYPERLINK("http://amigo.geneontology.org/amigo/term/GO:0019200","GO:0019200")</f>
        <v>GO:0019200</v>
      </c>
      <c r="D83" t="s">
        <v>994</v>
      </c>
      <c r="E83">
        <v>103</v>
      </c>
      <c r="F83">
        <v>1</v>
      </c>
      <c r="G83">
        <v>4.4455582933514398E-2</v>
      </c>
      <c r="H83">
        <v>1</v>
      </c>
      <c r="I83" t="s">
        <v>2917</v>
      </c>
    </row>
    <row r="84" spans="3:9" x14ac:dyDescent="0.25">
      <c r="C84" s="3" t="str">
        <f>HYPERLINK("http://amigo.geneontology.org/amigo/term/GO:0033036","GO:0033036")</f>
        <v>GO:0033036</v>
      </c>
      <c r="D84" t="s">
        <v>6692</v>
      </c>
      <c r="E84">
        <v>1814</v>
      </c>
      <c r="F84">
        <v>3</v>
      </c>
      <c r="G84">
        <v>4.5340807394971198E-2</v>
      </c>
      <c r="H84">
        <v>1</v>
      </c>
      <c r="I84" t="s">
        <v>6693</v>
      </c>
    </row>
    <row r="85" spans="3:9" x14ac:dyDescent="0.25">
      <c r="C85" s="3" t="str">
        <f>HYPERLINK("http://amigo.geneontology.org/amigo/term/GO:0015298","GO:0015298")</f>
        <v>GO:0015298</v>
      </c>
      <c r="D85" t="s">
        <v>221</v>
      </c>
      <c r="E85">
        <v>107</v>
      </c>
      <c r="F85">
        <v>1</v>
      </c>
      <c r="G85">
        <v>4.6142738603025597E-2</v>
      </c>
      <c r="H85">
        <v>1</v>
      </c>
      <c r="I85" t="s">
        <v>3724</v>
      </c>
    </row>
    <row r="86" spans="3:9" x14ac:dyDescent="0.25">
      <c r="C86" s="3" t="str">
        <f>HYPERLINK("http://amigo.geneontology.org/amigo/term/GO:0015299","GO:0015299")</f>
        <v>GO:0015299</v>
      </c>
      <c r="D86" t="s">
        <v>224</v>
      </c>
      <c r="E86">
        <v>107</v>
      </c>
      <c r="F86">
        <v>1</v>
      </c>
      <c r="G86">
        <v>4.6142738603025597E-2</v>
      </c>
      <c r="H86">
        <v>1</v>
      </c>
      <c r="I86" t="s">
        <v>3724</v>
      </c>
    </row>
    <row r="87" spans="3:9" x14ac:dyDescent="0.25">
      <c r="C87" s="3" t="str">
        <f>HYPERLINK("http://amigo.geneontology.org/amigo/term/GO:0006816","GO:0006816")</f>
        <v>GO:0006816</v>
      </c>
      <c r="D87" t="s">
        <v>1075</v>
      </c>
      <c r="E87">
        <v>110</v>
      </c>
      <c r="F87">
        <v>1</v>
      </c>
      <c r="G87">
        <v>4.7406207571352402E-2</v>
      </c>
      <c r="H87">
        <v>1</v>
      </c>
      <c r="I87" t="s">
        <v>3724</v>
      </c>
    </row>
    <row r="88" spans="3:9" x14ac:dyDescent="0.25">
      <c r="C88" s="3" t="str">
        <f>HYPERLINK("http://amigo.geneontology.org/amigo/term/GO:0009605","GO:0009605")</f>
        <v>GO:0009605</v>
      </c>
      <c r="D88" t="s">
        <v>6694</v>
      </c>
      <c r="E88">
        <v>791</v>
      </c>
      <c r="F88">
        <v>2</v>
      </c>
      <c r="G88">
        <v>4.7534448418454903E-2</v>
      </c>
      <c r="H88">
        <v>1</v>
      </c>
      <c r="I88" t="s">
        <v>6661</v>
      </c>
    </row>
  </sheetData>
  <sortState ref="C11:I87">
    <sortCondition ref="G11:G8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1"/>
  <sheetViews>
    <sheetView workbookViewId="0"/>
  </sheetViews>
  <sheetFormatPr defaultRowHeight="15" x14ac:dyDescent="0.25"/>
  <cols>
    <col min="1" max="1" width="20.5703125" customWidth="1"/>
    <col min="3" max="3" width="14" customWidth="1"/>
    <col min="4" max="4" width="38.140625" customWidth="1"/>
  </cols>
  <sheetData>
    <row r="1" spans="1:9" ht="20.25" x14ac:dyDescent="0.3">
      <c r="A1" s="12" t="s">
        <v>6695</v>
      </c>
    </row>
    <row r="2" spans="1:9" x14ac:dyDescent="0.25">
      <c r="A2" s="6" t="s">
        <v>6696</v>
      </c>
      <c r="B2" s="8">
        <f>349/7100</f>
        <v>4.9154929577464791E-2</v>
      </c>
      <c r="C2" t="s">
        <v>2</v>
      </c>
      <c r="D2">
        <v>258</v>
      </c>
    </row>
    <row r="3" spans="1:9" x14ac:dyDescent="0.25">
      <c r="A3" t="s">
        <v>6038</v>
      </c>
      <c r="C3" t="s">
        <v>4</v>
      </c>
      <c r="D3">
        <v>77079</v>
      </c>
    </row>
    <row r="4" spans="1:9" x14ac:dyDescent="0.25">
      <c r="A4" t="s">
        <v>6039</v>
      </c>
      <c r="C4" t="s">
        <v>6</v>
      </c>
      <c r="D4" t="s">
        <v>7</v>
      </c>
    </row>
    <row r="5" spans="1:9" x14ac:dyDescent="0.25">
      <c r="A5" t="s">
        <v>6042</v>
      </c>
      <c r="C5" t="s">
        <v>9</v>
      </c>
      <c r="D5" t="s">
        <v>10</v>
      </c>
    </row>
    <row r="6" spans="1:9" x14ac:dyDescent="0.25">
      <c r="A6" t="s">
        <v>5050</v>
      </c>
      <c r="C6" t="s">
        <v>12</v>
      </c>
      <c r="D6" t="s">
        <v>13</v>
      </c>
    </row>
    <row r="7" spans="1:9" x14ac:dyDescent="0.25">
      <c r="A7" t="s">
        <v>5861</v>
      </c>
      <c r="C7" t="s">
        <v>15</v>
      </c>
      <c r="D7" t="s">
        <v>16</v>
      </c>
    </row>
    <row r="8" spans="1:9" x14ac:dyDescent="0.25">
      <c r="A8" t="s">
        <v>6048</v>
      </c>
      <c r="C8" t="s">
        <v>18</v>
      </c>
      <c r="D8" t="s">
        <v>19</v>
      </c>
    </row>
    <row r="9" spans="1:9" x14ac:dyDescent="0.25">
      <c r="A9" t="s">
        <v>4134</v>
      </c>
      <c r="C9" t="s">
        <v>21</v>
      </c>
      <c r="D9">
        <v>3</v>
      </c>
    </row>
    <row r="10" spans="1:9" x14ac:dyDescent="0.25">
      <c r="A10" t="s">
        <v>6057</v>
      </c>
    </row>
    <row r="11" spans="1:9" x14ac:dyDescent="0.25">
      <c r="A11" t="s">
        <v>242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6067</v>
      </c>
      <c r="C12" s="3" t="str">
        <f>HYPERLINK("http://amigo.geneontology.org/amigo/term/GO:0004564","GO:0004564")</f>
        <v>GO:0004564</v>
      </c>
      <c r="D12" t="s">
        <v>404</v>
      </c>
      <c r="E12">
        <v>32</v>
      </c>
      <c r="F12">
        <v>10</v>
      </c>
      <c r="G12" s="4">
        <v>8.9546427711867598E-18</v>
      </c>
      <c r="H12" s="4">
        <v>1.3476737370636E-14</v>
      </c>
      <c r="I12" t="s">
        <v>6697</v>
      </c>
    </row>
    <row r="13" spans="1:9" x14ac:dyDescent="0.25">
      <c r="A13" t="s">
        <v>307</v>
      </c>
      <c r="C13" s="3" t="str">
        <f>HYPERLINK("http://amigo.geneontology.org/amigo/term/GO:0090599","GO:0090599")</f>
        <v>GO:0090599</v>
      </c>
      <c r="D13" t="s">
        <v>407</v>
      </c>
      <c r="E13">
        <v>32</v>
      </c>
      <c r="F13">
        <v>10</v>
      </c>
      <c r="G13" s="4">
        <v>8.9546427711867598E-18</v>
      </c>
      <c r="H13" s="4">
        <v>2.02106287345685E-14</v>
      </c>
      <c r="I13" t="s">
        <v>6697</v>
      </c>
    </row>
    <row r="14" spans="1:9" x14ac:dyDescent="0.25">
      <c r="A14" t="s">
        <v>6698</v>
      </c>
      <c r="C14" s="3" t="str">
        <f>HYPERLINK("http://amigo.geneontology.org/amigo/term/GO:0004575","GO:0004575")</f>
        <v>GO:0004575</v>
      </c>
      <c r="D14" t="s">
        <v>409</v>
      </c>
      <c r="E14">
        <v>32</v>
      </c>
      <c r="F14">
        <v>10</v>
      </c>
      <c r="G14" s="4">
        <v>8.9546427711867598E-18</v>
      </c>
      <c r="H14" s="4">
        <v>4.0430212111908197E-14</v>
      </c>
      <c r="I14" t="s">
        <v>6697</v>
      </c>
    </row>
    <row r="15" spans="1:9" x14ac:dyDescent="0.25">
      <c r="A15" t="s">
        <v>5872</v>
      </c>
      <c r="C15" s="3" t="str">
        <f>HYPERLINK("http://amigo.geneontology.org/amigo/term/GO:0015926","GO:0015926")</f>
        <v>GO:0015926</v>
      </c>
      <c r="D15" t="s">
        <v>401</v>
      </c>
      <c r="E15">
        <v>59</v>
      </c>
      <c r="F15">
        <v>10</v>
      </c>
      <c r="G15" s="4">
        <v>8.0579452324542993E-15</v>
      </c>
      <c r="H15" s="4">
        <v>9.08936222220845E-12</v>
      </c>
      <c r="I15" t="s">
        <v>6697</v>
      </c>
    </row>
    <row r="16" spans="1:9" x14ac:dyDescent="0.25">
      <c r="A16" t="s">
        <v>5873</v>
      </c>
      <c r="C16" s="3" t="str">
        <f>HYPERLINK("http://amigo.geneontology.org/amigo/term/GO:0016798","GO:0016798")</f>
        <v>GO:0016798</v>
      </c>
      <c r="D16" t="s">
        <v>177</v>
      </c>
      <c r="E16">
        <v>1691</v>
      </c>
      <c r="F16">
        <v>30</v>
      </c>
      <c r="G16" s="4">
        <v>1.60191445386783E-13</v>
      </c>
      <c r="H16" s="4">
        <v>1.44652875184265E-10</v>
      </c>
      <c r="I16" t="s">
        <v>6699</v>
      </c>
    </row>
    <row r="17" spans="1:9" x14ac:dyDescent="0.25">
      <c r="A17" t="s">
        <v>5073</v>
      </c>
      <c r="C17" s="3" t="str">
        <f>HYPERLINK("http://amigo.geneontology.org/amigo/term/GO:0004553","GO:0004553")</f>
        <v>GO:0004553</v>
      </c>
      <c r="D17" t="s">
        <v>174</v>
      </c>
      <c r="E17">
        <v>1509</v>
      </c>
      <c r="F17">
        <v>27</v>
      </c>
      <c r="G17" s="4">
        <v>2.3293762396120899E-12</v>
      </c>
      <c r="H17" s="4">
        <v>1.75169093218829E-9</v>
      </c>
      <c r="I17" t="s">
        <v>6700</v>
      </c>
    </row>
    <row r="18" spans="1:9" x14ac:dyDescent="0.25">
      <c r="A18" t="s">
        <v>6092</v>
      </c>
      <c r="C18" s="3" t="str">
        <f>HYPERLINK("http://amigo.geneontology.org/amigo/term/GO:0006631","GO:0006631")</f>
        <v>GO:0006631</v>
      </c>
      <c r="D18" t="s">
        <v>335</v>
      </c>
      <c r="E18">
        <v>648</v>
      </c>
      <c r="F18">
        <v>17</v>
      </c>
      <c r="G18" s="4">
        <v>1.06894353732152E-10</v>
      </c>
      <c r="H18" s="4">
        <v>6.8946858157238302E-8</v>
      </c>
      <c r="I18" t="s">
        <v>6701</v>
      </c>
    </row>
    <row r="19" spans="1:9" x14ac:dyDescent="0.25">
      <c r="A19" t="s">
        <v>2305</v>
      </c>
      <c r="C19" s="3" t="str">
        <f>HYPERLINK("http://amigo.geneontology.org/amigo/term/GO:0006629","GO:0006629")</f>
        <v>GO:0006629</v>
      </c>
      <c r="D19" t="s">
        <v>182</v>
      </c>
      <c r="E19">
        <v>2608</v>
      </c>
      <c r="F19">
        <v>32</v>
      </c>
      <c r="G19" s="4">
        <v>3.2663227434627698E-10</v>
      </c>
      <c r="H19" s="4">
        <v>1.8422060273130001E-7</v>
      </c>
      <c r="I19" t="s">
        <v>6702</v>
      </c>
    </row>
    <row r="20" spans="1:9" x14ac:dyDescent="0.25">
      <c r="A20" t="s">
        <v>6097</v>
      </c>
      <c r="C20" s="3" t="str">
        <f>HYPERLINK("http://amigo.geneontology.org/amigo/term/GO:0006633","GO:0006633")</f>
        <v>GO:0006633</v>
      </c>
      <c r="D20" t="s">
        <v>287</v>
      </c>
      <c r="E20">
        <v>444</v>
      </c>
      <c r="F20">
        <v>14</v>
      </c>
      <c r="G20" s="4">
        <v>4.6852273828578704E-10</v>
      </c>
      <c r="H20" s="4">
        <v>2.34729891881179E-7</v>
      </c>
      <c r="I20" t="s">
        <v>6703</v>
      </c>
    </row>
    <row r="21" spans="1:9" x14ac:dyDescent="0.25">
      <c r="A21" t="s">
        <v>6098</v>
      </c>
      <c r="C21" s="3" t="str">
        <f>HYPERLINK("http://amigo.geneontology.org/amigo/term/GO:0016787","GO:0016787")</f>
        <v>GO:0016787</v>
      </c>
      <c r="D21" t="s">
        <v>98</v>
      </c>
      <c r="E21">
        <v>9814</v>
      </c>
      <c r="F21">
        <v>68</v>
      </c>
      <c r="G21" s="4">
        <v>2.8764291184968399E-9</v>
      </c>
      <c r="H21" s="4">
        <v>1.29726953244207E-6</v>
      </c>
      <c r="I21" t="s">
        <v>6704</v>
      </c>
    </row>
    <row r="22" spans="1:9" x14ac:dyDescent="0.25">
      <c r="A22" t="s">
        <v>5079</v>
      </c>
      <c r="C22" s="3" t="str">
        <f>HYPERLINK("http://amigo.geneontology.org/amigo/term/GO:0005975","GO:0005975")</f>
        <v>GO:0005975</v>
      </c>
      <c r="D22" t="s">
        <v>171</v>
      </c>
      <c r="E22">
        <v>2990</v>
      </c>
      <c r="F22">
        <v>31</v>
      </c>
      <c r="G22" s="4">
        <v>3.1024403824461597E-8</v>
      </c>
      <c r="H22" s="4">
        <v>1.2720005568029201E-5</v>
      </c>
      <c r="I22" t="s">
        <v>6705</v>
      </c>
    </row>
    <row r="23" spans="1:9" x14ac:dyDescent="0.25">
      <c r="A23" t="s">
        <v>5879</v>
      </c>
      <c r="C23" s="3" t="str">
        <f>HYPERLINK("http://amigo.geneontology.org/amigo/term/GO:0008610","GO:0008610")</f>
        <v>GO:0008610</v>
      </c>
      <c r="D23" t="s">
        <v>564</v>
      </c>
      <c r="E23">
        <v>1402</v>
      </c>
      <c r="F23">
        <v>20</v>
      </c>
      <c r="G23" s="4">
        <v>7.6283108539658406E-8</v>
      </c>
      <c r="H23" s="4">
        <v>2.8682448810911501E-5</v>
      </c>
      <c r="I23" t="s">
        <v>6706</v>
      </c>
    </row>
    <row r="24" spans="1:9" x14ac:dyDescent="0.25">
      <c r="A24" t="s">
        <v>6102</v>
      </c>
      <c r="C24" s="3" t="str">
        <f>HYPERLINK("http://amigo.geneontology.org/amigo/term/GO:0044255","GO:0044255")</f>
        <v>GO:0044255</v>
      </c>
      <c r="D24" t="s">
        <v>258</v>
      </c>
      <c r="E24">
        <v>1757</v>
      </c>
      <c r="F24">
        <v>20</v>
      </c>
      <c r="G24" s="4">
        <v>2.5002036759042899E-6</v>
      </c>
      <c r="H24" s="4">
        <v>8.6757067553879105E-4</v>
      </c>
      <c r="I24" t="s">
        <v>6707</v>
      </c>
    </row>
    <row r="25" spans="1:9" x14ac:dyDescent="0.25">
      <c r="A25" t="s">
        <v>2345</v>
      </c>
      <c r="C25" s="3" t="str">
        <f>HYPERLINK("http://amigo.geneontology.org/amigo/term/GO:0072330","GO:0072330")</f>
        <v>GO:0072330</v>
      </c>
      <c r="D25" t="s">
        <v>302</v>
      </c>
      <c r="E25">
        <v>897</v>
      </c>
      <c r="F25">
        <v>14</v>
      </c>
      <c r="G25" s="4">
        <v>2.5763581461042198E-6</v>
      </c>
      <c r="H25" s="4">
        <v>8.2958732304556004E-4</v>
      </c>
      <c r="I25" t="s">
        <v>6703</v>
      </c>
    </row>
    <row r="26" spans="1:9" x14ac:dyDescent="0.25">
      <c r="A26" t="s">
        <v>6108</v>
      </c>
      <c r="C26" s="3" t="str">
        <f>HYPERLINK("http://amigo.geneontology.org/amigo/term/GO:0009955","GO:0009955")</f>
        <v>GO:0009955</v>
      </c>
      <c r="D26" t="s">
        <v>6090</v>
      </c>
      <c r="E26">
        <v>33</v>
      </c>
      <c r="F26">
        <v>4</v>
      </c>
      <c r="G26" s="4">
        <v>4.6489695425938299E-6</v>
      </c>
      <c r="H26">
        <v>1.39933983232074E-3</v>
      </c>
      <c r="I26" t="s">
        <v>6091</v>
      </c>
    </row>
    <row r="27" spans="1:9" x14ac:dyDescent="0.25">
      <c r="A27" t="s">
        <v>5084</v>
      </c>
      <c r="C27" s="3" t="str">
        <f>HYPERLINK("http://amigo.geneontology.org/amigo/term/GO:0032787","GO:0032787")</f>
        <v>GO:0032787</v>
      </c>
      <c r="D27" t="s">
        <v>532</v>
      </c>
      <c r="E27">
        <v>1450</v>
      </c>
      <c r="F27">
        <v>17</v>
      </c>
      <c r="G27" s="4">
        <v>9.8828468487004303E-6</v>
      </c>
      <c r="H27">
        <v>2.7869628113335199E-3</v>
      </c>
      <c r="I27" t="s">
        <v>6701</v>
      </c>
    </row>
    <row r="28" spans="1:9" x14ac:dyDescent="0.25">
      <c r="A28" t="s">
        <v>6120</v>
      </c>
      <c r="C28" s="3" t="str">
        <f>HYPERLINK("http://amigo.geneontology.org/amigo/term/GO:0080019","GO:0080019")</f>
        <v>GO:0080019</v>
      </c>
      <c r="D28" t="s">
        <v>138</v>
      </c>
      <c r="E28">
        <v>40</v>
      </c>
      <c r="F28">
        <v>4</v>
      </c>
      <c r="G28" s="4">
        <v>1.0193426383752701E-5</v>
      </c>
      <c r="H28">
        <v>2.7012579916944699E-3</v>
      </c>
      <c r="I28" t="s">
        <v>6708</v>
      </c>
    </row>
    <row r="29" spans="1:9" x14ac:dyDescent="0.25">
      <c r="A29" t="s">
        <v>6709</v>
      </c>
      <c r="C29" s="3" t="str">
        <f>HYPERLINK("http://amigo.geneontology.org/amigo/term/GO:0016248","GO:0016248")</f>
        <v>GO:0016248</v>
      </c>
      <c r="D29" t="s">
        <v>5521</v>
      </c>
      <c r="E29">
        <v>2</v>
      </c>
      <c r="F29">
        <v>2</v>
      </c>
      <c r="G29" s="4">
        <v>1.1160568580692001E-5</v>
      </c>
      <c r="H29">
        <v>2.5111279306557102E-3</v>
      </c>
      <c r="I29" t="s">
        <v>5522</v>
      </c>
    </row>
    <row r="30" spans="1:9" x14ac:dyDescent="0.25">
      <c r="A30" t="s">
        <v>459</v>
      </c>
      <c r="C30" s="3" t="str">
        <f>HYPERLINK("http://amigo.geneontology.org/amigo/term/GO:0099106","GO:0099106")</f>
        <v>GO:0099106</v>
      </c>
      <c r="D30" t="s">
        <v>5524</v>
      </c>
      <c r="E30">
        <v>2</v>
      </c>
      <c r="F30">
        <v>2</v>
      </c>
      <c r="G30" s="4">
        <v>1.1160568580692001E-5</v>
      </c>
      <c r="H30">
        <v>2.64505475362401E-3</v>
      </c>
      <c r="I30" t="s">
        <v>5522</v>
      </c>
    </row>
    <row r="31" spans="1:9" x14ac:dyDescent="0.25">
      <c r="A31" t="s">
        <v>6129</v>
      </c>
      <c r="C31" s="3" t="str">
        <f>HYPERLINK("http://amigo.geneontology.org/amigo/term/GO:0008200","GO:0008200")</f>
        <v>GO:0008200</v>
      </c>
      <c r="D31" t="s">
        <v>5525</v>
      </c>
      <c r="E31">
        <v>2</v>
      </c>
      <c r="F31">
        <v>2</v>
      </c>
      <c r="G31" s="4">
        <v>1.1160568580692001E-5</v>
      </c>
      <c r="H31">
        <v>2.7901421451730101E-3</v>
      </c>
      <c r="I31" t="s">
        <v>5522</v>
      </c>
    </row>
    <row r="32" spans="1:9" x14ac:dyDescent="0.25">
      <c r="A32" t="s">
        <v>4305</v>
      </c>
      <c r="C32" s="3" t="str">
        <f>HYPERLINK("http://amigo.geneontology.org/amigo/term/GO:0044238","GO:0044238")</f>
        <v>GO:0044238</v>
      </c>
      <c r="D32" t="s">
        <v>612</v>
      </c>
      <c r="E32">
        <v>23308</v>
      </c>
      <c r="F32">
        <v>108</v>
      </c>
      <c r="G32" s="4">
        <v>4.87580956853446E-5</v>
      </c>
      <c r="H32">
        <v>1.0482990572349001E-2</v>
      </c>
      <c r="I32" t="s">
        <v>6710</v>
      </c>
    </row>
    <row r="33" spans="1:9" x14ac:dyDescent="0.25">
      <c r="A33" t="s">
        <v>6143</v>
      </c>
      <c r="C33" s="3" t="str">
        <f>HYPERLINK("http://amigo.geneontology.org/amigo/term/GO:0048638","GO:0048638")</f>
        <v>GO:0048638</v>
      </c>
      <c r="D33" t="s">
        <v>6088</v>
      </c>
      <c r="E33">
        <v>135</v>
      </c>
      <c r="F33">
        <v>5</v>
      </c>
      <c r="G33" s="4">
        <v>9.8296440858209702E-5</v>
      </c>
      <c r="H33">
        <v>2.0150770375932901E-2</v>
      </c>
      <c r="I33" t="s">
        <v>6711</v>
      </c>
    </row>
    <row r="34" spans="1:9" x14ac:dyDescent="0.25">
      <c r="A34" t="s">
        <v>2389</v>
      </c>
      <c r="C34" s="3" t="str">
        <f>HYPERLINK("http://amigo.geneontology.org/amigo/term/GO:0003713","GO:0003713")</f>
        <v>GO:0003713</v>
      </c>
      <c r="D34" t="s">
        <v>6145</v>
      </c>
      <c r="E34">
        <v>27</v>
      </c>
      <c r="F34">
        <v>3</v>
      </c>
      <c r="G34" s="4">
        <v>1.0215952115002E-4</v>
      </c>
      <c r="H34">
        <v>2.0023266145403899E-2</v>
      </c>
      <c r="I34" t="s">
        <v>6146</v>
      </c>
    </row>
    <row r="35" spans="1:9" x14ac:dyDescent="0.25">
      <c r="A35" t="s">
        <v>501</v>
      </c>
      <c r="C35" s="3" t="str">
        <f>HYPERLINK("http://amigo.geneontology.org/amigo/term/GO:0016247","GO:0016247")</f>
        <v>GO:0016247</v>
      </c>
      <c r="D35" t="s">
        <v>5572</v>
      </c>
      <c r="E35">
        <v>5</v>
      </c>
      <c r="F35">
        <v>2</v>
      </c>
      <c r="G35" s="4">
        <v>1.10866159776579E-4</v>
      </c>
      <c r="H35">
        <v>2.08428380379969E-2</v>
      </c>
      <c r="I35" t="s">
        <v>5522</v>
      </c>
    </row>
    <row r="36" spans="1:9" x14ac:dyDescent="0.25">
      <c r="A36" t="s">
        <v>6712</v>
      </c>
      <c r="C36" s="3" t="str">
        <f>HYPERLINK("http://amigo.geneontology.org/amigo/term/GO:0040008","GO:0040008")</f>
        <v>GO:0040008</v>
      </c>
      <c r="D36" t="s">
        <v>6112</v>
      </c>
      <c r="E36">
        <v>154</v>
      </c>
      <c r="F36">
        <v>5</v>
      </c>
      <c r="G36" s="4">
        <v>1.82031074113552E-4</v>
      </c>
      <c r="H36">
        <v>3.2765593340439297E-2</v>
      </c>
      <c r="I36" t="s">
        <v>6711</v>
      </c>
    </row>
    <row r="37" spans="1:9" x14ac:dyDescent="0.25">
      <c r="A37" t="s">
        <v>590</v>
      </c>
      <c r="C37" s="3" t="str">
        <f>HYPERLINK("http://amigo.geneontology.org/amigo/term/GO:0016746","GO:0016746")</f>
        <v>GO:0016746</v>
      </c>
      <c r="D37" t="s">
        <v>742</v>
      </c>
      <c r="E37">
        <v>1506</v>
      </c>
      <c r="F37">
        <v>15</v>
      </c>
      <c r="G37" s="4">
        <v>1.9806902705487401E-4</v>
      </c>
      <c r="H37">
        <v>3.4265941680493198E-2</v>
      </c>
      <c r="I37" t="s">
        <v>6713</v>
      </c>
    </row>
    <row r="38" spans="1:9" x14ac:dyDescent="0.25">
      <c r="A38" t="s">
        <v>6163</v>
      </c>
      <c r="C38" s="3" t="str">
        <f>HYPERLINK("http://amigo.geneontology.org/amigo/term/GO:0016747","GO:0016747")</f>
        <v>GO:0016747</v>
      </c>
      <c r="D38" t="s">
        <v>708</v>
      </c>
      <c r="E38">
        <v>1353</v>
      </c>
      <c r="F38">
        <v>14</v>
      </c>
      <c r="G38" s="4">
        <v>2.1971108918293801E-4</v>
      </c>
      <c r="H38">
        <v>3.6691751893550797E-2</v>
      </c>
      <c r="I38" t="s">
        <v>6714</v>
      </c>
    </row>
    <row r="39" spans="1:9" x14ac:dyDescent="0.25">
      <c r="A39" t="s">
        <v>6165</v>
      </c>
      <c r="C39" s="3" t="str">
        <f>HYPERLINK("http://amigo.geneontology.org/amigo/term/GO:0046394","GO:0046394")</f>
        <v>GO:0046394</v>
      </c>
      <c r="D39" t="s">
        <v>682</v>
      </c>
      <c r="E39">
        <v>1534</v>
      </c>
      <c r="F39">
        <v>15</v>
      </c>
      <c r="G39" s="4">
        <v>2.40747246013915E-4</v>
      </c>
      <c r="H39">
        <v>3.87603066082403E-2</v>
      </c>
      <c r="I39" t="s">
        <v>6715</v>
      </c>
    </row>
    <row r="40" spans="1:9" x14ac:dyDescent="0.25">
      <c r="A40" t="s">
        <v>601</v>
      </c>
      <c r="C40" s="3" t="str">
        <f>HYPERLINK("http://amigo.geneontology.org/amigo/term/GO:0016053","GO:0016053")</f>
        <v>GO:0016053</v>
      </c>
      <c r="D40" t="s">
        <v>685</v>
      </c>
      <c r="E40">
        <v>1536</v>
      </c>
      <c r="F40">
        <v>15</v>
      </c>
      <c r="G40" s="4">
        <v>2.4407880662452101E-4</v>
      </c>
      <c r="H40">
        <v>3.78322150268008E-2</v>
      </c>
      <c r="I40" t="s">
        <v>6715</v>
      </c>
    </row>
    <row r="41" spans="1:9" x14ac:dyDescent="0.25">
      <c r="A41" t="s">
        <v>4378</v>
      </c>
      <c r="C41" s="3" t="str">
        <f>HYPERLINK("http://amigo.geneontology.org/amigo/term/GO:0071704","GO:0071704")</f>
        <v>GO:0071704</v>
      </c>
      <c r="D41" t="s">
        <v>472</v>
      </c>
      <c r="E41">
        <v>24369</v>
      </c>
      <c r="F41">
        <v>108</v>
      </c>
      <c r="G41" s="4">
        <v>3.3186667255593499E-4</v>
      </c>
      <c r="H41">
        <v>4.9780000883390303E-2</v>
      </c>
      <c r="I41" t="s">
        <v>6710</v>
      </c>
    </row>
    <row r="42" spans="1:9" x14ac:dyDescent="0.25">
      <c r="A42" t="s">
        <v>6716</v>
      </c>
      <c r="C42" s="3" t="str">
        <f>HYPERLINK("http://amigo.geneontology.org/amigo/term/GO:0051513","GO:0051513")</f>
        <v>GO:0051513</v>
      </c>
      <c r="D42" t="s">
        <v>6082</v>
      </c>
      <c r="E42">
        <v>9</v>
      </c>
      <c r="F42">
        <v>2</v>
      </c>
      <c r="G42" s="4">
        <v>3.9559916524681298E-4</v>
      </c>
      <c r="H42">
        <v>5.7361878960788003E-2</v>
      </c>
      <c r="I42" t="s">
        <v>6717</v>
      </c>
    </row>
    <row r="43" spans="1:9" x14ac:dyDescent="0.25">
      <c r="A43" t="s">
        <v>6174</v>
      </c>
      <c r="C43" s="3" t="str">
        <f>HYPERLINK("http://amigo.geneontology.org/amigo/term/GO:0044283","GO:0044283")</f>
        <v>GO:0044283</v>
      </c>
      <c r="D43" t="s">
        <v>888</v>
      </c>
      <c r="E43">
        <v>1875</v>
      </c>
      <c r="F43">
        <v>16</v>
      </c>
      <c r="G43" s="4">
        <v>6.6199658798749505E-4</v>
      </c>
      <c r="H43">
        <v>9.3341518906236903E-2</v>
      </c>
      <c r="I43" t="s">
        <v>6718</v>
      </c>
    </row>
    <row r="44" spans="1:9" x14ac:dyDescent="0.25">
      <c r="A44" t="s">
        <v>5902</v>
      </c>
      <c r="C44" s="3" t="str">
        <f>HYPERLINK("http://amigo.geneontology.org/amigo/term/GO:0003002","GO:0003002")</f>
        <v>GO:0003002</v>
      </c>
      <c r="D44" t="s">
        <v>1146</v>
      </c>
      <c r="E44">
        <v>118</v>
      </c>
      <c r="F44">
        <v>4</v>
      </c>
      <c r="G44" s="4">
        <v>6.9773328502117904E-4</v>
      </c>
      <c r="H44">
        <v>9.4891726762880393E-2</v>
      </c>
      <c r="I44" t="s">
        <v>6091</v>
      </c>
    </row>
    <row r="45" spans="1:9" x14ac:dyDescent="0.25">
      <c r="A45" t="s">
        <v>6719</v>
      </c>
      <c r="C45" s="3" t="str">
        <f>HYPERLINK("http://amigo.geneontology.org/amigo/term/GO:0070001","GO:0070001")</f>
        <v>GO:0070001</v>
      </c>
      <c r="D45" t="s">
        <v>6232</v>
      </c>
      <c r="E45">
        <v>442</v>
      </c>
      <c r="F45">
        <v>7</v>
      </c>
      <c r="G45" s="4">
        <v>7.8948044520132097E-4</v>
      </c>
      <c r="H45">
        <v>0.10184297743097</v>
      </c>
      <c r="I45" t="s">
        <v>6720</v>
      </c>
    </row>
    <row r="46" spans="1:9" x14ac:dyDescent="0.25">
      <c r="A46" t="s">
        <v>6188</v>
      </c>
      <c r="C46" s="3" t="str">
        <f>HYPERLINK("http://amigo.geneontology.org/amigo/term/GO:0004190","GO:0004190")</f>
        <v>GO:0004190</v>
      </c>
      <c r="D46" t="s">
        <v>6234</v>
      </c>
      <c r="E46">
        <v>442</v>
      </c>
      <c r="F46">
        <v>7</v>
      </c>
      <c r="G46" s="4">
        <v>7.8948044520132097E-4</v>
      </c>
      <c r="H46">
        <v>0.104211418766574</v>
      </c>
      <c r="I46" t="s">
        <v>6720</v>
      </c>
    </row>
    <row r="47" spans="1:9" x14ac:dyDescent="0.25">
      <c r="A47" t="s">
        <v>5905</v>
      </c>
      <c r="C47" s="3" t="str">
        <f>HYPERLINK("http://amigo.geneontology.org/amigo/term/GO:0009965","GO:0009965")</f>
        <v>GO:0009965</v>
      </c>
      <c r="D47" t="s">
        <v>6307</v>
      </c>
      <c r="E47">
        <v>134</v>
      </c>
      <c r="F47">
        <v>4</v>
      </c>
      <c r="G47">
        <v>1.1198367034274501E-3</v>
      </c>
      <c r="H47">
        <v>0.13997958792843199</v>
      </c>
      <c r="I47" t="s">
        <v>6091</v>
      </c>
    </row>
    <row r="48" spans="1:9" x14ac:dyDescent="0.25">
      <c r="A48" t="s">
        <v>4437</v>
      </c>
      <c r="C48" s="3" t="str">
        <f>HYPERLINK("http://amigo.geneontology.org/amigo/term/GO:0009405","GO:0009405")</f>
        <v>GO:0009405</v>
      </c>
      <c r="D48" t="s">
        <v>5633</v>
      </c>
      <c r="E48">
        <v>15</v>
      </c>
      <c r="F48">
        <v>2</v>
      </c>
      <c r="G48">
        <v>1.1386250180240099E-3</v>
      </c>
      <c r="H48">
        <v>0.13435775212683301</v>
      </c>
      <c r="I48" t="s">
        <v>5522</v>
      </c>
    </row>
    <row r="49" spans="1:9" x14ac:dyDescent="0.25">
      <c r="A49" t="s">
        <v>4438</v>
      </c>
      <c r="C49" s="3" t="str">
        <f>HYPERLINK("http://amigo.geneontology.org/amigo/term/GO:0090116","GO:0090116")</f>
        <v>GO:0090116</v>
      </c>
      <c r="D49" t="s">
        <v>6104</v>
      </c>
      <c r="E49">
        <v>15</v>
      </c>
      <c r="F49">
        <v>2</v>
      </c>
      <c r="G49">
        <v>1.1386250180240099E-3</v>
      </c>
      <c r="H49">
        <v>0.138912252198929</v>
      </c>
      <c r="I49" t="s">
        <v>6721</v>
      </c>
    </row>
    <row r="50" spans="1:9" x14ac:dyDescent="0.25">
      <c r="A50" t="s">
        <v>4450</v>
      </c>
      <c r="C50" s="3" t="str">
        <f>HYPERLINK("http://amigo.geneontology.org/amigo/term/GO:0003886","GO:0003886")</f>
        <v>GO:0003886</v>
      </c>
      <c r="D50" t="s">
        <v>6109</v>
      </c>
      <c r="E50">
        <v>16</v>
      </c>
      <c r="F50">
        <v>2</v>
      </c>
      <c r="G50">
        <v>1.2984144381159601E-3</v>
      </c>
      <c r="H50">
        <v>0.14931766038333499</v>
      </c>
      <c r="I50" t="s">
        <v>6721</v>
      </c>
    </row>
    <row r="51" spans="1:9" x14ac:dyDescent="0.25">
      <c r="A51" t="s">
        <v>4458</v>
      </c>
      <c r="C51" s="3" t="str">
        <f>HYPERLINK("http://amigo.geneontology.org/amigo/term/GO:0016762","GO:0016762")</f>
        <v>GO:0016762</v>
      </c>
      <c r="D51" t="s">
        <v>332</v>
      </c>
      <c r="E51">
        <v>142</v>
      </c>
      <c r="F51">
        <v>4</v>
      </c>
      <c r="G51">
        <v>1.38662456356037E-3</v>
      </c>
      <c r="H51">
        <v>0.15530195111876099</v>
      </c>
      <c r="I51" t="s">
        <v>6722</v>
      </c>
    </row>
    <row r="52" spans="1:9" x14ac:dyDescent="0.25">
      <c r="A52" t="s">
        <v>6201</v>
      </c>
      <c r="C52" s="3" t="str">
        <f>HYPERLINK("http://amigo.geneontology.org/amigo/term/GO:0009008","GO:0009008")</f>
        <v>GO:0009008</v>
      </c>
      <c r="D52" t="s">
        <v>6114</v>
      </c>
      <c r="E52">
        <v>17</v>
      </c>
      <c r="F52">
        <v>2</v>
      </c>
      <c r="G52">
        <v>1.4682902847728801E-3</v>
      </c>
      <c r="H52">
        <v>0.157107060470699</v>
      </c>
      <c r="I52" t="s">
        <v>6721</v>
      </c>
    </row>
    <row r="53" spans="1:9" x14ac:dyDescent="0.25">
      <c r="A53" t="s">
        <v>6205</v>
      </c>
      <c r="C53" s="3" t="str">
        <f>HYPERLINK("http://amigo.geneontology.org/amigo/term/GO:0032776","GO:0032776")</f>
        <v>GO:0032776</v>
      </c>
      <c r="D53" t="s">
        <v>6115</v>
      </c>
      <c r="E53">
        <v>17</v>
      </c>
      <c r="F53">
        <v>2</v>
      </c>
      <c r="G53">
        <v>1.4682902847728801E-3</v>
      </c>
      <c r="H53">
        <v>0.16151193132501701</v>
      </c>
      <c r="I53" t="s">
        <v>6721</v>
      </c>
    </row>
    <row r="54" spans="1:9" x14ac:dyDescent="0.25">
      <c r="A54" t="s">
        <v>707</v>
      </c>
      <c r="C54" s="3" t="str">
        <f>HYPERLINK("http://amigo.geneontology.org/amigo/term/GO:0010411","GO:0010411")</f>
        <v>GO:0010411</v>
      </c>
      <c r="D54" t="s">
        <v>416</v>
      </c>
      <c r="E54">
        <v>147</v>
      </c>
      <c r="F54">
        <v>4</v>
      </c>
      <c r="G54">
        <v>1.57420240162311E-3</v>
      </c>
      <c r="H54">
        <v>0.16529125217042701</v>
      </c>
      <c r="I54" t="s">
        <v>6722</v>
      </c>
    </row>
    <row r="55" spans="1:9" x14ac:dyDescent="0.25">
      <c r="A55" t="s">
        <v>2497</v>
      </c>
      <c r="C55" s="3" t="str">
        <f>HYPERLINK("http://amigo.geneontology.org/amigo/term/GO:0016620","GO:0016620")</f>
        <v>GO:0016620</v>
      </c>
      <c r="D55" t="s">
        <v>803</v>
      </c>
      <c r="E55">
        <v>152</v>
      </c>
      <c r="F55">
        <v>4</v>
      </c>
      <c r="G55">
        <v>1.7787396025711901E-3</v>
      </c>
      <c r="H55">
        <v>0.18143143946226101</v>
      </c>
      <c r="I55" t="s">
        <v>6708</v>
      </c>
    </row>
    <row r="56" spans="1:9" x14ac:dyDescent="0.25">
      <c r="A56" t="s">
        <v>6209</v>
      </c>
      <c r="C56" s="3" t="str">
        <f>HYPERLINK("http://amigo.geneontology.org/amigo/term/GO:0007389","GO:0007389")</f>
        <v>GO:0007389</v>
      </c>
      <c r="D56" t="s">
        <v>4395</v>
      </c>
      <c r="E56">
        <v>159</v>
      </c>
      <c r="F56">
        <v>4</v>
      </c>
      <c r="G56">
        <v>2.09504935780564E-3</v>
      </c>
      <c r="H56">
        <v>0.20950493578056401</v>
      </c>
      <c r="I56" t="s">
        <v>6091</v>
      </c>
    </row>
    <row r="57" spans="1:9" x14ac:dyDescent="0.25">
      <c r="A57" t="s">
        <v>5122</v>
      </c>
      <c r="C57" s="3" t="str">
        <f>HYPERLINK("http://amigo.geneontology.org/amigo/term/GO:0010075","GO:0010075")</f>
        <v>GO:0010075</v>
      </c>
      <c r="D57" t="s">
        <v>6310</v>
      </c>
      <c r="E57">
        <v>80</v>
      </c>
      <c r="F57">
        <v>3</v>
      </c>
      <c r="G57">
        <v>2.5181476754263599E-3</v>
      </c>
      <c r="H57">
        <v>0.246778472191783</v>
      </c>
      <c r="I57" t="s">
        <v>6723</v>
      </c>
    </row>
    <row r="58" spans="1:9" x14ac:dyDescent="0.25">
      <c r="A58" t="s">
        <v>5124</v>
      </c>
      <c r="C58" s="3" t="str">
        <f>HYPERLINK("http://amigo.geneontology.org/amigo/term/GO:0016903","GO:0016903")</f>
        <v>GO:0016903</v>
      </c>
      <c r="D58" t="s">
        <v>992</v>
      </c>
      <c r="E58">
        <v>182</v>
      </c>
      <c r="F58">
        <v>4</v>
      </c>
      <c r="G58">
        <v>3.40473105410372E-3</v>
      </c>
      <c r="H58">
        <v>0.32685418119395698</v>
      </c>
      <c r="I58" t="s">
        <v>6708</v>
      </c>
    </row>
    <row r="59" spans="1:9" x14ac:dyDescent="0.25">
      <c r="A59" t="s">
        <v>4485</v>
      </c>
      <c r="C59" s="3" t="str">
        <f>HYPERLINK("http://amigo.geneontology.org/amigo/term/GO:0019752","GO:0019752")</f>
        <v>GO:0019752</v>
      </c>
      <c r="D59" t="s">
        <v>4275</v>
      </c>
      <c r="E59">
        <v>2833</v>
      </c>
      <c r="F59">
        <v>19</v>
      </c>
      <c r="G59">
        <v>3.4606796367262398E-3</v>
      </c>
      <c r="H59">
        <v>0.32530388585226599</v>
      </c>
      <c r="I59" t="s">
        <v>6724</v>
      </c>
    </row>
    <row r="60" spans="1:9" x14ac:dyDescent="0.25">
      <c r="A60" t="s">
        <v>763</v>
      </c>
      <c r="C60" s="3" t="str">
        <f>HYPERLINK("http://amigo.geneontology.org/amigo/term/GO:0030145","GO:0030145")</f>
        <v>GO:0030145</v>
      </c>
      <c r="D60" t="s">
        <v>4382</v>
      </c>
      <c r="E60">
        <v>300</v>
      </c>
      <c r="F60">
        <v>5</v>
      </c>
      <c r="G60">
        <v>3.5579560502803399E-3</v>
      </c>
      <c r="H60">
        <v>0.32733195662579101</v>
      </c>
      <c r="I60" t="s">
        <v>6725</v>
      </c>
    </row>
    <row r="61" spans="1:9" x14ac:dyDescent="0.25">
      <c r="A61" t="s">
        <v>766</v>
      </c>
      <c r="C61" s="3" t="str">
        <f>HYPERLINK("http://amigo.geneontology.org/amigo/term/GO:0016491","GO:0016491")</f>
        <v>GO:0016491</v>
      </c>
      <c r="D61" t="s">
        <v>315</v>
      </c>
      <c r="E61">
        <v>6975</v>
      </c>
      <c r="F61">
        <v>37</v>
      </c>
      <c r="G61">
        <v>3.5731561251011201E-3</v>
      </c>
      <c r="H61">
        <v>0.3215840512591</v>
      </c>
      <c r="I61" t="s">
        <v>6726</v>
      </c>
    </row>
    <row r="62" spans="1:9" x14ac:dyDescent="0.25">
      <c r="A62" t="s">
        <v>6229</v>
      </c>
      <c r="C62" s="3" t="str">
        <f>HYPERLINK("http://amigo.geneontology.org/amigo/term/GO:0043436","GO:0043436")</f>
        <v>GO:0043436</v>
      </c>
      <c r="D62" t="s">
        <v>4300</v>
      </c>
      <c r="E62">
        <v>2895</v>
      </c>
      <c r="F62">
        <v>19</v>
      </c>
      <c r="G62">
        <v>4.3538681338413402E-3</v>
      </c>
      <c r="H62">
        <v>0.38314039577803799</v>
      </c>
      <c r="I62" t="s">
        <v>6724</v>
      </c>
    </row>
    <row r="63" spans="1:9" x14ac:dyDescent="0.25">
      <c r="A63" t="s">
        <v>2545</v>
      </c>
      <c r="C63" s="3" t="str">
        <f>HYPERLINK("http://amigo.geneontology.org/amigo/term/GO:0006082","GO:0006082")</f>
        <v>GO:0006082</v>
      </c>
      <c r="D63" t="s">
        <v>4301</v>
      </c>
      <c r="E63">
        <v>2904</v>
      </c>
      <c r="F63">
        <v>19</v>
      </c>
      <c r="G63">
        <v>4.4981338620404404E-3</v>
      </c>
      <c r="H63">
        <v>0.38683951213547801</v>
      </c>
      <c r="I63" t="s">
        <v>6724</v>
      </c>
    </row>
    <row r="64" spans="1:9" x14ac:dyDescent="0.25">
      <c r="A64" t="s">
        <v>6237</v>
      </c>
      <c r="C64" s="3" t="str">
        <f>HYPERLINK("http://amigo.geneontology.org/amigo/term/GO:0030597","GO:0030597")</f>
        <v>GO:0030597</v>
      </c>
      <c r="D64" t="s">
        <v>6727</v>
      </c>
      <c r="E64">
        <v>100</v>
      </c>
      <c r="F64">
        <v>3</v>
      </c>
      <c r="G64">
        <v>4.7190017802219196E-3</v>
      </c>
      <c r="H64">
        <v>0.391677147758419</v>
      </c>
      <c r="I64" t="s">
        <v>6728</v>
      </c>
    </row>
    <row r="65" spans="1:9" x14ac:dyDescent="0.25">
      <c r="A65" t="s">
        <v>6240</v>
      </c>
      <c r="C65" s="3" t="str">
        <f>HYPERLINK("http://amigo.geneontology.org/amigo/term/GO:0030598","GO:0030598")</f>
        <v>GO:0030598</v>
      </c>
      <c r="D65" t="s">
        <v>6729</v>
      </c>
      <c r="E65">
        <v>100</v>
      </c>
      <c r="F65">
        <v>3</v>
      </c>
      <c r="G65">
        <v>4.7190017802219196E-3</v>
      </c>
      <c r="H65">
        <v>0.40111515131886299</v>
      </c>
      <c r="I65" t="s">
        <v>6728</v>
      </c>
    </row>
    <row r="66" spans="1:9" x14ac:dyDescent="0.25">
      <c r="A66" t="s">
        <v>6244</v>
      </c>
      <c r="C66" s="3" t="str">
        <f>HYPERLINK("http://amigo.geneontology.org/amigo/term/GO:0003712","GO:0003712")</f>
        <v>GO:0003712</v>
      </c>
      <c r="D66" t="s">
        <v>6730</v>
      </c>
      <c r="E66">
        <v>102</v>
      </c>
      <c r="F66">
        <v>3</v>
      </c>
      <c r="G66">
        <v>4.9863902136576101E-3</v>
      </c>
      <c r="H66">
        <v>0.40888399751992399</v>
      </c>
      <c r="I66" t="s">
        <v>6146</v>
      </c>
    </row>
    <row r="67" spans="1:9" x14ac:dyDescent="0.25">
      <c r="A67" t="s">
        <v>863</v>
      </c>
      <c r="C67" s="3" t="str">
        <f>HYPERLINK("http://amigo.geneontology.org/amigo/term/GO:0045300","GO:0045300")</f>
        <v>GO:0045300</v>
      </c>
      <c r="D67" t="s">
        <v>549</v>
      </c>
      <c r="E67">
        <v>33</v>
      </c>
      <c r="F67">
        <v>2</v>
      </c>
      <c r="G67">
        <v>5.5029705371777097E-3</v>
      </c>
      <c r="H67">
        <v>0.44023764297421702</v>
      </c>
      <c r="I67" t="s">
        <v>6731</v>
      </c>
    </row>
    <row r="68" spans="1:9" x14ac:dyDescent="0.25">
      <c r="A68" t="s">
        <v>6732</v>
      </c>
      <c r="C68" s="3" t="str">
        <f>HYPERLINK("http://amigo.geneontology.org/amigo/term/GO:0034249","GO:0034249")</f>
        <v>GO:0034249</v>
      </c>
      <c r="D68" t="s">
        <v>6221</v>
      </c>
      <c r="E68">
        <v>106</v>
      </c>
      <c r="F68">
        <v>3</v>
      </c>
      <c r="G68">
        <v>5.5481354269511602E-3</v>
      </c>
      <c r="H68">
        <v>0.42720642787523899</v>
      </c>
      <c r="I68" t="s">
        <v>6728</v>
      </c>
    </row>
    <row r="69" spans="1:9" x14ac:dyDescent="0.25">
      <c r="A69" t="s">
        <v>4511</v>
      </c>
      <c r="C69" s="3" t="str">
        <f>HYPERLINK("http://amigo.geneontology.org/amigo/term/GO:0017148","GO:0017148")</f>
        <v>GO:0017148</v>
      </c>
      <c r="D69" t="s">
        <v>6223</v>
      </c>
      <c r="E69">
        <v>106</v>
      </c>
      <c r="F69">
        <v>3</v>
      </c>
      <c r="G69">
        <v>5.5481354269511602E-3</v>
      </c>
      <c r="H69">
        <v>0.43830269872914102</v>
      </c>
      <c r="I69" t="s">
        <v>6728</v>
      </c>
    </row>
    <row r="70" spans="1:9" x14ac:dyDescent="0.25">
      <c r="A70" t="s">
        <v>6251</v>
      </c>
      <c r="C70" s="3" t="str">
        <f>HYPERLINK("http://amigo.geneontology.org/amigo/term/GO:0055114","GO:0055114")</f>
        <v>GO:0055114</v>
      </c>
      <c r="D70" t="s">
        <v>454</v>
      </c>
      <c r="E70">
        <v>6698</v>
      </c>
      <c r="F70">
        <v>35</v>
      </c>
      <c r="G70">
        <v>5.7942247978481397E-3</v>
      </c>
      <c r="H70">
        <v>0.44036108463645901</v>
      </c>
      <c r="I70" t="s">
        <v>6733</v>
      </c>
    </row>
    <row r="71" spans="1:9" x14ac:dyDescent="0.25">
      <c r="A71" t="s">
        <v>4514</v>
      </c>
      <c r="C71" s="3" t="str">
        <f>HYPERLINK("http://amigo.geneontology.org/amigo/term/GO:0035670","GO:0035670")</f>
        <v>GO:0035670</v>
      </c>
      <c r="D71" t="s">
        <v>6734</v>
      </c>
      <c r="E71">
        <v>110</v>
      </c>
      <c r="F71">
        <v>3</v>
      </c>
      <c r="G71">
        <v>6.14636272384769E-3</v>
      </c>
      <c r="H71">
        <v>0.45483084156472903</v>
      </c>
      <c r="I71" t="s">
        <v>6146</v>
      </c>
    </row>
    <row r="72" spans="1:9" x14ac:dyDescent="0.25">
      <c r="A72" t="s">
        <v>6263</v>
      </c>
      <c r="C72" s="3" t="str">
        <f>HYPERLINK("http://amigo.geneontology.org/amigo/term/GO:0048481","GO:0048481")</f>
        <v>GO:0048481</v>
      </c>
      <c r="D72" t="s">
        <v>6735</v>
      </c>
      <c r="E72">
        <v>110</v>
      </c>
      <c r="F72">
        <v>3</v>
      </c>
      <c r="G72">
        <v>6.14636272384769E-3</v>
      </c>
      <c r="H72">
        <v>0.46097720428857702</v>
      </c>
      <c r="I72" t="s">
        <v>6146</v>
      </c>
    </row>
    <row r="73" spans="1:9" x14ac:dyDescent="0.25">
      <c r="A73" t="s">
        <v>6265</v>
      </c>
      <c r="C73" s="3" t="str">
        <f>HYPERLINK("http://amigo.geneontology.org/amigo/term/GO:0004089","GO:0004089")</f>
        <v>GO:0004089</v>
      </c>
      <c r="D73" t="s">
        <v>661</v>
      </c>
      <c r="E73">
        <v>36</v>
      </c>
      <c r="F73">
        <v>2</v>
      </c>
      <c r="G73">
        <v>6.5228994348439399E-3</v>
      </c>
      <c r="H73">
        <v>0.46964875930876299</v>
      </c>
      <c r="I73" t="s">
        <v>6736</v>
      </c>
    </row>
    <row r="74" spans="1:9" x14ac:dyDescent="0.25">
      <c r="A74" t="s">
        <v>6266</v>
      </c>
      <c r="C74" s="3" t="str">
        <f>HYPERLINK("http://amigo.geneontology.org/amigo/term/GO:0048509","GO:0048509")</f>
        <v>GO:0048509</v>
      </c>
      <c r="D74" t="s">
        <v>6737</v>
      </c>
      <c r="E74">
        <v>113</v>
      </c>
      <c r="F74">
        <v>3</v>
      </c>
      <c r="G74">
        <v>6.6193310202889597E-3</v>
      </c>
      <c r="H74">
        <v>0.46997250244051603</v>
      </c>
      <c r="I74" t="s">
        <v>6723</v>
      </c>
    </row>
    <row r="75" spans="1:9" x14ac:dyDescent="0.25">
      <c r="A75" t="s">
        <v>4523</v>
      </c>
      <c r="C75" s="3" t="str">
        <f>HYPERLINK("http://amigo.geneontology.org/amigo/term/GO:0043446","GO:0043446")</f>
        <v>GO:0043446</v>
      </c>
      <c r="D75" t="s">
        <v>6250</v>
      </c>
      <c r="E75">
        <v>2</v>
      </c>
      <c r="F75">
        <v>1</v>
      </c>
      <c r="G75">
        <v>6.6832698213389399E-3</v>
      </c>
      <c r="H75">
        <v>0.46114561767238599</v>
      </c>
      <c r="I75" t="s">
        <v>3733</v>
      </c>
    </row>
    <row r="76" spans="1:9" x14ac:dyDescent="0.25">
      <c r="A76" t="s">
        <v>6270</v>
      </c>
      <c r="C76" s="3" t="str">
        <f>HYPERLINK("http://amigo.geneontology.org/amigo/term/GO:0043447","GO:0043447")</f>
        <v>GO:0043447</v>
      </c>
      <c r="D76" t="s">
        <v>6252</v>
      </c>
      <c r="E76">
        <v>2</v>
      </c>
      <c r="F76">
        <v>1</v>
      </c>
      <c r="G76">
        <v>6.6832698213389399E-3</v>
      </c>
      <c r="H76">
        <v>0.46782888749372498</v>
      </c>
      <c r="I76" t="s">
        <v>3733</v>
      </c>
    </row>
    <row r="77" spans="1:9" x14ac:dyDescent="0.25">
      <c r="A77" t="s">
        <v>5150</v>
      </c>
      <c r="C77" s="3" t="str">
        <f>HYPERLINK("http://amigo.geneontology.org/amigo/term/GO:0005506","GO:0005506")</f>
        <v>GO:0005506</v>
      </c>
      <c r="D77" t="s">
        <v>1214</v>
      </c>
      <c r="E77">
        <v>1961</v>
      </c>
      <c r="F77">
        <v>14</v>
      </c>
      <c r="G77">
        <v>6.83016720474699E-3</v>
      </c>
      <c r="H77">
        <v>0.46445136992279501</v>
      </c>
      <c r="I77" t="s">
        <v>6738</v>
      </c>
    </row>
    <row r="78" spans="1:9" x14ac:dyDescent="0.25">
      <c r="A78" t="s">
        <v>5591</v>
      </c>
      <c r="C78" s="3" t="str">
        <f>HYPERLINK("http://amigo.geneontology.org/amigo/term/GO:0008889","GO:0008889")</f>
        <v>GO:0008889</v>
      </c>
      <c r="D78" t="s">
        <v>822</v>
      </c>
      <c r="E78">
        <v>38</v>
      </c>
      <c r="F78">
        <v>2</v>
      </c>
      <c r="G78">
        <v>7.2468290231997396E-3</v>
      </c>
      <c r="H78">
        <v>0.48553754455438303</v>
      </c>
      <c r="I78" t="s">
        <v>6739</v>
      </c>
    </row>
    <row r="79" spans="1:9" x14ac:dyDescent="0.25">
      <c r="A79" t="s">
        <v>43</v>
      </c>
      <c r="C79" s="3" t="str">
        <f>HYPERLINK("http://amigo.geneontology.org/amigo/term/GO:0042744","GO:0042744")</f>
        <v>GO:0042744</v>
      </c>
      <c r="D79" t="s">
        <v>1152</v>
      </c>
      <c r="E79">
        <v>227</v>
      </c>
      <c r="F79">
        <v>4</v>
      </c>
      <c r="G79">
        <v>7.3837837762638298E-3</v>
      </c>
      <c r="H79">
        <v>0.487329729233413</v>
      </c>
      <c r="I79" t="s">
        <v>6740</v>
      </c>
    </row>
    <row r="80" spans="1:9" x14ac:dyDescent="0.25">
      <c r="A80" t="s">
        <v>945</v>
      </c>
      <c r="C80" s="3" t="str">
        <f>HYPERLINK("http://amigo.geneontology.org/amigo/term/GO:0017001","GO:0017001")</f>
        <v>GO:0017001</v>
      </c>
      <c r="D80" t="s">
        <v>1226</v>
      </c>
      <c r="E80">
        <v>234</v>
      </c>
      <c r="F80">
        <v>4</v>
      </c>
      <c r="G80">
        <v>8.1951185883330294E-3</v>
      </c>
      <c r="H80">
        <v>0.53268270824164698</v>
      </c>
      <c r="I80" t="s">
        <v>6740</v>
      </c>
    </row>
    <row r="81" spans="1:9" x14ac:dyDescent="0.25">
      <c r="A81" t="s">
        <v>948</v>
      </c>
      <c r="C81" s="3" t="str">
        <f>HYPERLINK("http://amigo.geneontology.org/amigo/term/GO:0140102","GO:0140102")</f>
        <v>GO:0140102</v>
      </c>
      <c r="D81" t="s">
        <v>6741</v>
      </c>
      <c r="E81">
        <v>123</v>
      </c>
      <c r="F81">
        <v>3</v>
      </c>
      <c r="G81">
        <v>8.3493889451562008E-3</v>
      </c>
      <c r="H81">
        <v>0.53436089248999696</v>
      </c>
      <c r="I81" t="s">
        <v>6728</v>
      </c>
    </row>
    <row r="82" spans="1:9" x14ac:dyDescent="0.25">
      <c r="A82" t="s">
        <v>4530</v>
      </c>
      <c r="C82" s="3" t="str">
        <f>HYPERLINK("http://amigo.geneontology.org/amigo/term/GO:0048440","GO:0048440")</f>
        <v>GO:0048440</v>
      </c>
      <c r="D82" t="s">
        <v>6742</v>
      </c>
      <c r="E82">
        <v>124</v>
      </c>
      <c r="F82">
        <v>3</v>
      </c>
      <c r="G82">
        <v>8.5355787362190599E-3</v>
      </c>
      <c r="H82">
        <v>0.53774146038180104</v>
      </c>
      <c r="I82" t="s">
        <v>6146</v>
      </c>
    </row>
    <row r="83" spans="1:9" x14ac:dyDescent="0.25">
      <c r="A83" t="s">
        <v>954</v>
      </c>
      <c r="C83" s="3" t="str">
        <f>HYPERLINK("http://amigo.geneontology.org/amigo/term/GO:0044281","GO:0044281")</f>
        <v>GO:0044281</v>
      </c>
      <c r="D83" t="s">
        <v>4410</v>
      </c>
      <c r="E83">
        <v>4478</v>
      </c>
      <c r="F83">
        <v>25</v>
      </c>
      <c r="G83">
        <v>8.8780735303539103E-3</v>
      </c>
      <c r="H83">
        <v>0.55044055888194199</v>
      </c>
      <c r="I83" t="s">
        <v>6743</v>
      </c>
    </row>
    <row r="84" spans="1:9" x14ac:dyDescent="0.25">
      <c r="A84" t="s">
        <v>984</v>
      </c>
      <c r="C84" s="3" t="str">
        <f>HYPERLINK("http://amigo.geneontology.org/amigo/term/GO:0044262","GO:0044262")</f>
        <v>GO:0044262</v>
      </c>
      <c r="D84" t="s">
        <v>237</v>
      </c>
      <c r="E84">
        <v>1040</v>
      </c>
      <c r="F84">
        <v>9</v>
      </c>
      <c r="G84">
        <v>8.9412671354292001E-3</v>
      </c>
      <c r="H84">
        <v>0.54541729526118099</v>
      </c>
      <c r="I84" t="s">
        <v>6744</v>
      </c>
    </row>
    <row r="85" spans="1:9" x14ac:dyDescent="0.25">
      <c r="A85" t="s">
        <v>6300</v>
      </c>
      <c r="C85" s="3" t="str">
        <f>HYPERLINK("http://amigo.geneontology.org/amigo/term/GO:0051510","GO:0051510")</f>
        <v>GO:0051510</v>
      </c>
      <c r="D85" t="s">
        <v>6117</v>
      </c>
      <c r="E85">
        <v>43</v>
      </c>
      <c r="F85">
        <v>2</v>
      </c>
      <c r="G85">
        <v>9.2069636226970591E-3</v>
      </c>
      <c r="H85">
        <v>0.56162478098452095</v>
      </c>
      <c r="I85" t="s">
        <v>6717</v>
      </c>
    </row>
    <row r="86" spans="1:9" x14ac:dyDescent="0.25">
      <c r="A86" t="s">
        <v>6301</v>
      </c>
      <c r="C86" s="3" t="str">
        <f>HYPERLINK("http://amigo.geneontology.org/amigo/term/GO:0046527","GO:0046527")</f>
        <v>GO:0046527</v>
      </c>
      <c r="D86" t="s">
        <v>234</v>
      </c>
      <c r="E86">
        <v>380</v>
      </c>
      <c r="F86">
        <v>5</v>
      </c>
      <c r="G86">
        <v>9.4368804457194509E-3</v>
      </c>
      <c r="H86">
        <v>0.56621282674316697</v>
      </c>
      <c r="I86" t="s">
        <v>6745</v>
      </c>
    </row>
    <row r="87" spans="1:9" x14ac:dyDescent="0.25">
      <c r="A87" t="s">
        <v>5935</v>
      </c>
      <c r="C87" s="3" t="str">
        <f>HYPERLINK("http://amigo.geneontology.org/amigo/term/GO:0048467","GO:0048467")</f>
        <v>GO:0048467</v>
      </c>
      <c r="D87" t="s">
        <v>6746</v>
      </c>
      <c r="E87">
        <v>129</v>
      </c>
      <c r="F87">
        <v>3</v>
      </c>
      <c r="G87">
        <v>9.5030341563909198E-3</v>
      </c>
      <c r="H87">
        <v>0.56067901522706398</v>
      </c>
      <c r="I87" t="s">
        <v>6146</v>
      </c>
    </row>
    <row r="88" spans="1:9" x14ac:dyDescent="0.25">
      <c r="A88" t="s">
        <v>6321</v>
      </c>
      <c r="C88" s="3" t="str">
        <f>HYPERLINK("http://amigo.geneontology.org/amigo/term/GO:0004512","GO:0004512")</f>
        <v>GO:0004512</v>
      </c>
      <c r="D88" t="s">
        <v>4234</v>
      </c>
      <c r="E88">
        <v>3</v>
      </c>
      <c r="F88">
        <v>1</v>
      </c>
      <c r="G88">
        <v>1.00082009464817E-2</v>
      </c>
      <c r="H88">
        <v>0.580475654895939</v>
      </c>
      <c r="I88" t="s">
        <v>6295</v>
      </c>
    </row>
    <row r="89" spans="1:9" x14ac:dyDescent="0.25">
      <c r="A89" t="s">
        <v>6325</v>
      </c>
      <c r="C89" s="3" t="str">
        <f>HYPERLINK("http://amigo.geneontology.org/amigo/term/GO:0044036","GO:0044036")</f>
        <v>GO:0044036</v>
      </c>
      <c r="D89" t="s">
        <v>828</v>
      </c>
      <c r="E89">
        <v>388</v>
      </c>
      <c r="F89">
        <v>5</v>
      </c>
      <c r="G89">
        <v>1.02580887561612E-2</v>
      </c>
      <c r="H89">
        <v>0.58471105910119203</v>
      </c>
      <c r="I89" t="s">
        <v>6747</v>
      </c>
    </row>
    <row r="90" spans="1:9" x14ac:dyDescent="0.25">
      <c r="A90" t="s">
        <v>4547</v>
      </c>
      <c r="C90" s="3" t="str">
        <f>HYPERLINK("http://amigo.geneontology.org/amigo/term/GO:0048366","GO:0048366")</f>
        <v>GO:0048366</v>
      </c>
      <c r="D90" t="s">
        <v>6748</v>
      </c>
      <c r="E90">
        <v>254</v>
      </c>
      <c r="F90">
        <v>4</v>
      </c>
      <c r="G90">
        <v>1.08286591609148E-2</v>
      </c>
      <c r="H90">
        <v>0.61723357217214903</v>
      </c>
      <c r="I90" t="s">
        <v>6091</v>
      </c>
    </row>
    <row r="91" spans="1:9" x14ac:dyDescent="0.25">
      <c r="A91" t="s">
        <v>4548</v>
      </c>
      <c r="C91" s="3" t="str">
        <f>HYPERLINK("http://amigo.geneontology.org/amigo/term/GO:0019400","GO:0019400")</f>
        <v>GO:0019400</v>
      </c>
      <c r="D91" t="s">
        <v>958</v>
      </c>
      <c r="E91">
        <v>47</v>
      </c>
      <c r="F91">
        <v>2</v>
      </c>
      <c r="G91">
        <v>1.09256653948204E-2</v>
      </c>
      <c r="H91">
        <v>0.60091159671512695</v>
      </c>
      <c r="I91" t="s">
        <v>6739</v>
      </c>
    </row>
    <row r="92" spans="1:9" x14ac:dyDescent="0.25">
      <c r="A92" t="s">
        <v>6328</v>
      </c>
      <c r="C92" s="3" t="str">
        <f>HYPERLINK("http://amigo.geneontology.org/amigo/term/GO:0006071","GO:0006071")</f>
        <v>GO:0006071</v>
      </c>
      <c r="D92" t="s">
        <v>960</v>
      </c>
      <c r="E92">
        <v>47</v>
      </c>
      <c r="F92">
        <v>2</v>
      </c>
      <c r="G92">
        <v>1.09256653948204E-2</v>
      </c>
      <c r="H92">
        <v>0.61183726210994704</v>
      </c>
      <c r="I92" t="s">
        <v>6739</v>
      </c>
    </row>
    <row r="93" spans="1:9" x14ac:dyDescent="0.25">
      <c r="A93" t="s">
        <v>6332</v>
      </c>
      <c r="C93" s="3" t="str">
        <f>HYPERLINK("http://amigo.geneontology.org/amigo/term/GO:0006730","GO:0006730")</f>
        <v>GO:0006730</v>
      </c>
      <c r="D93" t="s">
        <v>6194</v>
      </c>
      <c r="E93">
        <v>48</v>
      </c>
      <c r="F93">
        <v>2</v>
      </c>
      <c r="G93">
        <v>1.13757579195815E-2</v>
      </c>
      <c r="H93">
        <v>0.62566668557698202</v>
      </c>
      <c r="I93" t="s">
        <v>6736</v>
      </c>
    </row>
    <row r="94" spans="1:9" x14ac:dyDescent="0.25">
      <c r="A94" t="s">
        <v>2665</v>
      </c>
      <c r="C94" s="3" t="str">
        <f>HYPERLINK("http://amigo.geneontology.org/amigo/term/GO:0010073","GO:0010073")</f>
        <v>GO:0010073</v>
      </c>
      <c r="D94" t="s">
        <v>6749</v>
      </c>
      <c r="E94">
        <v>138</v>
      </c>
      <c r="F94">
        <v>3</v>
      </c>
      <c r="G94">
        <v>1.13996488544708E-2</v>
      </c>
      <c r="H94">
        <v>0.61558103814142395</v>
      </c>
      <c r="I94" t="s">
        <v>6723</v>
      </c>
    </row>
    <row r="95" spans="1:9" x14ac:dyDescent="0.25">
      <c r="A95" t="s">
        <v>5938</v>
      </c>
      <c r="C95" s="3" t="str">
        <f>HYPERLINK("http://amigo.geneontology.org/amigo/term/GO:0042743","GO:0042743")</f>
        <v>GO:0042743</v>
      </c>
      <c r="D95" t="s">
        <v>1237</v>
      </c>
      <c r="E95">
        <v>259</v>
      </c>
      <c r="F95">
        <v>4</v>
      </c>
      <c r="G95">
        <v>1.1562794024716201E-2</v>
      </c>
      <c r="H95">
        <v>0.61282808330995897</v>
      </c>
      <c r="I95" t="s">
        <v>6740</v>
      </c>
    </row>
    <row r="96" spans="1:9" x14ac:dyDescent="0.25">
      <c r="A96" t="s">
        <v>5167</v>
      </c>
      <c r="C96" s="3" t="str">
        <f>HYPERLINK("http://amigo.geneontology.org/amigo/term/GO:0010016","GO:0010016")</f>
        <v>GO:0010016</v>
      </c>
      <c r="D96" t="s">
        <v>6750</v>
      </c>
      <c r="E96">
        <v>259</v>
      </c>
      <c r="F96">
        <v>4</v>
      </c>
      <c r="G96">
        <v>1.1562794024716201E-2</v>
      </c>
      <c r="H96">
        <v>0.61282808330995897</v>
      </c>
      <c r="I96" t="s">
        <v>6091</v>
      </c>
    </row>
    <row r="97" spans="1:9" x14ac:dyDescent="0.25">
      <c r="A97" t="s">
        <v>6343</v>
      </c>
      <c r="C97" s="3" t="str">
        <f>HYPERLINK("http://amigo.geneontology.org/amigo/term/GO:0008289","GO:0008289")</f>
        <v>GO:0008289</v>
      </c>
      <c r="D97" t="s">
        <v>745</v>
      </c>
      <c r="E97">
        <v>400</v>
      </c>
      <c r="F97">
        <v>5</v>
      </c>
      <c r="G97">
        <v>1.15797288024848E-2</v>
      </c>
      <c r="H97">
        <v>0.60214589772921001</v>
      </c>
      <c r="I97" t="s">
        <v>6751</v>
      </c>
    </row>
    <row r="98" spans="1:9" x14ac:dyDescent="0.25">
      <c r="A98" t="s">
        <v>5178</v>
      </c>
      <c r="C98" s="3" t="str">
        <f>HYPERLINK("http://amigo.geneontology.org/amigo/term/GO:0001558","GO:0001558")</f>
        <v>GO:0001558</v>
      </c>
      <c r="D98" t="s">
        <v>6130</v>
      </c>
      <c r="E98">
        <v>49</v>
      </c>
      <c r="F98">
        <v>2</v>
      </c>
      <c r="G98">
        <v>1.1833899247057999E-2</v>
      </c>
      <c r="H98">
        <v>0.603528861599961</v>
      </c>
      <c r="I98" t="s">
        <v>6717</v>
      </c>
    </row>
    <row r="99" spans="1:9" x14ac:dyDescent="0.25">
      <c r="A99" t="s">
        <v>6354</v>
      </c>
      <c r="C99" s="3" t="str">
        <f>HYPERLINK("http://amigo.geneontology.org/amigo/term/GO:0019751","GO:0019751")</f>
        <v>GO:0019751</v>
      </c>
      <c r="D99" t="s">
        <v>83</v>
      </c>
      <c r="E99">
        <v>142</v>
      </c>
      <c r="F99">
        <v>3</v>
      </c>
      <c r="G99">
        <v>1.23074552637503E-2</v>
      </c>
      <c r="H99">
        <v>0.62768021845126598</v>
      </c>
      <c r="I99" t="s">
        <v>6752</v>
      </c>
    </row>
    <row r="100" spans="1:9" x14ac:dyDescent="0.25">
      <c r="A100" t="s">
        <v>6362</v>
      </c>
      <c r="C100" s="3" t="str">
        <f>HYPERLINK("http://amigo.geneontology.org/amigo/term/GO:0022604","GO:0022604")</f>
        <v>GO:0022604</v>
      </c>
      <c r="D100" t="s">
        <v>6131</v>
      </c>
      <c r="E100">
        <v>51</v>
      </c>
      <c r="F100">
        <v>2</v>
      </c>
      <c r="G100">
        <v>1.27740946478103E-2</v>
      </c>
      <c r="H100">
        <v>0.63870473239051595</v>
      </c>
      <c r="I100" t="s">
        <v>6717</v>
      </c>
    </row>
    <row r="101" spans="1:9" x14ac:dyDescent="0.25">
      <c r="A101" t="s">
        <v>4571</v>
      </c>
      <c r="C101" s="3" t="str">
        <f>HYPERLINK("http://amigo.geneontology.org/amigo/term/GO:0009058","GO:0009058")</f>
        <v>GO:0009058</v>
      </c>
      <c r="D101" t="s">
        <v>5724</v>
      </c>
      <c r="E101">
        <v>8848</v>
      </c>
      <c r="F101">
        <v>42</v>
      </c>
      <c r="G101">
        <v>1.2788176042230899E-2</v>
      </c>
      <c r="H101">
        <v>0.63940880211154705</v>
      </c>
      <c r="I101" t="s">
        <v>6753</v>
      </c>
    </row>
    <row r="102" spans="1:9" x14ac:dyDescent="0.25">
      <c r="A102" t="s">
        <v>6370</v>
      </c>
      <c r="C102" s="3" t="str">
        <f>HYPERLINK("http://amigo.geneontology.org/amigo/term/GO:0010410","GO:0010410")</f>
        <v>GO:0010410</v>
      </c>
      <c r="D102" t="s">
        <v>624</v>
      </c>
      <c r="E102">
        <v>267</v>
      </c>
      <c r="F102">
        <v>4</v>
      </c>
      <c r="G102">
        <v>1.28026071962947E-2</v>
      </c>
      <c r="H102">
        <v>0.62732775261844398</v>
      </c>
      <c r="I102" t="s">
        <v>6722</v>
      </c>
    </row>
    <row r="103" spans="1:9" x14ac:dyDescent="0.25">
      <c r="A103" t="s">
        <v>6371</v>
      </c>
      <c r="C103" s="3" t="str">
        <f>HYPERLINK("http://amigo.geneontology.org/amigo/term/GO:0043433","GO:0043433")</f>
        <v>GO:0043433</v>
      </c>
      <c r="D103" t="s">
        <v>6327</v>
      </c>
      <c r="E103">
        <v>4</v>
      </c>
      <c r="F103">
        <v>1</v>
      </c>
      <c r="G103">
        <v>1.33220455175392E-2</v>
      </c>
      <c r="H103">
        <v>0.65278023035942201</v>
      </c>
      <c r="I103" t="s">
        <v>6237</v>
      </c>
    </row>
    <row r="104" spans="1:9" x14ac:dyDescent="0.25">
      <c r="A104" t="s">
        <v>1151</v>
      </c>
      <c r="C104" s="3" t="str">
        <f>HYPERLINK("http://amigo.geneontology.org/amigo/term/GO:0010383","GO:0010383")</f>
        <v>GO:0010383</v>
      </c>
      <c r="D104" t="s">
        <v>638</v>
      </c>
      <c r="E104">
        <v>272</v>
      </c>
      <c r="F104">
        <v>4</v>
      </c>
      <c r="G104">
        <v>1.3618923974070701E-2</v>
      </c>
      <c r="H104">
        <v>0.65370835075539502</v>
      </c>
      <c r="I104" t="s">
        <v>6722</v>
      </c>
    </row>
    <row r="105" spans="1:9" x14ac:dyDescent="0.25">
      <c r="A105" t="s">
        <v>5643</v>
      </c>
      <c r="C105" s="3" t="str">
        <f>HYPERLINK("http://amigo.geneontology.org/amigo/term/GO:0004144","GO:0004144")</f>
        <v>GO:0004144</v>
      </c>
      <c r="D105" t="s">
        <v>748</v>
      </c>
      <c r="E105">
        <v>57</v>
      </c>
      <c r="F105">
        <v>2</v>
      </c>
      <c r="G105">
        <v>1.57818304272642E-2</v>
      </c>
      <c r="H105">
        <v>0.75752786050868204</v>
      </c>
      <c r="I105" t="s">
        <v>6754</v>
      </c>
    </row>
    <row r="106" spans="1:9" x14ac:dyDescent="0.25">
      <c r="A106" t="s">
        <v>6376</v>
      </c>
      <c r="C106" s="3" t="str">
        <f>HYPERLINK("http://amigo.geneontology.org/amigo/term/GO:0004713","GO:0004713")</f>
        <v>GO:0004713</v>
      </c>
      <c r="D106" t="s">
        <v>6755</v>
      </c>
      <c r="E106">
        <v>156</v>
      </c>
      <c r="F106">
        <v>3</v>
      </c>
      <c r="G106">
        <v>1.5803831771917298E-2</v>
      </c>
      <c r="H106">
        <v>0.74278009328011596</v>
      </c>
      <c r="I106" t="s">
        <v>6756</v>
      </c>
    </row>
    <row r="107" spans="1:9" x14ac:dyDescent="0.25">
      <c r="A107" t="s">
        <v>6377</v>
      </c>
      <c r="C107" s="3" t="str">
        <f>HYPERLINK("http://amigo.geneontology.org/amigo/term/GO:0016799","GO:0016799")</f>
        <v>GO:0016799</v>
      </c>
      <c r="D107" t="s">
        <v>5953</v>
      </c>
      <c r="E107">
        <v>159</v>
      </c>
      <c r="F107">
        <v>3</v>
      </c>
      <c r="G107">
        <v>1.66181923695757E-2</v>
      </c>
      <c r="H107">
        <v>0.78105504137005799</v>
      </c>
      <c r="I107" t="s">
        <v>6728</v>
      </c>
    </row>
    <row r="108" spans="1:9" x14ac:dyDescent="0.25">
      <c r="A108" t="s">
        <v>5657</v>
      </c>
      <c r="C108" s="3" t="str">
        <f>HYPERLINK("http://amigo.geneontology.org/amigo/term/GO:0005618","GO:0005618")</f>
        <v>GO:0005618</v>
      </c>
      <c r="D108" t="s">
        <v>218</v>
      </c>
      <c r="E108">
        <v>446</v>
      </c>
      <c r="F108">
        <v>5</v>
      </c>
      <c r="G108">
        <v>1.7711604437379298E-2</v>
      </c>
      <c r="H108">
        <v>0.81473380411945195</v>
      </c>
      <c r="I108" t="s">
        <v>6757</v>
      </c>
    </row>
    <row r="109" spans="1:9" x14ac:dyDescent="0.25">
      <c r="A109" t="s">
        <v>1203</v>
      </c>
      <c r="C109" s="3" t="str">
        <f>HYPERLINK("http://amigo.geneontology.org/amigo/term/GO:0030312","GO:0030312")</f>
        <v>GO:0030312</v>
      </c>
      <c r="D109" t="s">
        <v>209</v>
      </c>
      <c r="E109">
        <v>450</v>
      </c>
      <c r="F109">
        <v>5</v>
      </c>
      <c r="G109">
        <v>1.8329063546145601E-2</v>
      </c>
      <c r="H109">
        <v>0.84313692312270105</v>
      </c>
      <c r="I109" t="s">
        <v>6757</v>
      </c>
    </row>
    <row r="110" spans="1:9" x14ac:dyDescent="0.25">
      <c r="A110" t="s">
        <v>49</v>
      </c>
      <c r="C110" s="3" t="str">
        <f>HYPERLINK("http://amigo.geneontology.org/amigo/term/GO:0044042","GO:0044042")</f>
        <v>GO:0044042</v>
      </c>
      <c r="D110" t="s">
        <v>365</v>
      </c>
      <c r="E110">
        <v>620</v>
      </c>
      <c r="F110">
        <v>6</v>
      </c>
      <c r="G110">
        <v>1.8768586271067901E-2</v>
      </c>
      <c r="H110">
        <v>0.84458638219805704</v>
      </c>
      <c r="I110" t="s">
        <v>6758</v>
      </c>
    </row>
    <row r="111" spans="1:9" x14ac:dyDescent="0.25">
      <c r="A111" t="s">
        <v>2779</v>
      </c>
      <c r="C111" s="3" t="str">
        <f>HYPERLINK("http://amigo.geneontology.org/amigo/term/GO:0006073","GO:0006073")</f>
        <v>GO:0006073</v>
      </c>
      <c r="D111" t="s">
        <v>368</v>
      </c>
      <c r="E111">
        <v>620</v>
      </c>
      <c r="F111">
        <v>6</v>
      </c>
      <c r="G111">
        <v>1.8768586271067901E-2</v>
      </c>
      <c r="H111">
        <v>0.84458638219805704</v>
      </c>
      <c r="I111" t="s">
        <v>6758</v>
      </c>
    </row>
    <row r="112" spans="1:9" x14ac:dyDescent="0.25">
      <c r="A112" t="s">
        <v>6381</v>
      </c>
      <c r="C112" s="3" t="str">
        <f>HYPERLINK("http://amigo.geneontology.org/amigo/term/GO:0019953","GO:0019953")</f>
        <v>GO:0019953</v>
      </c>
      <c r="D112" t="s">
        <v>831</v>
      </c>
      <c r="E112">
        <v>301</v>
      </c>
      <c r="F112">
        <v>4</v>
      </c>
      <c r="G112">
        <v>1.9003848814868701E-2</v>
      </c>
      <c r="H112">
        <v>0.83616934785422303</v>
      </c>
      <c r="I112" t="s">
        <v>6759</v>
      </c>
    </row>
    <row r="113" spans="1:9" x14ac:dyDescent="0.25">
      <c r="A113" t="s">
        <v>6760</v>
      </c>
      <c r="C113" s="3" t="str">
        <f>HYPERLINK("http://amigo.geneontology.org/amigo/term/GO:0016411","GO:0016411")</f>
        <v>GO:0016411</v>
      </c>
      <c r="D113" t="s">
        <v>794</v>
      </c>
      <c r="E113">
        <v>63</v>
      </c>
      <c r="F113">
        <v>2</v>
      </c>
      <c r="G113">
        <v>1.9060785994669299E-2</v>
      </c>
      <c r="H113">
        <v>0.83867458376545301</v>
      </c>
      <c r="I113" t="s">
        <v>6754</v>
      </c>
    </row>
    <row r="114" spans="1:9" x14ac:dyDescent="0.25">
      <c r="A114" t="s">
        <v>6384</v>
      </c>
      <c r="C114" s="3" t="str">
        <f>HYPERLINK("http://amigo.geneontology.org/amigo/term/GO:0044703","GO:0044703")</f>
        <v>GO:0044703</v>
      </c>
      <c r="D114" t="s">
        <v>834</v>
      </c>
      <c r="E114">
        <v>302</v>
      </c>
      <c r="F114">
        <v>4</v>
      </c>
      <c r="G114">
        <v>1.9209815788926901E-2</v>
      </c>
      <c r="H114">
        <v>0.82602207892385804</v>
      </c>
      <c r="I114" t="s">
        <v>6759</v>
      </c>
    </row>
    <row r="115" spans="1:9" x14ac:dyDescent="0.25">
      <c r="A115" t="s">
        <v>6385</v>
      </c>
      <c r="C115" s="3" t="str">
        <f>HYPERLINK("http://amigo.geneontology.org/amigo/term/GO:0016717","GO:0016717")</f>
        <v>GO:0016717</v>
      </c>
      <c r="D115" t="s">
        <v>475</v>
      </c>
      <c r="E115">
        <v>64</v>
      </c>
      <c r="F115">
        <v>2</v>
      </c>
      <c r="G115">
        <v>1.9632805535315899E-2</v>
      </c>
      <c r="H115">
        <v>0.84421063801858598</v>
      </c>
      <c r="I115" t="s">
        <v>6731</v>
      </c>
    </row>
    <row r="116" spans="1:9" x14ac:dyDescent="0.25">
      <c r="A116" t="s">
        <v>6386</v>
      </c>
      <c r="C116" s="3" t="str">
        <f>HYPERLINK("http://amigo.geneontology.org/amigo/term/GO:0010358","GO:0010358")</f>
        <v>GO:0010358</v>
      </c>
      <c r="D116" t="s">
        <v>6366</v>
      </c>
      <c r="E116">
        <v>6</v>
      </c>
      <c r="F116">
        <v>1</v>
      </c>
      <c r="G116">
        <v>1.9916622165964602E-2</v>
      </c>
      <c r="H116">
        <v>0.85641475313647797</v>
      </c>
      <c r="I116" t="s">
        <v>6237</v>
      </c>
    </row>
    <row r="117" spans="1:9" x14ac:dyDescent="0.25">
      <c r="A117" t="s">
        <v>6387</v>
      </c>
      <c r="C117" s="3" t="str">
        <f>HYPERLINK("http://amigo.geneontology.org/amigo/term/GO:0004175","GO:0004175")</f>
        <v>GO:0004175</v>
      </c>
      <c r="D117" t="s">
        <v>4314</v>
      </c>
      <c r="E117">
        <v>1198</v>
      </c>
      <c r="F117">
        <v>9</v>
      </c>
      <c r="G117">
        <v>2.0535220553334101E-2</v>
      </c>
      <c r="H117">
        <v>0.86247926324003599</v>
      </c>
      <c r="I117" t="s">
        <v>6761</v>
      </c>
    </row>
    <row r="118" spans="1:9" x14ac:dyDescent="0.25">
      <c r="A118" t="s">
        <v>6762</v>
      </c>
      <c r="C118" s="3" t="str">
        <f>HYPERLINK("http://amigo.geneontology.org/amigo/term/GO:0006814","GO:0006814")</f>
        <v>GO:0006814</v>
      </c>
      <c r="D118" t="s">
        <v>811</v>
      </c>
      <c r="E118">
        <v>66</v>
      </c>
      <c r="F118">
        <v>2</v>
      </c>
      <c r="G118">
        <v>2.0798235006217799E-2</v>
      </c>
      <c r="H118">
        <v>0.87352587026115003</v>
      </c>
      <c r="I118" t="s">
        <v>6763</v>
      </c>
    </row>
    <row r="119" spans="1:9" x14ac:dyDescent="0.25">
      <c r="A119" t="s">
        <v>5668</v>
      </c>
      <c r="C119" s="3" t="str">
        <f>HYPERLINK("http://amigo.geneontology.org/amigo/term/GO:0072593","GO:0072593")</f>
        <v>GO:0072593</v>
      </c>
      <c r="D119" t="s">
        <v>4212</v>
      </c>
      <c r="E119">
        <v>311</v>
      </c>
      <c r="F119">
        <v>4</v>
      </c>
      <c r="G119">
        <v>2.1125813127819901E-2</v>
      </c>
      <c r="H119">
        <v>0.86615833824061705</v>
      </c>
      <c r="I119" t="s">
        <v>6740</v>
      </c>
    </row>
    <row r="120" spans="1:9" x14ac:dyDescent="0.25">
      <c r="A120" t="s">
        <v>6392</v>
      </c>
      <c r="C120" s="3" t="str">
        <f>HYPERLINK("http://amigo.geneontology.org/amigo/term/GO:0042737","GO:0042737")</f>
        <v>GO:0042737</v>
      </c>
      <c r="D120" t="s">
        <v>1072</v>
      </c>
      <c r="E120">
        <v>473</v>
      </c>
      <c r="F120">
        <v>5</v>
      </c>
      <c r="G120">
        <v>2.2155390832159401E-2</v>
      </c>
      <c r="H120">
        <v>0.90837102411853499</v>
      </c>
      <c r="I120" t="s">
        <v>6764</v>
      </c>
    </row>
    <row r="121" spans="1:9" x14ac:dyDescent="0.25">
      <c r="A121" t="s">
        <v>4608</v>
      </c>
      <c r="C121" s="3" t="str">
        <f>HYPERLINK("http://amigo.geneontology.org/amigo/term/GO:0051090","GO:0051090")</f>
        <v>GO:0051090</v>
      </c>
      <c r="D121" t="s">
        <v>6765</v>
      </c>
      <c r="E121">
        <v>7</v>
      </c>
      <c r="F121">
        <v>1</v>
      </c>
      <c r="G121">
        <v>2.3197427527319799E-2</v>
      </c>
      <c r="H121">
        <v>0.95109452862011301</v>
      </c>
      <c r="I121" t="s">
        <v>6237</v>
      </c>
    </row>
    <row r="122" spans="1:9" x14ac:dyDescent="0.25">
      <c r="A122" t="s">
        <v>6766</v>
      </c>
      <c r="C122" s="3" t="str">
        <f>HYPERLINK("http://amigo.geneontology.org/amigo/term/GO:0003779","GO:0003779")</f>
        <v>GO:0003779</v>
      </c>
      <c r="D122" t="s">
        <v>329</v>
      </c>
      <c r="E122">
        <v>182</v>
      </c>
      <c r="F122">
        <v>3</v>
      </c>
      <c r="G122">
        <v>2.3632842987216199E-2</v>
      </c>
      <c r="H122">
        <v>0.94531371948864795</v>
      </c>
      <c r="I122" t="s">
        <v>6767</v>
      </c>
    </row>
    <row r="123" spans="1:9" x14ac:dyDescent="0.25">
      <c r="A123" t="s">
        <v>2853</v>
      </c>
      <c r="C123" s="3" t="str">
        <f>HYPERLINK("http://amigo.geneontology.org/amigo/term/GO:0016843","GO:0016843")</f>
        <v>GO:0016843</v>
      </c>
      <c r="D123" t="s">
        <v>6283</v>
      </c>
      <c r="E123">
        <v>71</v>
      </c>
      <c r="F123">
        <v>2</v>
      </c>
      <c r="G123">
        <v>2.3834091563934599E-2</v>
      </c>
      <c r="H123">
        <v>0.92952957099344902</v>
      </c>
      <c r="I123" t="s">
        <v>6768</v>
      </c>
    </row>
    <row r="124" spans="1:9" x14ac:dyDescent="0.25">
      <c r="A124" t="s">
        <v>1294</v>
      </c>
      <c r="C124" s="3" t="str">
        <f>HYPERLINK("http://amigo.geneontology.org/amigo/term/GO:0016844","GO:0016844")</f>
        <v>GO:0016844</v>
      </c>
      <c r="D124" t="s">
        <v>6285</v>
      </c>
      <c r="E124">
        <v>71</v>
      </c>
      <c r="F124">
        <v>2</v>
      </c>
      <c r="G124">
        <v>2.3834091563934599E-2</v>
      </c>
      <c r="H124">
        <v>0.95336366255738403</v>
      </c>
      <c r="I124" t="s">
        <v>6768</v>
      </c>
    </row>
    <row r="125" spans="1:9" x14ac:dyDescent="0.25">
      <c r="A125" t="s">
        <v>6769</v>
      </c>
      <c r="C125" s="3" t="str">
        <f>HYPERLINK("http://amigo.geneontology.org/amigo/term/GO:0016836","GO:0016836")</f>
        <v>GO:0016836</v>
      </c>
      <c r="D125" t="s">
        <v>6100</v>
      </c>
      <c r="E125">
        <v>189</v>
      </c>
      <c r="F125">
        <v>3</v>
      </c>
      <c r="G125">
        <v>2.6039251590688199E-2</v>
      </c>
      <c r="H125">
        <v>1</v>
      </c>
      <c r="I125" t="s">
        <v>6770</v>
      </c>
    </row>
    <row r="126" spans="1:9" x14ac:dyDescent="0.25">
      <c r="A126" t="s">
        <v>1308</v>
      </c>
      <c r="C126" s="3" t="str">
        <f>HYPERLINK("http://amigo.geneontology.org/amigo/term/GO:0046577","GO:0046577")</f>
        <v>GO:0046577</v>
      </c>
      <c r="D126" t="s">
        <v>6771</v>
      </c>
      <c r="E126">
        <v>8</v>
      </c>
      <c r="F126">
        <v>1</v>
      </c>
      <c r="G126">
        <v>2.6467292894908699E-2</v>
      </c>
      <c r="H126">
        <v>1</v>
      </c>
      <c r="I126" t="s">
        <v>6772</v>
      </c>
    </row>
    <row r="127" spans="1:9" x14ac:dyDescent="0.25">
      <c r="A127" t="s">
        <v>5212</v>
      </c>
      <c r="C127" s="3" t="str">
        <f>HYPERLINK("http://amigo.geneontology.org/amigo/term/GO:0050793","GO:0050793")</f>
        <v>GO:0050793</v>
      </c>
      <c r="D127" t="s">
        <v>6773</v>
      </c>
      <c r="E127">
        <v>500</v>
      </c>
      <c r="F127">
        <v>5</v>
      </c>
      <c r="G127">
        <v>2.72667286741562E-2</v>
      </c>
      <c r="H127">
        <v>1</v>
      </c>
      <c r="I127" t="s">
        <v>6711</v>
      </c>
    </row>
    <row r="128" spans="1:9" x14ac:dyDescent="0.25">
      <c r="A128" t="s">
        <v>5674</v>
      </c>
      <c r="C128" s="3" t="str">
        <f>HYPERLINK("http://amigo.geneontology.org/amigo/term/GO:0051187","GO:0051187")</f>
        <v>GO:0051187</v>
      </c>
      <c r="D128" t="s">
        <v>4229</v>
      </c>
      <c r="E128">
        <v>340</v>
      </c>
      <c r="F128">
        <v>4</v>
      </c>
      <c r="G128">
        <v>2.80764539187273E-2</v>
      </c>
      <c r="H128">
        <v>1</v>
      </c>
      <c r="I128" t="s">
        <v>6740</v>
      </c>
    </row>
    <row r="129" spans="1:9" x14ac:dyDescent="0.25">
      <c r="A129" t="s">
        <v>1319</v>
      </c>
      <c r="C129" s="3" t="str">
        <f>HYPERLINK("http://amigo.geneontology.org/amigo/term/GO:0008061","GO:0008061")</f>
        <v>GO:0008061</v>
      </c>
      <c r="D129" t="s">
        <v>6774</v>
      </c>
      <c r="E129">
        <v>78</v>
      </c>
      <c r="F129">
        <v>2</v>
      </c>
      <c r="G129">
        <v>2.8367494558586798E-2</v>
      </c>
      <c r="H129">
        <v>1</v>
      </c>
      <c r="I129" t="s">
        <v>6775</v>
      </c>
    </row>
    <row r="130" spans="1:9" x14ac:dyDescent="0.25">
      <c r="A130" t="s">
        <v>6400</v>
      </c>
      <c r="C130" s="3" t="str">
        <f>HYPERLINK("http://amigo.geneontology.org/amigo/term/GO:0022603","GO:0022603")</f>
        <v>GO:0022603</v>
      </c>
      <c r="D130" t="s">
        <v>6189</v>
      </c>
      <c r="E130">
        <v>80</v>
      </c>
      <c r="F130">
        <v>2</v>
      </c>
      <c r="G130">
        <v>2.9721282584586999E-2</v>
      </c>
      <c r="H130">
        <v>1</v>
      </c>
      <c r="I130" t="s">
        <v>6717</v>
      </c>
    </row>
    <row r="131" spans="1:9" x14ac:dyDescent="0.25">
      <c r="A131" t="s">
        <v>54</v>
      </c>
      <c r="C131" s="3" t="str">
        <f>HYPERLINK("http://amigo.geneontology.org/amigo/term/GO:0006021","GO:0006021")</f>
        <v>GO:0006021</v>
      </c>
      <c r="D131" t="s">
        <v>4336</v>
      </c>
      <c r="E131">
        <v>9</v>
      </c>
      <c r="F131">
        <v>1</v>
      </c>
      <c r="G131">
        <v>2.9726254609339298E-2</v>
      </c>
      <c r="H131">
        <v>1</v>
      </c>
      <c r="I131" t="s">
        <v>6295</v>
      </c>
    </row>
    <row r="132" spans="1:9" x14ac:dyDescent="0.25">
      <c r="A132" t="s">
        <v>2884</v>
      </c>
      <c r="C132" s="3" t="str">
        <f>HYPERLINK("http://amigo.geneontology.org/amigo/term/GO:0050832","GO:0050832")</f>
        <v>GO:0050832</v>
      </c>
      <c r="D132" t="s">
        <v>6776</v>
      </c>
      <c r="E132">
        <v>202</v>
      </c>
      <c r="F132">
        <v>3</v>
      </c>
      <c r="G132">
        <v>3.0843468655505701E-2</v>
      </c>
      <c r="H132">
        <v>1</v>
      </c>
      <c r="I132" t="s">
        <v>6777</v>
      </c>
    </row>
    <row r="133" spans="1:9" x14ac:dyDescent="0.25">
      <c r="A133" t="s">
        <v>5981</v>
      </c>
      <c r="C133" s="3" t="str">
        <f>HYPERLINK("http://amigo.geneontology.org/amigo/term/GO:0048046","GO:0048046")</f>
        <v>GO:0048046</v>
      </c>
      <c r="D133" t="s">
        <v>413</v>
      </c>
      <c r="E133">
        <v>357</v>
      </c>
      <c r="F133">
        <v>4</v>
      </c>
      <c r="G133">
        <v>3.2713377911466099E-2</v>
      </c>
      <c r="H133">
        <v>1</v>
      </c>
      <c r="I133" t="s">
        <v>6722</v>
      </c>
    </row>
    <row r="134" spans="1:9" x14ac:dyDescent="0.25">
      <c r="A134" t="s">
        <v>6402</v>
      </c>
      <c r="C134" s="3" t="str">
        <f>HYPERLINK("http://amigo.geneontology.org/amigo/term/GO:0006066","GO:0006066")</f>
        <v>GO:0006066</v>
      </c>
      <c r="D134" t="s">
        <v>87</v>
      </c>
      <c r="E134">
        <v>207</v>
      </c>
      <c r="F134">
        <v>3</v>
      </c>
      <c r="G134">
        <v>3.2806665836398699E-2</v>
      </c>
      <c r="H134">
        <v>1</v>
      </c>
      <c r="I134" t="s">
        <v>6752</v>
      </c>
    </row>
    <row r="135" spans="1:9" x14ac:dyDescent="0.25">
      <c r="A135" t="s">
        <v>4629</v>
      </c>
      <c r="C135" s="3" t="str">
        <f>HYPERLINK("http://amigo.geneontology.org/amigo/term/GO:0071944","GO:0071944")</f>
        <v>GO:0071944</v>
      </c>
      <c r="D135" t="s">
        <v>255</v>
      </c>
      <c r="E135">
        <v>1732</v>
      </c>
      <c r="F135">
        <v>11</v>
      </c>
      <c r="G135">
        <v>3.2863424352799299E-2</v>
      </c>
      <c r="H135">
        <v>1</v>
      </c>
      <c r="I135" t="s">
        <v>6778</v>
      </c>
    </row>
    <row r="136" spans="1:9" x14ac:dyDescent="0.25">
      <c r="A136" t="s">
        <v>6408</v>
      </c>
      <c r="C136" s="3" t="str">
        <f>HYPERLINK("http://amigo.geneontology.org/amigo/term/GO:0016298","GO:0016298")</f>
        <v>GO:0016298</v>
      </c>
      <c r="D136" t="s">
        <v>457</v>
      </c>
      <c r="E136">
        <v>209</v>
      </c>
      <c r="F136">
        <v>3</v>
      </c>
      <c r="G136">
        <v>3.3609798964897901E-2</v>
      </c>
      <c r="H136">
        <v>1</v>
      </c>
      <c r="I136" t="s">
        <v>6779</v>
      </c>
    </row>
    <row r="137" spans="1:9" x14ac:dyDescent="0.25">
      <c r="A137" t="s">
        <v>5992</v>
      </c>
      <c r="C137" s="3" t="str">
        <f>HYPERLINK("http://amigo.geneontology.org/amigo/term/GO:0034248","GO:0034248")</f>
        <v>GO:0034248</v>
      </c>
      <c r="D137" t="s">
        <v>6780</v>
      </c>
      <c r="E137">
        <v>214</v>
      </c>
      <c r="F137">
        <v>3</v>
      </c>
      <c r="G137">
        <v>3.5662083823742897E-2</v>
      </c>
      <c r="H137">
        <v>1</v>
      </c>
      <c r="I137" t="s">
        <v>6728</v>
      </c>
    </row>
    <row r="138" spans="1:9" x14ac:dyDescent="0.25">
      <c r="A138" t="s">
        <v>1452</v>
      </c>
      <c r="C138" s="3" t="str">
        <f>HYPERLINK("http://amigo.geneontology.org/amigo/term/GO:0006417","GO:0006417")</f>
        <v>GO:0006417</v>
      </c>
      <c r="D138" t="s">
        <v>6781</v>
      </c>
      <c r="E138">
        <v>214</v>
      </c>
      <c r="F138">
        <v>3</v>
      </c>
      <c r="G138">
        <v>3.5662083823742897E-2</v>
      </c>
      <c r="H138">
        <v>1</v>
      </c>
      <c r="I138" t="s">
        <v>6728</v>
      </c>
    </row>
    <row r="139" spans="1:9" x14ac:dyDescent="0.25">
      <c r="A139" t="s">
        <v>2981</v>
      </c>
      <c r="C139" s="3" t="str">
        <f>HYPERLINK("http://amigo.geneontology.org/amigo/term/GO:1905392","GO:1905392")</f>
        <v>GO:1905392</v>
      </c>
      <c r="D139" t="s">
        <v>6782</v>
      </c>
      <c r="E139">
        <v>375</v>
      </c>
      <c r="F139">
        <v>4</v>
      </c>
      <c r="G139">
        <v>3.8083024527664197E-2</v>
      </c>
      <c r="H139">
        <v>1</v>
      </c>
      <c r="I139" t="s">
        <v>6091</v>
      </c>
    </row>
    <row r="140" spans="1:9" x14ac:dyDescent="0.25">
      <c r="A140" t="s">
        <v>6003</v>
      </c>
      <c r="C140" s="3" t="str">
        <f>HYPERLINK("http://amigo.geneontology.org/amigo/term/GO:0048507","GO:0048507")</f>
        <v>GO:0048507</v>
      </c>
      <c r="D140" t="s">
        <v>6783</v>
      </c>
      <c r="E140">
        <v>220</v>
      </c>
      <c r="F140">
        <v>3</v>
      </c>
      <c r="G140">
        <v>3.8208228279261201E-2</v>
      </c>
      <c r="H140">
        <v>1</v>
      </c>
      <c r="I140" t="s">
        <v>6723</v>
      </c>
    </row>
    <row r="141" spans="1:9" x14ac:dyDescent="0.25">
      <c r="A141" t="s">
        <v>6426</v>
      </c>
      <c r="C141" s="3" t="str">
        <f>HYPERLINK("http://amigo.geneontology.org/amigo/term/GO:0004084","GO:0004084")</f>
        <v>GO:0004084</v>
      </c>
      <c r="D141" t="s">
        <v>1025</v>
      </c>
      <c r="E141">
        <v>12</v>
      </c>
      <c r="F141">
        <v>1</v>
      </c>
      <c r="G141">
        <v>3.9438079425206503E-2</v>
      </c>
      <c r="H141">
        <v>1</v>
      </c>
      <c r="I141" t="s">
        <v>3238</v>
      </c>
    </row>
    <row r="142" spans="1:9" x14ac:dyDescent="0.25">
      <c r="A142" t="s">
        <v>6428</v>
      </c>
      <c r="C142" s="3" t="str">
        <f>HYPERLINK("http://amigo.geneontology.org/amigo/term/GO:0044264","GO:0044264")</f>
        <v>GO:0044264</v>
      </c>
      <c r="D142" t="s">
        <v>469</v>
      </c>
      <c r="E142">
        <v>745</v>
      </c>
      <c r="F142">
        <v>6</v>
      </c>
      <c r="G142">
        <v>4.0516912481517703E-2</v>
      </c>
      <c r="H142">
        <v>1</v>
      </c>
      <c r="I142" t="s">
        <v>6758</v>
      </c>
    </row>
    <row r="143" spans="1:9" x14ac:dyDescent="0.25">
      <c r="A143" t="s">
        <v>6430</v>
      </c>
      <c r="C143" s="3" t="str">
        <f>HYPERLINK("http://amigo.geneontology.org/amigo/term/GO:0051248","GO:0051248")</f>
        <v>GO:0051248</v>
      </c>
      <c r="D143" t="s">
        <v>6227</v>
      </c>
      <c r="E143">
        <v>228</v>
      </c>
      <c r="F143">
        <v>3</v>
      </c>
      <c r="G143">
        <v>4.17434478689966E-2</v>
      </c>
      <c r="H143">
        <v>1</v>
      </c>
      <c r="I143" t="s">
        <v>6728</v>
      </c>
    </row>
    <row r="144" spans="1:9" x14ac:dyDescent="0.25">
      <c r="A144" t="s">
        <v>5234</v>
      </c>
      <c r="C144" s="3" t="str">
        <f>HYPERLINK("http://amigo.geneontology.org/amigo/term/GO:0032269","GO:0032269")</f>
        <v>GO:0032269</v>
      </c>
      <c r="D144" t="s">
        <v>6230</v>
      </c>
      <c r="E144">
        <v>228</v>
      </c>
      <c r="F144">
        <v>3</v>
      </c>
      <c r="G144">
        <v>4.17434478689966E-2</v>
      </c>
      <c r="H144">
        <v>1</v>
      </c>
      <c r="I144" t="s">
        <v>6728</v>
      </c>
    </row>
    <row r="145" spans="1:9" x14ac:dyDescent="0.25">
      <c r="A145" t="s">
        <v>5237</v>
      </c>
      <c r="C145" s="3" t="str">
        <f>HYPERLINK("http://amigo.geneontology.org/amigo/term/GO:0070011","GO:0070011")</f>
        <v>GO:0070011</v>
      </c>
      <c r="D145" t="s">
        <v>151</v>
      </c>
      <c r="E145">
        <v>2258</v>
      </c>
      <c r="F145">
        <v>13</v>
      </c>
      <c r="G145">
        <v>4.2073179574859197E-2</v>
      </c>
      <c r="H145">
        <v>1</v>
      </c>
      <c r="I145" t="s">
        <v>6784</v>
      </c>
    </row>
    <row r="146" spans="1:9" x14ac:dyDescent="0.25">
      <c r="A146" t="s">
        <v>4677</v>
      </c>
      <c r="C146" s="3" t="str">
        <f>HYPERLINK("http://amigo.geneontology.org/amigo/term/GO:0009211","GO:0009211")</f>
        <v>GO:0009211</v>
      </c>
      <c r="D146" t="s">
        <v>6785</v>
      </c>
      <c r="E146">
        <v>13</v>
      </c>
      <c r="F146">
        <v>1</v>
      </c>
      <c r="G146">
        <v>4.2653787517426399E-2</v>
      </c>
      <c r="H146">
        <v>1</v>
      </c>
      <c r="I146" t="s">
        <v>2853</v>
      </c>
    </row>
    <row r="147" spans="1:9" x14ac:dyDescent="0.25">
      <c r="A147" t="s">
        <v>3052</v>
      </c>
      <c r="C147" s="3" t="str">
        <f>HYPERLINK("http://amigo.geneontology.org/amigo/term/GO:0046080","GO:0046080")</f>
        <v>GO:0046080</v>
      </c>
      <c r="D147" t="s">
        <v>6786</v>
      </c>
      <c r="E147">
        <v>13</v>
      </c>
      <c r="F147">
        <v>1</v>
      </c>
      <c r="G147">
        <v>4.2653787517426399E-2</v>
      </c>
      <c r="H147">
        <v>1</v>
      </c>
      <c r="I147" t="s">
        <v>2853</v>
      </c>
    </row>
    <row r="148" spans="1:9" x14ac:dyDescent="0.25">
      <c r="A148" t="s">
        <v>6787</v>
      </c>
      <c r="C148" s="3" t="str">
        <f>HYPERLINK("http://amigo.geneontology.org/amigo/term/GO:0010166","GO:0010166")</f>
        <v>GO:0010166</v>
      </c>
      <c r="D148" t="s">
        <v>6788</v>
      </c>
      <c r="E148">
        <v>13</v>
      </c>
      <c r="F148">
        <v>1</v>
      </c>
      <c r="G148">
        <v>4.2653787517426399E-2</v>
      </c>
      <c r="H148">
        <v>1</v>
      </c>
      <c r="I148" t="s">
        <v>3733</v>
      </c>
    </row>
    <row r="149" spans="1:9" x14ac:dyDescent="0.25">
      <c r="A149" t="s">
        <v>6789</v>
      </c>
      <c r="C149" s="3" t="str">
        <f>HYPERLINK("http://amigo.geneontology.org/amigo/term/GO:0010025","GO:0010025")</f>
        <v>GO:0010025</v>
      </c>
      <c r="D149" t="s">
        <v>6790</v>
      </c>
      <c r="E149">
        <v>13</v>
      </c>
      <c r="F149">
        <v>1</v>
      </c>
      <c r="G149">
        <v>4.2653787517426399E-2</v>
      </c>
      <c r="H149">
        <v>1</v>
      </c>
      <c r="I149" t="s">
        <v>3733</v>
      </c>
    </row>
    <row r="150" spans="1:9" x14ac:dyDescent="0.25">
      <c r="A150" t="s">
        <v>1577</v>
      </c>
      <c r="C150" s="3" t="str">
        <f>HYPERLINK("http://amigo.geneontology.org/amigo/term/GO:0006020","GO:0006020")</f>
        <v>GO:0006020</v>
      </c>
      <c r="D150" t="s">
        <v>4400</v>
      </c>
      <c r="E150">
        <v>14</v>
      </c>
      <c r="F150">
        <v>1</v>
      </c>
      <c r="G150">
        <v>4.5858771853619702E-2</v>
      </c>
      <c r="H150">
        <v>1</v>
      </c>
      <c r="I150" t="s">
        <v>6295</v>
      </c>
    </row>
    <row r="151" spans="1:9" x14ac:dyDescent="0.25">
      <c r="A151" t="s">
        <v>4681</v>
      </c>
      <c r="C151" s="3" t="str">
        <f>HYPERLINK("http://amigo.geneontology.org/amigo/term/GO:0042546","GO:0042546")</f>
        <v>GO:0042546</v>
      </c>
      <c r="D151" t="s">
        <v>648</v>
      </c>
      <c r="E151">
        <v>399</v>
      </c>
      <c r="F151">
        <v>4</v>
      </c>
      <c r="G151">
        <v>4.5982564271142098E-2</v>
      </c>
      <c r="H151">
        <v>1</v>
      </c>
      <c r="I151" t="s">
        <v>6722</v>
      </c>
    </row>
    <row r="152" spans="1:9" x14ac:dyDescent="0.25">
      <c r="A152" t="s">
        <v>6438</v>
      </c>
    </row>
    <row r="153" spans="1:9" x14ac:dyDescent="0.25">
      <c r="A153" t="s">
        <v>6439</v>
      </c>
    </row>
    <row r="154" spans="1:9" x14ac:dyDescent="0.25">
      <c r="A154" t="s">
        <v>4687</v>
      </c>
    </row>
    <row r="155" spans="1:9" x14ac:dyDescent="0.25">
      <c r="A155" t="s">
        <v>6441</v>
      </c>
    </row>
    <row r="156" spans="1:9" x14ac:dyDescent="0.25">
      <c r="A156" t="s">
        <v>5736</v>
      </c>
    </row>
    <row r="157" spans="1:9" x14ac:dyDescent="0.25">
      <c r="A157" t="s">
        <v>6445</v>
      </c>
    </row>
    <row r="158" spans="1:9" x14ac:dyDescent="0.25">
      <c r="A158" t="s">
        <v>4695</v>
      </c>
    </row>
    <row r="159" spans="1:9" x14ac:dyDescent="0.25">
      <c r="A159" t="s">
        <v>5257</v>
      </c>
    </row>
    <row r="160" spans="1:9" x14ac:dyDescent="0.25">
      <c r="A160" t="s">
        <v>5739</v>
      </c>
    </row>
    <row r="161" spans="1:1" x14ac:dyDescent="0.25">
      <c r="A161" t="s">
        <v>1603</v>
      </c>
    </row>
    <row r="162" spans="1:1" x14ac:dyDescent="0.25">
      <c r="A162" t="s">
        <v>6791</v>
      </c>
    </row>
    <row r="163" spans="1:1" x14ac:dyDescent="0.25">
      <c r="A163" t="s">
        <v>6450</v>
      </c>
    </row>
    <row r="164" spans="1:1" x14ac:dyDescent="0.25">
      <c r="A164" t="s">
        <v>6451</v>
      </c>
    </row>
    <row r="165" spans="1:1" x14ac:dyDescent="0.25">
      <c r="A165" t="s">
        <v>5262</v>
      </c>
    </row>
    <row r="166" spans="1:1" x14ac:dyDescent="0.25">
      <c r="A166" t="s">
        <v>6454</v>
      </c>
    </row>
    <row r="167" spans="1:1" x14ac:dyDescent="0.25">
      <c r="A167" t="s">
        <v>3116</v>
      </c>
    </row>
    <row r="168" spans="1:1" x14ac:dyDescent="0.25">
      <c r="A168" t="s">
        <v>6457</v>
      </c>
    </row>
    <row r="169" spans="1:1" x14ac:dyDescent="0.25">
      <c r="A169" t="s">
        <v>1622</v>
      </c>
    </row>
    <row r="170" spans="1:1" x14ac:dyDescent="0.25">
      <c r="A170" t="s">
        <v>4711</v>
      </c>
    </row>
    <row r="171" spans="1:1" x14ac:dyDescent="0.25">
      <c r="A171" t="s">
        <v>6469</v>
      </c>
    </row>
    <row r="172" spans="1:1" x14ac:dyDescent="0.25">
      <c r="A172" t="s">
        <v>6471</v>
      </c>
    </row>
    <row r="173" spans="1:1" x14ac:dyDescent="0.25">
      <c r="A173" t="s">
        <v>3187</v>
      </c>
    </row>
    <row r="174" spans="1:1" x14ac:dyDescent="0.25">
      <c r="A174" t="s">
        <v>6472</v>
      </c>
    </row>
    <row r="175" spans="1:1" x14ac:dyDescent="0.25">
      <c r="A175" t="s">
        <v>6792</v>
      </c>
    </row>
    <row r="176" spans="1:1" x14ac:dyDescent="0.25">
      <c r="A176" t="s">
        <v>6793</v>
      </c>
    </row>
    <row r="177" spans="1:1" x14ac:dyDescent="0.25">
      <c r="A177" t="s">
        <v>3238</v>
      </c>
    </row>
    <row r="178" spans="1:1" x14ac:dyDescent="0.25">
      <c r="A178" t="s">
        <v>4736</v>
      </c>
    </row>
    <row r="179" spans="1:1" x14ac:dyDescent="0.25">
      <c r="A179" t="s">
        <v>6295</v>
      </c>
    </row>
    <row r="180" spans="1:1" x14ac:dyDescent="0.25">
      <c r="A180" t="s">
        <v>6484</v>
      </c>
    </row>
    <row r="181" spans="1:1" x14ac:dyDescent="0.25">
      <c r="A181" t="s">
        <v>6485</v>
      </c>
    </row>
    <row r="182" spans="1:1" x14ac:dyDescent="0.25">
      <c r="A182" t="s">
        <v>6486</v>
      </c>
    </row>
    <row r="183" spans="1:1" x14ac:dyDescent="0.25">
      <c r="A183" t="s">
        <v>6794</v>
      </c>
    </row>
    <row r="184" spans="1:1" x14ac:dyDescent="0.25">
      <c r="A184" t="s">
        <v>5775</v>
      </c>
    </row>
    <row r="185" spans="1:1" x14ac:dyDescent="0.25">
      <c r="A185" t="s">
        <v>6489</v>
      </c>
    </row>
    <row r="186" spans="1:1" x14ac:dyDescent="0.25">
      <c r="A186" t="s">
        <v>1712</v>
      </c>
    </row>
    <row r="187" spans="1:1" x14ac:dyDescent="0.25">
      <c r="A187" t="s">
        <v>6016</v>
      </c>
    </row>
    <row r="188" spans="1:1" x14ac:dyDescent="0.25">
      <c r="A188" t="s">
        <v>3308</v>
      </c>
    </row>
    <row r="189" spans="1:1" x14ac:dyDescent="0.25">
      <c r="A189" t="s">
        <v>6795</v>
      </c>
    </row>
    <row r="190" spans="1:1" x14ac:dyDescent="0.25">
      <c r="A190" t="s">
        <v>4762</v>
      </c>
    </row>
    <row r="191" spans="1:1" x14ac:dyDescent="0.25">
      <c r="A191" t="s">
        <v>123</v>
      </c>
    </row>
    <row r="192" spans="1:1" x14ac:dyDescent="0.25">
      <c r="A192" t="s">
        <v>6501</v>
      </c>
    </row>
    <row r="193" spans="1:1" x14ac:dyDescent="0.25">
      <c r="A193" t="s">
        <v>6504</v>
      </c>
    </row>
    <row r="194" spans="1:1" x14ac:dyDescent="0.25">
      <c r="A194" t="s">
        <v>6505</v>
      </c>
    </row>
    <row r="195" spans="1:1" x14ac:dyDescent="0.25">
      <c r="A195" t="s">
        <v>4782</v>
      </c>
    </row>
    <row r="196" spans="1:1" x14ac:dyDescent="0.25">
      <c r="A196" t="s">
        <v>4783</v>
      </c>
    </row>
    <row r="197" spans="1:1" x14ac:dyDescent="0.25">
      <c r="A197" t="s">
        <v>6796</v>
      </c>
    </row>
    <row r="198" spans="1:1" x14ac:dyDescent="0.25">
      <c r="A198" t="s">
        <v>4791</v>
      </c>
    </row>
    <row r="199" spans="1:1" x14ac:dyDescent="0.25">
      <c r="A199" t="s">
        <v>5783</v>
      </c>
    </row>
    <row r="200" spans="1:1" x14ac:dyDescent="0.25">
      <c r="A200" t="s">
        <v>4792</v>
      </c>
    </row>
    <row r="201" spans="1:1" x14ac:dyDescent="0.25">
      <c r="A201" t="s">
        <v>5785</v>
      </c>
    </row>
    <row r="202" spans="1:1" x14ac:dyDescent="0.25">
      <c r="A202" t="s">
        <v>1769</v>
      </c>
    </row>
    <row r="203" spans="1:1" x14ac:dyDescent="0.25">
      <c r="A203" t="s">
        <v>4798</v>
      </c>
    </row>
    <row r="204" spans="1:1" x14ac:dyDescent="0.25">
      <c r="A204" t="s">
        <v>5786</v>
      </c>
    </row>
    <row r="205" spans="1:1" x14ac:dyDescent="0.25">
      <c r="A205" t="s">
        <v>5788</v>
      </c>
    </row>
    <row r="206" spans="1:1" x14ac:dyDescent="0.25">
      <c r="A206" t="s">
        <v>6797</v>
      </c>
    </row>
    <row r="207" spans="1:1" x14ac:dyDescent="0.25">
      <c r="A207" t="s">
        <v>6516</v>
      </c>
    </row>
    <row r="208" spans="1:1" x14ac:dyDescent="0.25">
      <c r="A208" t="s">
        <v>6520</v>
      </c>
    </row>
    <row r="209" spans="1:1" x14ac:dyDescent="0.25">
      <c r="A209" t="s">
        <v>6521</v>
      </c>
    </row>
    <row r="210" spans="1:1" x14ac:dyDescent="0.25">
      <c r="A210" t="s">
        <v>6523</v>
      </c>
    </row>
    <row r="211" spans="1:1" x14ac:dyDescent="0.25">
      <c r="A211" t="s">
        <v>4816</v>
      </c>
    </row>
    <row r="212" spans="1:1" x14ac:dyDescent="0.25">
      <c r="A212" t="s">
        <v>6798</v>
      </c>
    </row>
    <row r="213" spans="1:1" x14ac:dyDescent="0.25">
      <c r="A213" t="s">
        <v>6799</v>
      </c>
    </row>
    <row r="214" spans="1:1" x14ac:dyDescent="0.25">
      <c r="A214" t="s">
        <v>5338</v>
      </c>
    </row>
    <row r="215" spans="1:1" x14ac:dyDescent="0.25">
      <c r="A215" t="s">
        <v>6528</v>
      </c>
    </row>
    <row r="216" spans="1:1" x14ac:dyDescent="0.25">
      <c r="A216" t="s">
        <v>6800</v>
      </c>
    </row>
    <row r="217" spans="1:1" x14ac:dyDescent="0.25">
      <c r="A217" t="s">
        <v>5796</v>
      </c>
    </row>
    <row r="218" spans="1:1" x14ac:dyDescent="0.25">
      <c r="A218" t="s">
        <v>6801</v>
      </c>
    </row>
    <row r="219" spans="1:1" x14ac:dyDescent="0.25">
      <c r="A219" t="s">
        <v>1824</v>
      </c>
    </row>
    <row r="220" spans="1:1" x14ac:dyDescent="0.25">
      <c r="A220" t="s">
        <v>6531</v>
      </c>
    </row>
    <row r="221" spans="1:1" x14ac:dyDescent="0.25">
      <c r="A221" t="s">
        <v>6533</v>
      </c>
    </row>
    <row r="222" spans="1:1" x14ac:dyDescent="0.25">
      <c r="A222" t="s">
        <v>4833</v>
      </c>
    </row>
    <row r="223" spans="1:1" x14ac:dyDescent="0.25">
      <c r="A223" t="s">
        <v>4834</v>
      </c>
    </row>
    <row r="224" spans="1:1" x14ac:dyDescent="0.25">
      <c r="A224" t="s">
        <v>6536</v>
      </c>
    </row>
    <row r="225" spans="1:1" x14ac:dyDescent="0.25">
      <c r="A225" t="s">
        <v>4836</v>
      </c>
    </row>
    <row r="226" spans="1:1" x14ac:dyDescent="0.25">
      <c r="A226" t="s">
        <v>4838</v>
      </c>
    </row>
    <row r="227" spans="1:1" x14ac:dyDescent="0.25">
      <c r="A227" t="s">
        <v>6538</v>
      </c>
    </row>
    <row r="228" spans="1:1" x14ac:dyDescent="0.25">
      <c r="A228" t="s">
        <v>5351</v>
      </c>
    </row>
    <row r="229" spans="1:1" x14ac:dyDescent="0.25">
      <c r="A229" t="s">
        <v>6539</v>
      </c>
    </row>
    <row r="230" spans="1:1" x14ac:dyDescent="0.25">
      <c r="A230" t="s">
        <v>6541</v>
      </c>
    </row>
    <row r="231" spans="1:1" x14ac:dyDescent="0.25">
      <c r="A231" t="s">
        <v>4844</v>
      </c>
    </row>
    <row r="232" spans="1:1" x14ac:dyDescent="0.25">
      <c r="A232" t="s">
        <v>6545</v>
      </c>
    </row>
    <row r="233" spans="1:1" x14ac:dyDescent="0.25">
      <c r="A233" t="s">
        <v>1849</v>
      </c>
    </row>
    <row r="234" spans="1:1" x14ac:dyDescent="0.25">
      <c r="A234" t="s">
        <v>1850</v>
      </c>
    </row>
    <row r="235" spans="1:1" x14ac:dyDescent="0.25">
      <c r="A235" t="s">
        <v>6546</v>
      </c>
    </row>
    <row r="236" spans="1:1" x14ac:dyDescent="0.25">
      <c r="A236" t="s">
        <v>6548</v>
      </c>
    </row>
    <row r="237" spans="1:1" x14ac:dyDescent="0.25">
      <c r="A237" t="s">
        <v>3554</v>
      </c>
    </row>
    <row r="238" spans="1:1" x14ac:dyDescent="0.25">
      <c r="A238" t="s">
        <v>3555</v>
      </c>
    </row>
    <row r="239" spans="1:1" x14ac:dyDescent="0.25">
      <c r="A239" t="s">
        <v>3564</v>
      </c>
    </row>
    <row r="240" spans="1:1" x14ac:dyDescent="0.25">
      <c r="A240" t="s">
        <v>6549</v>
      </c>
    </row>
    <row r="241" spans="1:1" x14ac:dyDescent="0.25">
      <c r="A241" t="s">
        <v>6772</v>
      </c>
    </row>
    <row r="242" spans="1:1" x14ac:dyDescent="0.25">
      <c r="A242" t="s">
        <v>3571</v>
      </c>
    </row>
    <row r="243" spans="1:1" x14ac:dyDescent="0.25">
      <c r="A243" t="s">
        <v>6553</v>
      </c>
    </row>
    <row r="244" spans="1:1" x14ac:dyDescent="0.25">
      <c r="A244" t="s">
        <v>6023</v>
      </c>
    </row>
    <row r="245" spans="1:1" x14ac:dyDescent="0.25">
      <c r="A245" t="s">
        <v>6554</v>
      </c>
    </row>
    <row r="246" spans="1:1" x14ac:dyDescent="0.25">
      <c r="A246" t="s">
        <v>5365</v>
      </c>
    </row>
    <row r="247" spans="1:1" x14ac:dyDescent="0.25">
      <c r="A247" t="s">
        <v>6555</v>
      </c>
    </row>
    <row r="248" spans="1:1" x14ac:dyDescent="0.25">
      <c r="A248" t="s">
        <v>6802</v>
      </c>
    </row>
    <row r="249" spans="1:1" x14ac:dyDescent="0.25">
      <c r="A249" t="s">
        <v>6803</v>
      </c>
    </row>
    <row r="250" spans="1:1" x14ac:dyDescent="0.25">
      <c r="A250" t="s">
        <v>4875</v>
      </c>
    </row>
    <row r="251" spans="1:1" x14ac:dyDescent="0.25">
      <c r="A251" t="s">
        <v>6560</v>
      </c>
    </row>
    <row r="252" spans="1:1" x14ac:dyDescent="0.25">
      <c r="A252" t="s">
        <v>6561</v>
      </c>
    </row>
    <row r="253" spans="1:1" x14ac:dyDescent="0.25">
      <c r="A253" t="s">
        <v>6562</v>
      </c>
    </row>
    <row r="254" spans="1:1" x14ac:dyDescent="0.25">
      <c r="A254" t="s">
        <v>6563</v>
      </c>
    </row>
    <row r="255" spans="1:1" x14ac:dyDescent="0.25">
      <c r="A255" t="s">
        <v>5806</v>
      </c>
    </row>
    <row r="256" spans="1:1" x14ac:dyDescent="0.25">
      <c r="A256" t="s">
        <v>5807</v>
      </c>
    </row>
    <row r="257" spans="1:1" x14ac:dyDescent="0.25">
      <c r="A257" t="s">
        <v>2163</v>
      </c>
    </row>
    <row r="258" spans="1:1" x14ac:dyDescent="0.25">
      <c r="A258" t="s">
        <v>3635</v>
      </c>
    </row>
    <row r="259" spans="1:1" x14ac:dyDescent="0.25">
      <c r="A259" t="s">
        <v>6804</v>
      </c>
    </row>
    <row r="260" spans="1:1" x14ac:dyDescent="0.25">
      <c r="A260" t="s">
        <v>6572</v>
      </c>
    </row>
    <row r="261" spans="1:1" x14ac:dyDescent="0.25">
      <c r="A261" t="s">
        <v>1909</v>
      </c>
    </row>
    <row r="262" spans="1:1" x14ac:dyDescent="0.25">
      <c r="A262" t="s">
        <v>1911</v>
      </c>
    </row>
    <row r="263" spans="1:1" x14ac:dyDescent="0.25">
      <c r="A263" t="s">
        <v>1913</v>
      </c>
    </row>
    <row r="264" spans="1:1" x14ac:dyDescent="0.25">
      <c r="A264" t="s">
        <v>6805</v>
      </c>
    </row>
    <row r="265" spans="1:1" x14ac:dyDescent="0.25">
      <c r="A265" t="s">
        <v>6574</v>
      </c>
    </row>
    <row r="266" spans="1:1" x14ac:dyDescent="0.25">
      <c r="A266" t="s">
        <v>6806</v>
      </c>
    </row>
    <row r="267" spans="1:1" x14ac:dyDescent="0.25">
      <c r="A267" t="s">
        <v>3666</v>
      </c>
    </row>
    <row r="268" spans="1:1" x14ac:dyDescent="0.25">
      <c r="A268" t="s">
        <v>1923</v>
      </c>
    </row>
    <row r="269" spans="1:1" x14ac:dyDescent="0.25">
      <c r="A269" t="s">
        <v>133</v>
      </c>
    </row>
    <row r="270" spans="1:1" x14ac:dyDescent="0.25">
      <c r="A270" t="s">
        <v>6576</v>
      </c>
    </row>
    <row r="271" spans="1:1" x14ac:dyDescent="0.25">
      <c r="A271" t="s">
        <v>6577</v>
      </c>
    </row>
    <row r="272" spans="1:1" x14ac:dyDescent="0.25">
      <c r="A272" t="s">
        <v>6581</v>
      </c>
    </row>
    <row r="273" spans="1:1" x14ac:dyDescent="0.25">
      <c r="A273" t="s">
        <v>5381</v>
      </c>
    </row>
    <row r="274" spans="1:1" x14ac:dyDescent="0.25">
      <c r="A274" t="s">
        <v>4909</v>
      </c>
    </row>
    <row r="275" spans="1:1" x14ac:dyDescent="0.25">
      <c r="A275" t="s">
        <v>5382</v>
      </c>
    </row>
    <row r="276" spans="1:1" x14ac:dyDescent="0.25">
      <c r="A276" t="s">
        <v>5383</v>
      </c>
    </row>
    <row r="277" spans="1:1" x14ac:dyDescent="0.25">
      <c r="A277" t="s">
        <v>5384</v>
      </c>
    </row>
    <row r="278" spans="1:1" x14ac:dyDescent="0.25">
      <c r="A278" t="s">
        <v>6583</v>
      </c>
    </row>
    <row r="279" spans="1:1" x14ac:dyDescent="0.25">
      <c r="A279" t="s">
        <v>5816</v>
      </c>
    </row>
    <row r="280" spans="1:1" x14ac:dyDescent="0.25">
      <c r="A280" t="s">
        <v>3733</v>
      </c>
    </row>
    <row r="281" spans="1:1" x14ac:dyDescent="0.25">
      <c r="A281" t="s">
        <v>6807</v>
      </c>
    </row>
    <row r="282" spans="1:1" x14ac:dyDescent="0.25">
      <c r="A282" t="s">
        <v>3749</v>
      </c>
    </row>
    <row r="283" spans="1:1" x14ac:dyDescent="0.25">
      <c r="A283" t="s">
        <v>6589</v>
      </c>
    </row>
    <row r="284" spans="1:1" x14ac:dyDescent="0.25">
      <c r="A284" t="s">
        <v>6591</v>
      </c>
    </row>
    <row r="285" spans="1:1" x14ac:dyDescent="0.25">
      <c r="A285" t="s">
        <v>6592</v>
      </c>
    </row>
    <row r="286" spans="1:1" x14ac:dyDescent="0.25">
      <c r="A286" t="s">
        <v>6594</v>
      </c>
    </row>
    <row r="287" spans="1:1" x14ac:dyDescent="0.25">
      <c r="A287" t="s">
        <v>4934</v>
      </c>
    </row>
    <row r="288" spans="1:1" x14ac:dyDescent="0.25">
      <c r="A288" t="s">
        <v>6595</v>
      </c>
    </row>
    <row r="289" spans="1:1" x14ac:dyDescent="0.25">
      <c r="A289" t="s">
        <v>1969</v>
      </c>
    </row>
    <row r="290" spans="1:1" x14ac:dyDescent="0.25">
      <c r="A290" t="s">
        <v>5825</v>
      </c>
    </row>
    <row r="291" spans="1:1" x14ac:dyDescent="0.25">
      <c r="A291" t="s">
        <v>5826</v>
      </c>
    </row>
    <row r="292" spans="1:1" x14ac:dyDescent="0.25">
      <c r="A292" t="s">
        <v>3791</v>
      </c>
    </row>
    <row r="293" spans="1:1" x14ac:dyDescent="0.25">
      <c r="A293" t="s">
        <v>1975</v>
      </c>
    </row>
    <row r="294" spans="1:1" x14ac:dyDescent="0.25">
      <c r="A294" t="s">
        <v>6598</v>
      </c>
    </row>
    <row r="295" spans="1:1" x14ac:dyDescent="0.25">
      <c r="A295" t="s">
        <v>1978</v>
      </c>
    </row>
    <row r="296" spans="1:1" x14ac:dyDescent="0.25">
      <c r="A296" t="s">
        <v>3811</v>
      </c>
    </row>
    <row r="297" spans="1:1" x14ac:dyDescent="0.25">
      <c r="A297" t="s">
        <v>6600</v>
      </c>
    </row>
    <row r="298" spans="1:1" x14ac:dyDescent="0.25">
      <c r="A298" t="s">
        <v>6601</v>
      </c>
    </row>
    <row r="299" spans="1:1" x14ac:dyDescent="0.25">
      <c r="A299" t="s">
        <v>6602</v>
      </c>
    </row>
    <row r="300" spans="1:1" x14ac:dyDescent="0.25">
      <c r="A300" t="s">
        <v>1990</v>
      </c>
    </row>
    <row r="301" spans="1:1" x14ac:dyDescent="0.25">
      <c r="A301" t="s">
        <v>5831</v>
      </c>
    </row>
    <row r="302" spans="1:1" x14ac:dyDescent="0.25">
      <c r="A302" t="s">
        <v>6605</v>
      </c>
    </row>
    <row r="303" spans="1:1" x14ac:dyDescent="0.25">
      <c r="A303" t="s">
        <v>6607</v>
      </c>
    </row>
    <row r="304" spans="1:1" x14ac:dyDescent="0.25">
      <c r="A304" t="s">
        <v>6608</v>
      </c>
    </row>
    <row r="305" spans="1:1" x14ac:dyDescent="0.25">
      <c r="A305" t="s">
        <v>2009</v>
      </c>
    </row>
    <row r="306" spans="1:1" x14ac:dyDescent="0.25">
      <c r="A306" t="s">
        <v>2010</v>
      </c>
    </row>
    <row r="307" spans="1:1" x14ac:dyDescent="0.25">
      <c r="A307" t="s">
        <v>5403</v>
      </c>
    </row>
    <row r="308" spans="1:1" x14ac:dyDescent="0.25">
      <c r="A308" t="s">
        <v>5834</v>
      </c>
    </row>
    <row r="309" spans="1:1" x14ac:dyDescent="0.25">
      <c r="A309" t="s">
        <v>2017</v>
      </c>
    </row>
    <row r="310" spans="1:1" x14ac:dyDescent="0.25">
      <c r="A310" t="s">
        <v>6612</v>
      </c>
    </row>
    <row r="311" spans="1:1" x14ac:dyDescent="0.25">
      <c r="A311" t="s">
        <v>6614</v>
      </c>
    </row>
    <row r="312" spans="1:1" x14ac:dyDescent="0.25">
      <c r="A312" t="s">
        <v>2023</v>
      </c>
    </row>
    <row r="313" spans="1:1" x14ac:dyDescent="0.25">
      <c r="A313" t="s">
        <v>6616</v>
      </c>
    </row>
    <row r="314" spans="1:1" x14ac:dyDescent="0.25">
      <c r="A314" t="s">
        <v>75</v>
      </c>
    </row>
    <row r="315" spans="1:1" x14ac:dyDescent="0.25">
      <c r="A315" t="s">
        <v>2028</v>
      </c>
    </row>
    <row r="316" spans="1:1" x14ac:dyDescent="0.25">
      <c r="A316" t="s">
        <v>6619</v>
      </c>
    </row>
    <row r="317" spans="1:1" x14ac:dyDescent="0.25">
      <c r="A317" t="s">
        <v>6808</v>
      </c>
    </row>
    <row r="318" spans="1:1" x14ac:dyDescent="0.25">
      <c r="A318" t="s">
        <v>2035</v>
      </c>
    </row>
    <row r="319" spans="1:1" x14ac:dyDescent="0.25">
      <c r="A319" t="s">
        <v>5839</v>
      </c>
    </row>
    <row r="320" spans="1:1" x14ac:dyDescent="0.25">
      <c r="A320" t="s">
        <v>6622</v>
      </c>
    </row>
    <row r="321" spans="1:1" x14ac:dyDescent="0.25">
      <c r="A321" t="s">
        <v>6625</v>
      </c>
    </row>
    <row r="322" spans="1:1" x14ac:dyDescent="0.25">
      <c r="A322" t="s">
        <v>2062</v>
      </c>
    </row>
    <row r="323" spans="1:1" x14ac:dyDescent="0.25">
      <c r="A323" t="s">
        <v>6628</v>
      </c>
    </row>
    <row r="324" spans="1:1" x14ac:dyDescent="0.25">
      <c r="A324" t="s">
        <v>6629</v>
      </c>
    </row>
    <row r="325" spans="1:1" x14ac:dyDescent="0.25">
      <c r="A325" t="s">
        <v>2067</v>
      </c>
    </row>
    <row r="326" spans="1:1" x14ac:dyDescent="0.25">
      <c r="A326" t="s">
        <v>4999</v>
      </c>
    </row>
    <row r="327" spans="1:1" x14ac:dyDescent="0.25">
      <c r="A327" t="s">
        <v>2074</v>
      </c>
    </row>
    <row r="328" spans="1:1" x14ac:dyDescent="0.25">
      <c r="A328" t="s">
        <v>5416</v>
      </c>
    </row>
    <row r="329" spans="1:1" x14ac:dyDescent="0.25">
      <c r="A329" t="s">
        <v>5841</v>
      </c>
    </row>
    <row r="330" spans="1:1" x14ac:dyDescent="0.25">
      <c r="A330" t="s">
        <v>6635</v>
      </c>
    </row>
    <row r="331" spans="1:1" x14ac:dyDescent="0.25">
      <c r="A331" t="s">
        <v>6638</v>
      </c>
    </row>
    <row r="332" spans="1:1" x14ac:dyDescent="0.25">
      <c r="A332" t="s">
        <v>2095</v>
      </c>
    </row>
    <row r="333" spans="1:1" x14ac:dyDescent="0.25">
      <c r="A333" t="s">
        <v>6640</v>
      </c>
    </row>
    <row r="334" spans="1:1" x14ac:dyDescent="0.25">
      <c r="A334" t="s">
        <v>6641</v>
      </c>
    </row>
    <row r="335" spans="1:1" x14ac:dyDescent="0.25">
      <c r="A335" t="s">
        <v>77</v>
      </c>
    </row>
    <row r="336" spans="1:1" x14ac:dyDescent="0.25">
      <c r="A336" t="s">
        <v>3996</v>
      </c>
    </row>
    <row r="337" spans="1:1" x14ac:dyDescent="0.25">
      <c r="A337" t="s">
        <v>6643</v>
      </c>
    </row>
    <row r="338" spans="1:1" x14ac:dyDescent="0.25">
      <c r="A338" t="s">
        <v>6809</v>
      </c>
    </row>
    <row r="339" spans="1:1" x14ac:dyDescent="0.25">
      <c r="A339" t="s">
        <v>4009</v>
      </c>
    </row>
    <row r="340" spans="1:1" x14ac:dyDescent="0.25">
      <c r="A340" t="s">
        <v>2115</v>
      </c>
    </row>
    <row r="341" spans="1:1" x14ac:dyDescent="0.25">
      <c r="A341" t="s">
        <v>6645</v>
      </c>
    </row>
    <row r="342" spans="1:1" x14ac:dyDescent="0.25">
      <c r="A342" t="s">
        <v>6646</v>
      </c>
    </row>
    <row r="343" spans="1:1" x14ac:dyDescent="0.25">
      <c r="A343" t="s">
        <v>6647</v>
      </c>
    </row>
    <row r="344" spans="1:1" x14ac:dyDescent="0.25">
      <c r="A344" t="s">
        <v>6649</v>
      </c>
    </row>
    <row r="345" spans="1:1" x14ac:dyDescent="0.25">
      <c r="A345" t="s">
        <v>4065</v>
      </c>
    </row>
    <row r="346" spans="1:1" x14ac:dyDescent="0.25">
      <c r="A346" t="s">
        <v>6651</v>
      </c>
    </row>
    <row r="347" spans="1:1" x14ac:dyDescent="0.25">
      <c r="A347" t="s">
        <v>6653</v>
      </c>
    </row>
    <row r="348" spans="1:1" x14ac:dyDescent="0.25">
      <c r="A348" t="s">
        <v>5855</v>
      </c>
    </row>
    <row r="349" spans="1:1" x14ac:dyDescent="0.25">
      <c r="A349" t="s">
        <v>4086</v>
      </c>
    </row>
    <row r="350" spans="1:1" x14ac:dyDescent="0.25">
      <c r="A350" t="s">
        <v>6655</v>
      </c>
    </row>
    <row r="351" spans="1:1" x14ac:dyDescent="0.25">
      <c r="A351" t="s">
        <v>143</v>
      </c>
    </row>
  </sheetData>
  <sortState ref="C11:I150">
    <sortCondition ref="G11:G15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7.42578125" customWidth="1"/>
    <col min="3" max="3" width="13.42578125" customWidth="1"/>
    <col min="4" max="4" width="36.28515625" customWidth="1"/>
  </cols>
  <sheetData>
    <row r="1" spans="1:9" ht="20.25" x14ac:dyDescent="0.3">
      <c r="A1" s="12" t="s">
        <v>6810</v>
      </c>
    </row>
    <row r="2" spans="1:9" x14ac:dyDescent="0.25">
      <c r="A2" s="6" t="s">
        <v>6811</v>
      </c>
      <c r="B2" s="10">
        <f>7/7100</f>
        <v>9.8591549295774642E-4</v>
      </c>
      <c r="C2" t="s">
        <v>2</v>
      </c>
      <c r="D2">
        <v>4</v>
      </c>
    </row>
    <row r="3" spans="1:9" x14ac:dyDescent="0.25">
      <c r="A3" t="s">
        <v>2221</v>
      </c>
      <c r="C3" t="s">
        <v>4</v>
      </c>
      <c r="D3">
        <v>77079</v>
      </c>
    </row>
    <row r="4" spans="1:9" x14ac:dyDescent="0.25">
      <c r="A4" t="s">
        <v>598</v>
      </c>
      <c r="C4" t="s">
        <v>6</v>
      </c>
      <c r="D4" t="s">
        <v>7</v>
      </c>
    </row>
    <row r="5" spans="1:9" x14ac:dyDescent="0.25">
      <c r="A5" t="s">
        <v>989</v>
      </c>
      <c r="C5" t="s">
        <v>9</v>
      </c>
      <c r="D5" t="s">
        <v>10</v>
      </c>
    </row>
    <row r="6" spans="1:9" x14ac:dyDescent="0.25">
      <c r="A6" t="s">
        <v>1413</v>
      </c>
      <c r="C6" t="s">
        <v>12</v>
      </c>
      <c r="D6" t="s">
        <v>13</v>
      </c>
    </row>
    <row r="7" spans="1:9" x14ac:dyDescent="0.25">
      <c r="A7" t="s">
        <v>3358</v>
      </c>
      <c r="C7" t="s">
        <v>15</v>
      </c>
      <c r="D7" t="s">
        <v>16</v>
      </c>
    </row>
    <row r="8" spans="1:9" x14ac:dyDescent="0.25">
      <c r="A8" t="s">
        <v>3390</v>
      </c>
      <c r="C8" t="s">
        <v>18</v>
      </c>
      <c r="D8" t="s">
        <v>19</v>
      </c>
    </row>
    <row r="9" spans="1:9" x14ac:dyDescent="0.25">
      <c r="A9" t="s">
        <v>3958</v>
      </c>
      <c r="C9" t="s">
        <v>21</v>
      </c>
      <c r="D9">
        <v>3</v>
      </c>
    </row>
    <row r="11" spans="1:9" x14ac:dyDescent="0.25"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C12" t="str">
        <f>HYPERLINK("http://amigo.geneontology.org/cgi-bin/amigo/term-details.cgi?term=GO:0043562","GO:0043562")</f>
        <v>GO:0043562</v>
      </c>
      <c r="D12" t="s">
        <v>635</v>
      </c>
      <c r="E12">
        <v>14</v>
      </c>
      <c r="F12">
        <v>2</v>
      </c>
      <c r="G12" s="4">
        <v>1.8376634270887499E-7</v>
      </c>
      <c r="H12" s="4">
        <v>8.2970503733056998E-4</v>
      </c>
      <c r="I12" t="s">
        <v>6661</v>
      </c>
    </row>
    <row r="13" spans="1:9" x14ac:dyDescent="0.25">
      <c r="C13" t="str">
        <f>HYPERLINK("http://amigo.geneontology.org/cgi-bin/amigo/term-details.cgi?term=GO:0031669","GO:0031669")</f>
        <v>GO:0031669</v>
      </c>
      <c r="D13" t="s">
        <v>6664</v>
      </c>
      <c r="E13">
        <v>89</v>
      </c>
      <c r="F13">
        <v>2</v>
      </c>
      <c r="G13" s="4">
        <v>7.8977538466687898E-6</v>
      </c>
      <c r="H13">
        <v>1.7825230431931401E-2</v>
      </c>
      <c r="I13" t="s">
        <v>6661</v>
      </c>
    </row>
    <row r="14" spans="1:9" x14ac:dyDescent="0.25">
      <c r="C14" t="str">
        <f>HYPERLINK("http://amigo.geneontology.org/cgi-bin/amigo/term-details.cgi?term=GO:0031667","GO:0031667")</f>
        <v>GO:0031667</v>
      </c>
      <c r="D14" t="s">
        <v>6665</v>
      </c>
      <c r="E14">
        <v>96</v>
      </c>
      <c r="F14">
        <v>2</v>
      </c>
      <c r="G14" s="4">
        <v>9.1954529759132697E-6</v>
      </c>
      <c r="H14">
        <v>1.3839156728749399E-2</v>
      </c>
      <c r="I14" t="s">
        <v>6661</v>
      </c>
    </row>
    <row r="15" spans="1:9" x14ac:dyDescent="0.25">
      <c r="C15" t="str">
        <f>HYPERLINK("http://amigo.geneontology.org/cgi-bin/amigo/term-details.cgi?term=GO:0009744","GO:0009744")</f>
        <v>GO:0009744</v>
      </c>
      <c r="D15" t="s">
        <v>6666</v>
      </c>
      <c r="E15">
        <v>102</v>
      </c>
      <c r="F15">
        <v>2</v>
      </c>
      <c r="G15" s="4">
        <v>1.03861532222538E-5</v>
      </c>
      <c r="H15">
        <v>1.17155808347023E-2</v>
      </c>
      <c r="I15" t="s">
        <v>6661</v>
      </c>
    </row>
    <row r="16" spans="1:9" x14ac:dyDescent="0.25">
      <c r="C16" t="str">
        <f>HYPERLINK("http://amigo.geneontology.org/cgi-bin/amigo/term-details.cgi?term=GO:0034285","GO:0034285")</f>
        <v>GO:0034285</v>
      </c>
      <c r="D16" t="s">
        <v>6667</v>
      </c>
      <c r="E16">
        <v>104</v>
      </c>
      <c r="F16">
        <v>2</v>
      </c>
      <c r="G16" s="4">
        <v>1.07991284434048E-5</v>
      </c>
      <c r="H16">
        <v>9.7516129843945899E-3</v>
      </c>
      <c r="I16" t="s">
        <v>6661</v>
      </c>
    </row>
    <row r="17" spans="3:9" x14ac:dyDescent="0.25">
      <c r="C17" t="str">
        <f>HYPERLINK("http://amigo.geneontology.org/cgi-bin/amigo/term-details.cgi?term=GO:0031668","GO:0031668")</f>
        <v>GO:0031668</v>
      </c>
      <c r="D17" t="s">
        <v>1566</v>
      </c>
      <c r="E17">
        <v>108</v>
      </c>
      <c r="F17">
        <v>2</v>
      </c>
      <c r="G17" s="4">
        <v>1.1649186575905601E-5</v>
      </c>
      <c r="H17">
        <v>8.7601883050810302E-3</v>
      </c>
      <c r="I17" t="s">
        <v>6661</v>
      </c>
    </row>
    <row r="18" spans="3:9" x14ac:dyDescent="0.25">
      <c r="C18" t="str">
        <f>HYPERLINK("http://amigo.geneontology.org/cgi-bin/amigo/term-details.cgi?term=GO:0071496","GO:0071496")</f>
        <v>GO:0071496</v>
      </c>
      <c r="D18" t="s">
        <v>1563</v>
      </c>
      <c r="E18">
        <v>108</v>
      </c>
      <c r="F18">
        <v>2</v>
      </c>
      <c r="G18" s="4">
        <v>1.1649186575905601E-5</v>
      </c>
      <c r="H18">
        <v>7.5137253414591298E-3</v>
      </c>
      <c r="I18" t="s">
        <v>6661</v>
      </c>
    </row>
    <row r="19" spans="3:9" x14ac:dyDescent="0.25">
      <c r="C19" t="str">
        <f>HYPERLINK("http://amigo.geneontology.org/cgi-bin/amigo/term-details.cgi?term=GO:0009991","GO:0009991")</f>
        <v>GO:0009991</v>
      </c>
      <c r="D19" t="s">
        <v>6669</v>
      </c>
      <c r="E19">
        <v>117</v>
      </c>
      <c r="F19">
        <v>2</v>
      </c>
      <c r="G19" s="4">
        <v>1.36793117537993E-5</v>
      </c>
      <c r="H19">
        <v>7.7151318291428196E-3</v>
      </c>
      <c r="I19" t="s">
        <v>6661</v>
      </c>
    </row>
    <row r="20" spans="3:9" x14ac:dyDescent="0.25">
      <c r="C20" t="str">
        <f>HYPERLINK("http://amigo.geneontology.org/cgi-bin/amigo/term-details.cgi?term=GO:0010033","GO:0010033")</f>
        <v>GO:0010033</v>
      </c>
      <c r="D20" t="s">
        <v>6685</v>
      </c>
      <c r="E20">
        <v>1335</v>
      </c>
      <c r="F20">
        <v>3</v>
      </c>
      <c r="G20" s="4">
        <v>2.0467751469145901E-5</v>
      </c>
      <c r="H20">
        <v>1.02543434860421E-2</v>
      </c>
      <c r="I20" t="s">
        <v>6686</v>
      </c>
    </row>
    <row r="21" spans="3:9" x14ac:dyDescent="0.25">
      <c r="C21" t="str">
        <f>HYPERLINK("http://amigo.geneontology.org/cgi-bin/amigo/term-details.cgi?term=GO:0009743","GO:0009743")</f>
        <v>GO:0009743</v>
      </c>
      <c r="D21" t="s">
        <v>6671</v>
      </c>
      <c r="E21">
        <v>195</v>
      </c>
      <c r="F21">
        <v>2</v>
      </c>
      <c r="G21" s="4">
        <v>3.8077642978508898E-5</v>
      </c>
      <c r="H21">
        <v>1.7173016983307501E-2</v>
      </c>
      <c r="I21" t="s">
        <v>6661</v>
      </c>
    </row>
    <row r="22" spans="3:9" x14ac:dyDescent="0.25">
      <c r="C22" t="str">
        <f>HYPERLINK("http://amigo.geneontology.org/cgi-bin/amigo/term-details.cgi?term=GO:0042221","GO:0042221")</f>
        <v>GO:0042221</v>
      </c>
      <c r="D22" t="s">
        <v>6812</v>
      </c>
      <c r="E22">
        <v>2003</v>
      </c>
      <c r="F22">
        <v>3</v>
      </c>
      <c r="G22" s="4">
        <v>6.8726705383908706E-5</v>
      </c>
      <c r="H22">
        <v>2.8177949207402499E-2</v>
      </c>
      <c r="I22" t="s">
        <v>6686</v>
      </c>
    </row>
    <row r="23" spans="3:9" x14ac:dyDescent="0.25">
      <c r="C23" t="str">
        <f>HYPERLINK("http://amigo.geneontology.org/cgi-bin/amigo/term-details.cgi?term=GO:0007154","GO:0007154")</f>
        <v>GO:0007154</v>
      </c>
      <c r="D23" t="s">
        <v>6677</v>
      </c>
      <c r="E23">
        <v>2132</v>
      </c>
      <c r="F23">
        <v>3</v>
      </c>
      <c r="G23" s="4">
        <v>8.2780365853142706E-5</v>
      </c>
      <c r="H23">
        <v>3.1125417560781601E-2</v>
      </c>
      <c r="I23" t="s">
        <v>6686</v>
      </c>
    </row>
    <row r="24" spans="3:9" x14ac:dyDescent="0.25">
      <c r="C24" t="str">
        <f>HYPERLINK("http://amigo.geneontology.org/cgi-bin/amigo/term-details.cgi?term=GO:0051716","GO:0051716")</f>
        <v>GO:0051716</v>
      </c>
      <c r="D24" t="s">
        <v>6687</v>
      </c>
      <c r="E24">
        <v>2438</v>
      </c>
      <c r="F24">
        <v>3</v>
      </c>
      <c r="G24" s="4">
        <v>1.2343010193014499E-4</v>
      </c>
      <c r="H24">
        <v>4.2830245369760503E-2</v>
      </c>
      <c r="I24" t="s">
        <v>6686</v>
      </c>
    </row>
    <row r="25" spans="3:9" x14ac:dyDescent="0.25">
      <c r="C25" t="str">
        <f>HYPERLINK("http://amigo.geneontology.org/cgi-bin/amigo/term-details.cgi?term=GO:0009605","GO:0009605")</f>
        <v>GO:0009605</v>
      </c>
      <c r="D25" t="s">
        <v>6694</v>
      </c>
      <c r="E25">
        <v>791</v>
      </c>
      <c r="F25">
        <v>2</v>
      </c>
      <c r="G25" s="4">
        <v>6.2250519754862305E-4</v>
      </c>
      <c r="H25">
        <v>0.20044667361065599</v>
      </c>
      <c r="I25" t="s">
        <v>6661</v>
      </c>
    </row>
    <row r="26" spans="3:9" x14ac:dyDescent="0.25">
      <c r="C26" t="str">
        <f>HYPERLINK("http://amigo.geneontology.org/cgi-bin/amigo/term-details.cgi?term=GO:1901700","GO:1901700")</f>
        <v>GO:1901700</v>
      </c>
      <c r="D26" t="s">
        <v>6813</v>
      </c>
      <c r="E26">
        <v>880</v>
      </c>
      <c r="F26">
        <v>2</v>
      </c>
      <c r="G26" s="4">
        <v>7.6937501315477803E-4</v>
      </c>
      <c r="H26">
        <v>0.23158187895958801</v>
      </c>
      <c r="I26" t="s">
        <v>6661</v>
      </c>
    </row>
    <row r="27" spans="3:9" x14ac:dyDescent="0.25">
      <c r="C27" t="str">
        <f>HYPERLINK("http://amigo.geneontology.org/cgi-bin/amigo/term-details.cgi?term=GO:0006351","GO:0006351")</f>
        <v>GO:0006351</v>
      </c>
      <c r="D27" t="s">
        <v>6814</v>
      </c>
      <c r="E27">
        <v>2018</v>
      </c>
      <c r="F27">
        <v>2</v>
      </c>
      <c r="G27">
        <v>3.9687115988695301E-3</v>
      </c>
      <c r="H27">
        <v>1</v>
      </c>
      <c r="I27" t="s">
        <v>6815</v>
      </c>
    </row>
    <row r="28" spans="3:9" x14ac:dyDescent="0.25">
      <c r="C28" t="str">
        <f>HYPERLINK("http://amigo.geneontology.org/cgi-bin/amigo/term-details.cgi?term=GO:0097659","GO:0097659")</f>
        <v>GO:0097659</v>
      </c>
      <c r="D28" t="s">
        <v>6816</v>
      </c>
      <c r="E28">
        <v>2043</v>
      </c>
      <c r="F28">
        <v>2</v>
      </c>
      <c r="G28">
        <v>4.0658920651191503E-3</v>
      </c>
      <c r="H28">
        <v>1</v>
      </c>
      <c r="I28" t="s">
        <v>6815</v>
      </c>
    </row>
    <row r="29" spans="3:9" x14ac:dyDescent="0.25">
      <c r="C29" t="str">
        <f>HYPERLINK("http://amigo.geneontology.org/cgi-bin/amigo/term-details.cgi?term=GO:0032774","GO:0032774")</f>
        <v>GO:0032774</v>
      </c>
      <c r="D29" t="s">
        <v>6817</v>
      </c>
      <c r="E29">
        <v>2051</v>
      </c>
      <c r="F29">
        <v>2</v>
      </c>
      <c r="G29">
        <v>4.0972288143891304E-3</v>
      </c>
      <c r="H29">
        <v>1</v>
      </c>
      <c r="I29" t="s">
        <v>6815</v>
      </c>
    </row>
    <row r="30" spans="3:9" x14ac:dyDescent="0.25">
      <c r="C30" t="str">
        <f>HYPERLINK("http://amigo.geneontology.org/cgi-bin/amigo/term-details.cgi?term=GO:0009734","GO:0009734")</f>
        <v>GO:0009734</v>
      </c>
      <c r="D30" t="s">
        <v>4381</v>
      </c>
      <c r="E30">
        <v>152</v>
      </c>
      <c r="F30">
        <v>1</v>
      </c>
      <c r="G30">
        <v>7.8648614947265296E-3</v>
      </c>
      <c r="H30">
        <v>1</v>
      </c>
      <c r="I30" t="s">
        <v>1413</v>
      </c>
    </row>
    <row r="31" spans="3:9" x14ac:dyDescent="0.25">
      <c r="C31" t="str">
        <f>HYPERLINK("http://amigo.geneontology.org/cgi-bin/amigo/term-details.cgi?term=GO:0071365","GO:0071365")</f>
        <v>GO:0071365</v>
      </c>
      <c r="D31" t="s">
        <v>4379</v>
      </c>
      <c r="E31">
        <v>152</v>
      </c>
      <c r="F31">
        <v>1</v>
      </c>
      <c r="G31">
        <v>7.8648614947265296E-3</v>
      </c>
      <c r="H31">
        <v>1</v>
      </c>
      <c r="I31" t="s">
        <v>1413</v>
      </c>
    </row>
    <row r="32" spans="3:9" x14ac:dyDescent="0.25">
      <c r="C32" t="str">
        <f>HYPERLINK("http://amigo.geneontology.org/cgi-bin/amigo/term-details.cgi?term=GO:0034654","GO:0034654")</f>
        <v>GO:0034654</v>
      </c>
      <c r="D32" t="s">
        <v>6818</v>
      </c>
      <c r="E32">
        <v>2980</v>
      </c>
      <c r="F32">
        <v>2</v>
      </c>
      <c r="G32">
        <v>8.5102677878567002E-3</v>
      </c>
      <c r="H32">
        <v>1</v>
      </c>
      <c r="I32" t="s">
        <v>6815</v>
      </c>
    </row>
    <row r="33" spans="3:9" x14ac:dyDescent="0.25">
      <c r="C33" t="str">
        <f>HYPERLINK("http://amigo.geneontology.org/cgi-bin/amigo/term-details.cgi?term=GO:0018130","GO:0018130")</f>
        <v>GO:0018130</v>
      </c>
      <c r="D33" t="s">
        <v>6819</v>
      </c>
      <c r="E33">
        <v>3543</v>
      </c>
      <c r="F33">
        <v>2</v>
      </c>
      <c r="G33">
        <v>1.19107745487439E-2</v>
      </c>
      <c r="H33">
        <v>1</v>
      </c>
      <c r="I33" t="s">
        <v>6815</v>
      </c>
    </row>
    <row r="34" spans="3:9" x14ac:dyDescent="0.25">
      <c r="C34" t="str">
        <f>HYPERLINK("http://amigo.geneontology.org/cgi-bin/amigo/term-details.cgi?term=GO:0019438","GO:0019438")</f>
        <v>GO:0019438</v>
      </c>
      <c r="D34" t="s">
        <v>6820</v>
      </c>
      <c r="E34">
        <v>3551</v>
      </c>
      <c r="F34">
        <v>2</v>
      </c>
      <c r="G34">
        <v>1.1962930232281401E-2</v>
      </c>
      <c r="H34">
        <v>1</v>
      </c>
      <c r="I34" t="s">
        <v>6815</v>
      </c>
    </row>
    <row r="35" spans="3:9" x14ac:dyDescent="0.25">
      <c r="C35" t="str">
        <f>HYPERLINK("http://amigo.geneontology.org/cgi-bin/amigo/term-details.cgi?term=GO:1901362","GO:1901362")</f>
        <v>GO:1901362</v>
      </c>
      <c r="D35" t="s">
        <v>6821</v>
      </c>
      <c r="E35">
        <v>3823</v>
      </c>
      <c r="F35">
        <v>2</v>
      </c>
      <c r="G35">
        <v>1.37991312484764E-2</v>
      </c>
      <c r="H35">
        <v>1</v>
      </c>
      <c r="I35" t="s">
        <v>6815</v>
      </c>
    </row>
    <row r="36" spans="3:9" x14ac:dyDescent="0.25">
      <c r="C36" t="str">
        <f>HYPERLINK("http://amigo.geneontology.org/cgi-bin/amigo/term-details.cgi?term=GO:0016070","GO:0016070")</f>
        <v>GO:0016070</v>
      </c>
      <c r="D36" t="s">
        <v>6822</v>
      </c>
      <c r="E36">
        <v>4072</v>
      </c>
      <c r="F36">
        <v>2</v>
      </c>
      <c r="G36">
        <v>1.5586109213597399E-2</v>
      </c>
      <c r="H36">
        <v>1</v>
      </c>
      <c r="I36" t="s">
        <v>6815</v>
      </c>
    </row>
    <row r="37" spans="3:9" x14ac:dyDescent="0.25">
      <c r="C37" t="str">
        <f>HYPERLINK("http://amigo.geneontology.org/cgi-bin/amigo/term-details.cgi?term=GO:0009755","GO:0009755")</f>
        <v>GO:0009755</v>
      </c>
      <c r="D37" t="s">
        <v>6823</v>
      </c>
      <c r="E37">
        <v>387</v>
      </c>
      <c r="F37">
        <v>1</v>
      </c>
      <c r="G37">
        <v>1.9932929819707099E-2</v>
      </c>
      <c r="H37">
        <v>1</v>
      </c>
      <c r="I37" t="s">
        <v>1413</v>
      </c>
    </row>
    <row r="38" spans="3:9" x14ac:dyDescent="0.25">
      <c r="C38" t="str">
        <f>HYPERLINK("http://amigo.geneontology.org/cgi-bin/amigo/term-details.cgi?term=GO:0006355","GO:0006355")</f>
        <v>GO:0006355</v>
      </c>
      <c r="D38" t="s">
        <v>6824</v>
      </c>
      <c r="E38">
        <v>4671</v>
      </c>
      <c r="F38">
        <v>2</v>
      </c>
      <c r="G38">
        <v>2.02909572619413E-2</v>
      </c>
      <c r="H38">
        <v>1</v>
      </c>
      <c r="I38" t="s">
        <v>6815</v>
      </c>
    </row>
    <row r="39" spans="3:9" x14ac:dyDescent="0.25">
      <c r="C39" t="str">
        <f>HYPERLINK("http://amigo.geneontology.org/cgi-bin/amigo/term-details.cgi?term=GO:1903506","GO:1903506")</f>
        <v>GO:1903506</v>
      </c>
      <c r="D39" t="s">
        <v>6825</v>
      </c>
      <c r="E39">
        <v>4671</v>
      </c>
      <c r="F39">
        <v>2</v>
      </c>
      <c r="G39">
        <v>2.02909572619413E-2</v>
      </c>
      <c r="H39">
        <v>1</v>
      </c>
      <c r="I39" t="s">
        <v>6815</v>
      </c>
    </row>
    <row r="40" spans="3:9" x14ac:dyDescent="0.25">
      <c r="C40" t="str">
        <f>HYPERLINK("http://amigo.geneontology.org/cgi-bin/amigo/term-details.cgi?term=GO:2001141","GO:2001141")</f>
        <v>GO:2001141</v>
      </c>
      <c r="D40" t="s">
        <v>6826</v>
      </c>
      <c r="E40">
        <v>4680</v>
      </c>
      <c r="F40">
        <v>2</v>
      </c>
      <c r="G40">
        <v>2.0365947027083001E-2</v>
      </c>
      <c r="H40">
        <v>1</v>
      </c>
      <c r="I40" t="s">
        <v>6815</v>
      </c>
    </row>
    <row r="41" spans="3:9" x14ac:dyDescent="0.25">
      <c r="C41" t="str">
        <f>HYPERLINK("http://amigo.geneontology.org/cgi-bin/amigo/term-details.cgi?term=GO:0051252","GO:0051252")</f>
        <v>GO:0051252</v>
      </c>
      <c r="D41" t="s">
        <v>6827</v>
      </c>
      <c r="E41">
        <v>4719</v>
      </c>
      <c r="F41">
        <v>2</v>
      </c>
      <c r="G41">
        <v>2.06923541779446E-2</v>
      </c>
      <c r="H41">
        <v>1</v>
      </c>
      <c r="I41" t="s">
        <v>6815</v>
      </c>
    </row>
    <row r="42" spans="3:9" x14ac:dyDescent="0.25">
      <c r="C42" t="str">
        <f>HYPERLINK("http://amigo.geneontology.org/cgi-bin/amigo/term-details.cgi?term=GO:0032870","GO:0032870")</f>
        <v>GO:0032870</v>
      </c>
      <c r="D42" t="s">
        <v>6828</v>
      </c>
      <c r="E42">
        <v>413</v>
      </c>
      <c r="F42">
        <v>1</v>
      </c>
      <c r="G42">
        <v>2.1261323213076701E-2</v>
      </c>
      <c r="H42">
        <v>1</v>
      </c>
      <c r="I42" t="s">
        <v>1413</v>
      </c>
    </row>
    <row r="43" spans="3:9" x14ac:dyDescent="0.25">
      <c r="C43" t="str">
        <f>HYPERLINK("http://amigo.geneontology.org/cgi-bin/amigo/term-details.cgi?term=GO:0071495","GO:0071495")</f>
        <v>GO:0071495</v>
      </c>
      <c r="D43" t="s">
        <v>6829</v>
      </c>
      <c r="E43">
        <v>413</v>
      </c>
      <c r="F43">
        <v>1</v>
      </c>
      <c r="G43">
        <v>2.1261323213076701E-2</v>
      </c>
      <c r="H43">
        <v>1</v>
      </c>
      <c r="I43" t="s">
        <v>1413</v>
      </c>
    </row>
    <row r="44" spans="3:9" x14ac:dyDescent="0.25">
      <c r="C44" t="str">
        <f>HYPERLINK("http://amigo.geneontology.org/cgi-bin/amigo/term-details.cgi?term=GO:0019219","GO:0019219")</f>
        <v>GO:0019219</v>
      </c>
      <c r="D44" t="s">
        <v>6830</v>
      </c>
      <c r="E44">
        <v>4841</v>
      </c>
      <c r="F44">
        <v>2</v>
      </c>
      <c r="G44">
        <v>2.17285995762692E-2</v>
      </c>
      <c r="H44">
        <v>1</v>
      </c>
      <c r="I44" t="s">
        <v>6815</v>
      </c>
    </row>
    <row r="45" spans="3:9" x14ac:dyDescent="0.25">
      <c r="C45" t="str">
        <f>HYPERLINK("http://amigo.geneontology.org/cgi-bin/amigo/term-details.cgi?term=GO:2000112","GO:2000112")</f>
        <v>GO:2000112</v>
      </c>
      <c r="D45" t="s">
        <v>6831</v>
      </c>
      <c r="E45">
        <v>4940</v>
      </c>
      <c r="F45">
        <v>2</v>
      </c>
      <c r="G45">
        <v>2.2586302483004601E-2</v>
      </c>
      <c r="H45">
        <v>1</v>
      </c>
      <c r="I45" t="s">
        <v>6815</v>
      </c>
    </row>
    <row r="46" spans="3:9" x14ac:dyDescent="0.25">
      <c r="C46" t="str">
        <f>HYPERLINK("http://amigo.geneontology.org/cgi-bin/amigo/term-details.cgi?term=GO:0010556","GO:0010556")</f>
        <v>GO:0010556</v>
      </c>
      <c r="D46" t="s">
        <v>6832</v>
      </c>
      <c r="E46">
        <v>4949</v>
      </c>
      <c r="F46">
        <v>2</v>
      </c>
      <c r="G46">
        <v>2.2665018973486901E-2</v>
      </c>
      <c r="H46">
        <v>1</v>
      </c>
      <c r="I46" t="s">
        <v>6815</v>
      </c>
    </row>
    <row r="47" spans="3:9" x14ac:dyDescent="0.25">
      <c r="C47" t="str">
        <f>HYPERLINK("http://amigo.geneontology.org/cgi-bin/amigo/term-details.cgi?term=GO:0031326","GO:0031326")</f>
        <v>GO:0031326</v>
      </c>
      <c r="D47" t="s">
        <v>6833</v>
      </c>
      <c r="E47">
        <v>4977</v>
      </c>
      <c r="F47">
        <v>2</v>
      </c>
      <c r="G47">
        <v>2.2910704959420599E-2</v>
      </c>
      <c r="H47">
        <v>1</v>
      </c>
      <c r="I47" t="s">
        <v>6815</v>
      </c>
    </row>
    <row r="48" spans="3:9" x14ac:dyDescent="0.25">
      <c r="C48" t="str">
        <f>HYPERLINK("http://amigo.geneontology.org/cgi-bin/amigo/term-details.cgi?term=GO:0009889","GO:0009889")</f>
        <v>GO:0009889</v>
      </c>
      <c r="D48" t="s">
        <v>6834</v>
      </c>
      <c r="E48">
        <v>4994</v>
      </c>
      <c r="F48">
        <v>2</v>
      </c>
      <c r="G48">
        <v>2.3060454314835801E-2</v>
      </c>
      <c r="H48">
        <v>1</v>
      </c>
      <c r="I48" t="s">
        <v>6815</v>
      </c>
    </row>
    <row r="49" spans="3:9" x14ac:dyDescent="0.25">
      <c r="C49" t="str">
        <f>HYPERLINK("http://amigo.geneontology.org/cgi-bin/amigo/term-details.cgi?term=GO:0034645","GO:0034645")</f>
        <v>GO:0034645</v>
      </c>
      <c r="D49" t="s">
        <v>6835</v>
      </c>
      <c r="E49">
        <v>5068</v>
      </c>
      <c r="F49">
        <v>2</v>
      </c>
      <c r="G49">
        <v>2.3717422574979E-2</v>
      </c>
      <c r="H49">
        <v>1</v>
      </c>
      <c r="I49" t="s">
        <v>6815</v>
      </c>
    </row>
    <row r="50" spans="3:9" x14ac:dyDescent="0.25">
      <c r="C50" t="str">
        <f>HYPERLINK("http://amigo.geneontology.org/cgi-bin/amigo/term-details.cgi?term=GO:0009059","GO:0009059")</f>
        <v>GO:0009059</v>
      </c>
      <c r="D50" t="s">
        <v>6836</v>
      </c>
      <c r="E50">
        <v>5170</v>
      </c>
      <c r="F50">
        <v>2</v>
      </c>
      <c r="G50">
        <v>2.4636563096676702E-2</v>
      </c>
      <c r="H50">
        <v>1</v>
      </c>
      <c r="I50" t="s">
        <v>6815</v>
      </c>
    </row>
    <row r="51" spans="3:9" x14ac:dyDescent="0.25">
      <c r="C51" t="str">
        <f>HYPERLINK("http://amigo.geneontology.org/cgi-bin/amigo/term-details.cgi?term=GO:0010468","GO:0010468")</f>
        <v>GO:0010468</v>
      </c>
      <c r="D51" t="s">
        <v>6837</v>
      </c>
      <c r="E51">
        <v>5182</v>
      </c>
      <c r="F51">
        <v>2</v>
      </c>
      <c r="G51">
        <v>2.4745728806294599E-2</v>
      </c>
      <c r="H51">
        <v>1</v>
      </c>
      <c r="I51" t="s">
        <v>6815</v>
      </c>
    </row>
    <row r="52" spans="3:9" x14ac:dyDescent="0.25">
      <c r="C52" t="str">
        <f>HYPERLINK("http://amigo.geneontology.org/cgi-bin/amigo/term-details.cgi?term=GO:0044271","GO:0044271")</f>
        <v>GO:0044271</v>
      </c>
      <c r="D52" t="s">
        <v>6838</v>
      </c>
      <c r="E52">
        <v>5186</v>
      </c>
      <c r="F52">
        <v>2</v>
      </c>
      <c r="G52">
        <v>2.4782165515094701E-2</v>
      </c>
      <c r="H52">
        <v>1</v>
      </c>
      <c r="I52" t="s">
        <v>6815</v>
      </c>
    </row>
    <row r="53" spans="3:9" x14ac:dyDescent="0.25">
      <c r="C53" t="str">
        <f>HYPERLINK("http://amigo.geneontology.org/cgi-bin/amigo/term-details.cgi?term=GO:0005634","GO:0005634")</f>
        <v>GO:0005634</v>
      </c>
      <c r="D53" t="s">
        <v>6839</v>
      </c>
      <c r="E53">
        <v>5199</v>
      </c>
      <c r="F53">
        <v>2</v>
      </c>
      <c r="G53">
        <v>2.4900750954609301E-2</v>
      </c>
      <c r="H53">
        <v>1</v>
      </c>
      <c r="I53" t="s">
        <v>6815</v>
      </c>
    </row>
    <row r="54" spans="3:9" x14ac:dyDescent="0.25">
      <c r="C54" t="str">
        <f>HYPERLINK("http://amigo.geneontology.org/cgi-bin/amigo/term-details.cgi?term=GO:0010467","GO:0010467")</f>
        <v>GO:0010467</v>
      </c>
      <c r="D54" t="s">
        <v>6840</v>
      </c>
      <c r="E54">
        <v>5200</v>
      </c>
      <c r="F54">
        <v>2</v>
      </c>
      <c r="G54">
        <v>2.4909883431598299E-2</v>
      </c>
      <c r="H54">
        <v>1</v>
      </c>
      <c r="I54" t="s">
        <v>6815</v>
      </c>
    </row>
    <row r="55" spans="3:9" x14ac:dyDescent="0.25">
      <c r="C55" t="str">
        <f>HYPERLINK("http://amigo.geneontology.org/cgi-bin/amigo/term-details.cgi?term=GO:0071310","GO:0071310")</f>
        <v>GO:0071310</v>
      </c>
      <c r="D55" t="s">
        <v>6841</v>
      </c>
      <c r="E55">
        <v>490</v>
      </c>
      <c r="F55">
        <v>1</v>
      </c>
      <c r="G55">
        <v>2.5187490608947701E-2</v>
      </c>
      <c r="H55">
        <v>1</v>
      </c>
      <c r="I55" t="s">
        <v>1413</v>
      </c>
    </row>
    <row r="56" spans="3:9" x14ac:dyDescent="0.25">
      <c r="C56" t="str">
        <f>HYPERLINK("http://amigo.geneontology.org/cgi-bin/amigo/term-details.cgi?term=GO:0090304","GO:0090304")</f>
        <v>GO:0090304</v>
      </c>
      <c r="D56" t="s">
        <v>6842</v>
      </c>
      <c r="E56">
        <v>5292</v>
      </c>
      <c r="F56">
        <v>2</v>
      </c>
      <c r="G56">
        <v>2.57564864961351E-2</v>
      </c>
      <c r="H56">
        <v>1</v>
      </c>
      <c r="I56" t="s">
        <v>6815</v>
      </c>
    </row>
    <row r="57" spans="3:9" x14ac:dyDescent="0.25">
      <c r="C57" t="str">
        <f>HYPERLINK("http://amigo.geneontology.org/cgi-bin/amigo/term-details.cgi?term=GO:0051171","GO:0051171")</f>
        <v>GO:0051171</v>
      </c>
      <c r="D57" t="s">
        <v>6843</v>
      </c>
      <c r="E57">
        <v>5333</v>
      </c>
      <c r="F57">
        <v>2</v>
      </c>
      <c r="G57">
        <v>2.6137854111641198E-2</v>
      </c>
      <c r="H57">
        <v>1</v>
      </c>
      <c r="I57" t="s">
        <v>6815</v>
      </c>
    </row>
    <row r="58" spans="3:9" x14ac:dyDescent="0.25">
      <c r="C58" t="str">
        <f>HYPERLINK("http://amigo.geneontology.org/cgi-bin/amigo/term-details.cgi?term=GO:0009733","GO:0009733")</f>
        <v>GO:0009733</v>
      </c>
      <c r="D58" t="s">
        <v>4475</v>
      </c>
      <c r="E58">
        <v>515</v>
      </c>
      <c r="F58">
        <v>1</v>
      </c>
      <c r="G58">
        <v>2.6459676423672401E-2</v>
      </c>
      <c r="H58">
        <v>1</v>
      </c>
      <c r="I58" t="s">
        <v>1413</v>
      </c>
    </row>
    <row r="59" spans="3:9" x14ac:dyDescent="0.25">
      <c r="C59" t="str">
        <f>HYPERLINK("http://amigo.geneontology.org/cgi-bin/amigo/term-details.cgi?term=GO:0080090","GO:0080090")</f>
        <v>GO:0080090</v>
      </c>
      <c r="D59" t="s">
        <v>6844</v>
      </c>
      <c r="E59">
        <v>5373</v>
      </c>
      <c r="F59">
        <v>2</v>
      </c>
      <c r="G59">
        <v>2.65123337924143E-2</v>
      </c>
      <c r="H59">
        <v>1</v>
      </c>
      <c r="I59" t="s">
        <v>6815</v>
      </c>
    </row>
    <row r="60" spans="3:9" x14ac:dyDescent="0.25">
      <c r="C60" t="str">
        <f>HYPERLINK("http://amigo.geneontology.org/cgi-bin/amigo/term-details.cgi?term=GO:0031323","GO:0031323")</f>
        <v>GO:0031323</v>
      </c>
      <c r="D60" t="s">
        <v>6845</v>
      </c>
      <c r="E60">
        <v>5403</v>
      </c>
      <c r="F60">
        <v>2</v>
      </c>
      <c r="G60">
        <v>2.67947543493572E-2</v>
      </c>
      <c r="H60">
        <v>1</v>
      </c>
      <c r="I60" t="s">
        <v>6815</v>
      </c>
    </row>
    <row r="61" spans="3:9" x14ac:dyDescent="0.25">
      <c r="C61" t="str">
        <f>HYPERLINK("http://amigo.geneontology.org/cgi-bin/amigo/term-details.cgi?term=GO:0070887","GO:0070887")</f>
        <v>GO:0070887</v>
      </c>
      <c r="D61" t="s">
        <v>6846</v>
      </c>
      <c r="E61">
        <v>551</v>
      </c>
      <c r="F61">
        <v>1</v>
      </c>
      <c r="G61">
        <v>2.8289435910691399E-2</v>
      </c>
      <c r="H61">
        <v>1</v>
      </c>
      <c r="I61" t="s">
        <v>1413</v>
      </c>
    </row>
    <row r="62" spans="3:9" x14ac:dyDescent="0.25">
      <c r="C62" t="str">
        <f>HYPERLINK("http://amigo.geneontology.org/cgi-bin/amigo/term-details.cgi?term=GO:0060255","GO:0060255")</f>
        <v>GO:0060255</v>
      </c>
      <c r="D62" t="s">
        <v>6847</v>
      </c>
      <c r="E62">
        <v>5585</v>
      </c>
      <c r="F62">
        <v>2</v>
      </c>
      <c r="G62">
        <v>2.8536630790616201E-2</v>
      </c>
      <c r="H62">
        <v>1</v>
      </c>
      <c r="I62" t="s">
        <v>6815</v>
      </c>
    </row>
    <row r="63" spans="3:9" x14ac:dyDescent="0.25">
      <c r="C63" t="str">
        <f>HYPERLINK("http://amigo.geneontology.org/cgi-bin/amigo/term-details.cgi?term=GO:0019222","GO:0019222")</f>
        <v>GO:0019222</v>
      </c>
      <c r="D63" t="s">
        <v>6848</v>
      </c>
      <c r="E63">
        <v>5726</v>
      </c>
      <c r="F63">
        <v>2</v>
      </c>
      <c r="G63">
        <v>2.9919525646999599E-2</v>
      </c>
      <c r="H63">
        <v>1</v>
      </c>
      <c r="I63" t="s">
        <v>6815</v>
      </c>
    </row>
    <row r="64" spans="3:9" x14ac:dyDescent="0.25">
      <c r="C64" t="str">
        <f>HYPERLINK("http://amigo.geneontology.org/cgi-bin/amigo/term-details.cgi?term=GO:0006139","GO:0006139")</f>
        <v>GO:0006139</v>
      </c>
      <c r="D64" t="s">
        <v>6849</v>
      </c>
      <c r="E64">
        <v>6711</v>
      </c>
      <c r="F64">
        <v>2</v>
      </c>
      <c r="G64">
        <v>4.0371575198969799E-2</v>
      </c>
      <c r="H64">
        <v>1</v>
      </c>
      <c r="I64" t="s">
        <v>6815</v>
      </c>
    </row>
    <row r="65" spans="3:9" x14ac:dyDescent="0.25">
      <c r="C65" t="str">
        <f>HYPERLINK("http://amigo.geneontology.org/cgi-bin/amigo/term-details.cgi?term=GO:0003677","GO:0003677")</f>
        <v>GO:0003677</v>
      </c>
      <c r="D65" t="s">
        <v>6850</v>
      </c>
      <c r="E65">
        <v>6799</v>
      </c>
      <c r="F65">
        <v>2</v>
      </c>
      <c r="G65">
        <v>4.1370977398665597E-2</v>
      </c>
      <c r="H65">
        <v>1</v>
      </c>
      <c r="I65" t="s">
        <v>6815</v>
      </c>
    </row>
    <row r="66" spans="3:9" x14ac:dyDescent="0.25">
      <c r="C66" t="str">
        <f>HYPERLINK("http://amigo.geneontology.org/cgi-bin/amigo/term-details.cgi?term=GO:0046483","GO:0046483")</f>
        <v>GO:0046483</v>
      </c>
      <c r="D66" t="s">
        <v>6851</v>
      </c>
      <c r="E66">
        <v>7368</v>
      </c>
      <c r="F66">
        <v>2</v>
      </c>
      <c r="G66">
        <v>4.8083460824882199E-2</v>
      </c>
      <c r="H66">
        <v>1</v>
      </c>
      <c r="I66" t="s">
        <v>6815</v>
      </c>
    </row>
    <row r="67" spans="3:9" x14ac:dyDescent="0.25">
      <c r="C67" t="str">
        <f>HYPERLINK("http://amigo.geneontology.org/cgi-bin/amigo/term-details.cgi?term=GO:0009719","GO:0009719")</f>
        <v>GO:0009719</v>
      </c>
      <c r="D67" t="s">
        <v>6852</v>
      </c>
      <c r="E67">
        <v>983</v>
      </c>
      <c r="F67">
        <v>1</v>
      </c>
      <c r="G67">
        <v>5.0045966187064299E-2</v>
      </c>
      <c r="H67">
        <v>1</v>
      </c>
      <c r="I67" t="s">
        <v>1413</v>
      </c>
    </row>
    <row r="68" spans="3:9" x14ac:dyDescent="0.25">
      <c r="C68" t="str">
        <f>HYPERLINK("http://amigo.geneontology.org/cgi-bin/amigo/term-details.cgi?term=GO:0009725","GO:0009725")</f>
        <v>GO:0009725</v>
      </c>
      <c r="D68" t="s">
        <v>6853</v>
      </c>
      <c r="E68">
        <v>983</v>
      </c>
      <c r="F68">
        <v>1</v>
      </c>
      <c r="G68">
        <v>5.0045966187064299E-2</v>
      </c>
      <c r="H68">
        <v>1</v>
      </c>
      <c r="I68" t="s">
        <v>1413</v>
      </c>
    </row>
    <row r="69" spans="3:9" x14ac:dyDescent="0.25">
      <c r="C69" t="str">
        <f>HYPERLINK("http://amigo.geneontology.org/cgi-bin/amigo/term-details.cgi?term=GO:0006725","GO:0006725")</f>
        <v>GO:0006725</v>
      </c>
      <c r="D69" t="s">
        <v>6854</v>
      </c>
      <c r="E69">
        <v>7538</v>
      </c>
      <c r="F69">
        <v>2</v>
      </c>
      <c r="G69">
        <v>5.0171546301558199E-2</v>
      </c>
      <c r="H69">
        <v>1</v>
      </c>
      <c r="I69" t="s">
        <v>6815</v>
      </c>
    </row>
    <row r="70" spans="3:9" x14ac:dyDescent="0.25">
      <c r="C70" t="str">
        <f>HYPERLINK("http://amigo.geneontology.org/cgi-bin/amigo/term-details.cgi?term=GO:0050794","GO:0050794")</f>
        <v>GO:0050794</v>
      </c>
      <c r="D70" t="s">
        <v>6855</v>
      </c>
      <c r="E70">
        <v>7609</v>
      </c>
      <c r="F70">
        <v>2</v>
      </c>
      <c r="G70">
        <v>5.1054671477151502E-2</v>
      </c>
      <c r="H70">
        <v>1</v>
      </c>
      <c r="I70" t="s">
        <v>6815</v>
      </c>
    </row>
    <row r="71" spans="3:9" x14ac:dyDescent="0.25">
      <c r="C71" t="str">
        <f>HYPERLINK("http://amigo.geneontology.org/cgi-bin/amigo/term-details.cgi?term=GO:1901360","GO:1901360")</f>
        <v>GO:1901360</v>
      </c>
      <c r="D71" t="s">
        <v>6856</v>
      </c>
      <c r="E71">
        <v>7710</v>
      </c>
      <c r="F71">
        <v>2</v>
      </c>
      <c r="G71">
        <v>5.2322070440029303E-2</v>
      </c>
      <c r="H71">
        <v>1</v>
      </c>
      <c r="I71" t="s">
        <v>6815</v>
      </c>
    </row>
    <row r="72" spans="3:9" x14ac:dyDescent="0.25">
      <c r="C72" t="str">
        <f>HYPERLINK("http://amigo.geneontology.org/cgi-bin/amigo/term-details.cgi?term=GO:0044249","GO:0044249")</f>
        <v>GO:0044249</v>
      </c>
      <c r="D72" t="s">
        <v>6857</v>
      </c>
      <c r="E72">
        <v>8198</v>
      </c>
      <c r="F72">
        <v>2</v>
      </c>
      <c r="G72">
        <v>5.86269536552914E-2</v>
      </c>
      <c r="H72">
        <v>1</v>
      </c>
      <c r="I72" t="s">
        <v>6815</v>
      </c>
    </row>
    <row r="73" spans="3:9" x14ac:dyDescent="0.25">
      <c r="C73" t="str">
        <f>HYPERLINK("http://amigo.geneontology.org/cgi-bin/amigo/term-details.cgi?term=GO:0050789","GO:0050789")</f>
        <v>GO:0050789</v>
      </c>
      <c r="D73" t="s">
        <v>6858</v>
      </c>
      <c r="E73">
        <v>8240</v>
      </c>
      <c r="F73">
        <v>2</v>
      </c>
      <c r="G73">
        <v>5.9183413489145499E-2</v>
      </c>
      <c r="H73">
        <v>1</v>
      </c>
      <c r="I73" t="s">
        <v>6815</v>
      </c>
    </row>
    <row r="74" spans="3:9" x14ac:dyDescent="0.25">
      <c r="C74" t="str">
        <f>HYPERLINK("http://amigo.geneontology.org/cgi-bin/amigo/term-details.cgi?term=GO:0005515","GO:0005515")</f>
        <v>GO:0005515</v>
      </c>
      <c r="D74" t="s">
        <v>6859</v>
      </c>
      <c r="E74">
        <v>20375</v>
      </c>
      <c r="F74">
        <v>3</v>
      </c>
      <c r="G74">
        <v>5.9230555881634603E-2</v>
      </c>
      <c r="H74">
        <v>1</v>
      </c>
      <c r="I74" t="s">
        <v>6686</v>
      </c>
    </row>
    <row r="75" spans="3:9" x14ac:dyDescent="0.25">
      <c r="C75" t="str">
        <f>HYPERLINK("http://amigo.geneontology.org/cgi-bin/amigo/term-details.cgi?term=GO:1901576","GO:1901576")</f>
        <v>GO:1901576</v>
      </c>
      <c r="D75" t="s">
        <v>6860</v>
      </c>
      <c r="E75">
        <v>8402</v>
      </c>
      <c r="F75">
        <v>2</v>
      </c>
      <c r="G75">
        <v>6.1349949566113997E-2</v>
      </c>
      <c r="H75">
        <v>1</v>
      </c>
      <c r="I75" t="s">
        <v>6815</v>
      </c>
    </row>
    <row r="76" spans="3:9" x14ac:dyDescent="0.25">
      <c r="C76" t="str">
        <f>HYPERLINK("http://amigo.geneontology.org/cgi-bin/amigo/term-details.cgi?term=GO:0034641","GO:0034641")</f>
        <v>GO:0034641</v>
      </c>
      <c r="D76" t="s">
        <v>6861</v>
      </c>
      <c r="E76">
        <v>8812</v>
      </c>
      <c r="F76">
        <v>2</v>
      </c>
      <c r="G76">
        <v>6.6974336464736703E-2</v>
      </c>
      <c r="H76">
        <v>1</v>
      </c>
      <c r="I76" t="s">
        <v>6815</v>
      </c>
    </row>
    <row r="77" spans="3:9" x14ac:dyDescent="0.25">
      <c r="C77" t="str">
        <f>HYPERLINK("http://amigo.geneontology.org/cgi-bin/amigo/term-details.cgi?term=GO:0009058","GO:0009058")</f>
        <v>GO:0009058</v>
      </c>
      <c r="D77" t="s">
        <v>5724</v>
      </c>
      <c r="E77">
        <v>8848</v>
      </c>
      <c r="F77">
        <v>2</v>
      </c>
      <c r="G77">
        <v>6.7477708503004205E-2</v>
      </c>
      <c r="H77">
        <v>1</v>
      </c>
      <c r="I77" t="s">
        <v>6815</v>
      </c>
    </row>
    <row r="78" spans="3:9" x14ac:dyDescent="0.25">
      <c r="C78" t="str">
        <f>HYPERLINK("http://amigo.geneontology.org/cgi-bin/amigo/term-details.cgi?term=GO:0007165","GO:0007165")</f>
        <v>GO:0007165</v>
      </c>
      <c r="D78" t="s">
        <v>5347</v>
      </c>
      <c r="E78">
        <v>1544</v>
      </c>
      <c r="F78">
        <v>1</v>
      </c>
      <c r="G78">
        <v>7.7751501824088298E-2</v>
      </c>
      <c r="H78">
        <v>1</v>
      </c>
      <c r="I78" t="s">
        <v>1413</v>
      </c>
    </row>
    <row r="79" spans="3:9" x14ac:dyDescent="0.25">
      <c r="C79" t="str">
        <f>HYPERLINK("http://amigo.geneontology.org/cgi-bin/amigo/term-details.cgi?term=GO:0043231","GO:0043231")</f>
        <v>GO:0043231</v>
      </c>
      <c r="D79" t="s">
        <v>6862</v>
      </c>
      <c r="E79">
        <v>10073</v>
      </c>
      <c r="F79">
        <v>2</v>
      </c>
      <c r="G79">
        <v>8.5485408792319806E-2</v>
      </c>
      <c r="H79">
        <v>1</v>
      </c>
      <c r="I79" t="s">
        <v>6815</v>
      </c>
    </row>
    <row r="80" spans="3:9" x14ac:dyDescent="0.25">
      <c r="C80" t="str">
        <f>HYPERLINK("http://amigo.geneontology.org/cgi-bin/amigo/term-details.cgi?term=GO:0043227","GO:0043227")</f>
        <v>GO:0043227</v>
      </c>
      <c r="D80" t="s">
        <v>6863</v>
      </c>
      <c r="E80">
        <v>10194</v>
      </c>
      <c r="F80">
        <v>2</v>
      </c>
      <c r="G80">
        <v>8.7353605238106397E-2</v>
      </c>
      <c r="H80">
        <v>1</v>
      </c>
      <c r="I80" t="s">
        <v>6815</v>
      </c>
    </row>
    <row r="81" spans="3:9" x14ac:dyDescent="0.25">
      <c r="C81" t="str">
        <f>HYPERLINK("http://amigo.geneontology.org/cgi-bin/amigo/term-details.cgi?term=GO:0046983","GO:0046983")</f>
        <v>GO:0046983</v>
      </c>
      <c r="D81" t="s">
        <v>149</v>
      </c>
      <c r="E81">
        <v>2218</v>
      </c>
      <c r="F81">
        <v>1</v>
      </c>
      <c r="G81">
        <v>0.110231127209272</v>
      </c>
      <c r="H81">
        <v>1</v>
      </c>
      <c r="I81" t="s">
        <v>1413</v>
      </c>
    </row>
    <row r="82" spans="3:9" x14ac:dyDescent="0.25">
      <c r="C82" t="str">
        <f>HYPERLINK("http://amigo.geneontology.org/cgi-bin/amigo/term-details.cgi?term=GO:0043229","GO:0043229")</f>
        <v>GO:0043229</v>
      </c>
      <c r="D82" t="s">
        <v>6864</v>
      </c>
      <c r="E82">
        <v>11998</v>
      </c>
      <c r="F82">
        <v>2</v>
      </c>
      <c r="G82">
        <v>0.11696169036668</v>
      </c>
      <c r="H82">
        <v>1</v>
      </c>
      <c r="I82" t="s">
        <v>6815</v>
      </c>
    </row>
    <row r="83" spans="3:9" x14ac:dyDescent="0.25">
      <c r="C83" t="str">
        <f>HYPERLINK("http://amigo.geneontology.org/cgi-bin/amigo/term-details.cgi?term=GO:0003676","GO:0003676")</f>
        <v>GO:0003676</v>
      </c>
      <c r="D83" t="s">
        <v>6865</v>
      </c>
      <c r="E83">
        <v>12098</v>
      </c>
      <c r="F83">
        <v>2</v>
      </c>
      <c r="G83">
        <v>0.118693875755704</v>
      </c>
      <c r="H83">
        <v>1</v>
      </c>
      <c r="I83" t="s">
        <v>6815</v>
      </c>
    </row>
    <row r="84" spans="3:9" x14ac:dyDescent="0.25">
      <c r="C84" t="str">
        <f>HYPERLINK("http://amigo.geneontology.org/cgi-bin/amigo/term-details.cgi?term=GO:0044260","GO:0044260")</f>
        <v>GO:0044260</v>
      </c>
      <c r="D84" t="s">
        <v>6866</v>
      </c>
      <c r="E84">
        <v>14239</v>
      </c>
      <c r="F84">
        <v>2</v>
      </c>
      <c r="G84">
        <v>0.157812566001893</v>
      </c>
      <c r="H84">
        <v>1</v>
      </c>
      <c r="I84" t="s">
        <v>6815</v>
      </c>
    </row>
    <row r="85" spans="3:9" x14ac:dyDescent="0.25">
      <c r="C85" t="str">
        <f>HYPERLINK("http://amigo.geneontology.org/cgi-bin/amigo/term-details.cgi?term=GO:0044424","GO:0044424")</f>
        <v>GO:0044424</v>
      </c>
      <c r="D85" t="s">
        <v>6867</v>
      </c>
      <c r="E85">
        <v>14661</v>
      </c>
      <c r="F85">
        <v>2</v>
      </c>
      <c r="G85">
        <v>0.16594387606181299</v>
      </c>
      <c r="H85">
        <v>1</v>
      </c>
      <c r="I85" t="s">
        <v>6815</v>
      </c>
    </row>
    <row r="86" spans="3:9" x14ac:dyDescent="0.25">
      <c r="C86" t="str">
        <f>HYPERLINK("http://amigo.geneontology.org/cgi-bin/amigo/term-details.cgi?term=GO:0005622","GO:0005622")</f>
        <v>GO:0005622</v>
      </c>
      <c r="D86" t="s">
        <v>6868</v>
      </c>
      <c r="E86">
        <v>15259</v>
      </c>
      <c r="F86">
        <v>2</v>
      </c>
      <c r="G86">
        <v>0.17767931818168101</v>
      </c>
      <c r="H86">
        <v>1</v>
      </c>
      <c r="I86" t="s">
        <v>6815</v>
      </c>
    </row>
    <row r="87" spans="3:9" x14ac:dyDescent="0.25">
      <c r="C87" t="str">
        <f>HYPERLINK("http://amigo.geneontology.org/cgi-bin/amigo/term-details.cgi?term=GO:0044464","GO:0044464")</f>
        <v>GO:0044464</v>
      </c>
      <c r="D87" t="s">
        <v>6869</v>
      </c>
      <c r="E87">
        <v>16205</v>
      </c>
      <c r="F87">
        <v>2</v>
      </c>
      <c r="G87">
        <v>0.19671840082432299</v>
      </c>
      <c r="H87">
        <v>1</v>
      </c>
      <c r="I87" t="s">
        <v>6815</v>
      </c>
    </row>
    <row r="88" spans="3:9" x14ac:dyDescent="0.25">
      <c r="C88" t="str">
        <f>HYPERLINK("http://amigo.geneontology.org/cgi-bin/amigo/term-details.cgi?term=GO:0043170","GO:0043170")</f>
        <v>GO:0043170</v>
      </c>
      <c r="D88" t="s">
        <v>6870</v>
      </c>
      <c r="E88">
        <v>17685</v>
      </c>
      <c r="F88">
        <v>2</v>
      </c>
      <c r="G88">
        <v>0.22753986619189201</v>
      </c>
      <c r="H88">
        <v>1</v>
      </c>
      <c r="I88" t="s">
        <v>6815</v>
      </c>
    </row>
    <row r="89" spans="3:9" x14ac:dyDescent="0.25">
      <c r="C89" t="str">
        <f>HYPERLINK("http://amigo.geneontology.org/cgi-bin/amigo/term-details.cgi?term=GO:0006807","GO:0006807")</f>
        <v>GO:0006807</v>
      </c>
      <c r="D89" t="s">
        <v>6871</v>
      </c>
      <c r="E89">
        <v>19736</v>
      </c>
      <c r="F89">
        <v>2</v>
      </c>
      <c r="G89">
        <v>0.27196392203191</v>
      </c>
      <c r="H89">
        <v>1</v>
      </c>
      <c r="I89" t="s">
        <v>6815</v>
      </c>
    </row>
    <row r="90" spans="3:9" x14ac:dyDescent="0.25">
      <c r="C90" t="str">
        <f>HYPERLINK("http://amigo.geneontology.org/cgi-bin/amigo/term-details.cgi?term=GO:0044237","GO:0044237")</f>
        <v>GO:0044237</v>
      </c>
      <c r="D90" t="s">
        <v>6872</v>
      </c>
      <c r="E90">
        <v>21432</v>
      </c>
      <c r="F90">
        <v>2</v>
      </c>
      <c r="G90">
        <v>0.30983206751046699</v>
      </c>
      <c r="H90">
        <v>1</v>
      </c>
      <c r="I90" t="s">
        <v>6815</v>
      </c>
    </row>
    <row r="91" spans="3:9" x14ac:dyDescent="0.25">
      <c r="C91" t="str">
        <f>HYPERLINK("http://amigo.geneontology.org/cgi-bin/amigo/term-details.cgi?term=GO:0044238","GO:0044238")</f>
        <v>GO:0044238</v>
      </c>
      <c r="D91" t="s">
        <v>612</v>
      </c>
      <c r="E91">
        <v>23308</v>
      </c>
      <c r="F91">
        <v>2</v>
      </c>
      <c r="G91">
        <v>0.35251909578099999</v>
      </c>
      <c r="H91">
        <v>1</v>
      </c>
      <c r="I91" t="s">
        <v>6815</v>
      </c>
    </row>
    <row r="92" spans="3:9" x14ac:dyDescent="0.25">
      <c r="C92" t="str">
        <f>HYPERLINK("http://amigo.geneontology.org/cgi-bin/amigo/term-details.cgi?term=GO:0071704","GO:0071704")</f>
        <v>GO:0071704</v>
      </c>
      <c r="D92" t="s">
        <v>472</v>
      </c>
      <c r="E92">
        <v>24369</v>
      </c>
      <c r="F92">
        <v>2</v>
      </c>
      <c r="G92">
        <v>0.37689013613598599</v>
      </c>
      <c r="H92">
        <v>1</v>
      </c>
      <c r="I92" t="s">
        <v>6815</v>
      </c>
    </row>
    <row r="93" spans="3:9" x14ac:dyDescent="0.25">
      <c r="C93" t="str">
        <f>HYPERLINK("http://amigo.geneontology.org/cgi-bin/amigo/term-details.cgi?term=GO:1901363","GO:1901363")</f>
        <v>GO:1901363</v>
      </c>
      <c r="D93" t="s">
        <v>6873</v>
      </c>
      <c r="E93">
        <v>27367</v>
      </c>
      <c r="F93">
        <v>2</v>
      </c>
      <c r="G93">
        <v>0.44597758698111201</v>
      </c>
      <c r="H93">
        <v>1</v>
      </c>
      <c r="I93" t="s">
        <v>6815</v>
      </c>
    </row>
    <row r="94" spans="3:9" x14ac:dyDescent="0.25">
      <c r="C94" t="str">
        <f>HYPERLINK("http://amigo.geneontology.org/cgi-bin/amigo/term-details.cgi?term=GO:0097159","GO:0097159")</f>
        <v>GO:0097159</v>
      </c>
      <c r="D94" t="s">
        <v>6874</v>
      </c>
      <c r="E94">
        <v>27370</v>
      </c>
      <c r="F94">
        <v>2</v>
      </c>
      <c r="G94">
        <v>0.44604656549567201</v>
      </c>
      <c r="H94">
        <v>1</v>
      </c>
      <c r="I94" t="s">
        <v>6815</v>
      </c>
    </row>
  </sheetData>
  <sortState ref="C11:I93">
    <sortCondition ref="G11:G93"/>
    <sortCondition ref="C11:C9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9"/>
  <sheetViews>
    <sheetView workbookViewId="0">
      <pane xSplit="4" ySplit="11" topLeftCell="E12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23" customWidth="1"/>
    <col min="3" max="3" width="16.5703125" customWidth="1"/>
    <col min="4" max="4" width="34.7109375" customWidth="1"/>
  </cols>
  <sheetData>
    <row r="1" spans="1:9" ht="20.25" x14ac:dyDescent="0.3">
      <c r="A1" s="12" t="s">
        <v>6875</v>
      </c>
    </row>
    <row r="2" spans="1:9" x14ac:dyDescent="0.25">
      <c r="A2" s="6" t="s">
        <v>6876</v>
      </c>
      <c r="B2" s="7">
        <f>1457/6855</f>
        <v>0.21254558716265501</v>
      </c>
      <c r="C2" t="s">
        <v>2</v>
      </c>
      <c r="D2">
        <v>1130</v>
      </c>
    </row>
    <row r="3" spans="1:9" x14ac:dyDescent="0.25">
      <c r="A3" t="s">
        <v>6877</v>
      </c>
      <c r="C3" t="s">
        <v>4</v>
      </c>
      <c r="D3">
        <v>77079</v>
      </c>
    </row>
    <row r="4" spans="1:9" x14ac:dyDescent="0.25">
      <c r="A4" t="s">
        <v>6878</v>
      </c>
      <c r="C4" t="s">
        <v>6</v>
      </c>
      <c r="D4" t="s">
        <v>7</v>
      </c>
    </row>
    <row r="5" spans="1:9" x14ac:dyDescent="0.25">
      <c r="A5" t="s">
        <v>6879</v>
      </c>
      <c r="C5" t="s">
        <v>9</v>
      </c>
      <c r="D5" t="s">
        <v>10</v>
      </c>
    </row>
    <row r="6" spans="1:9" x14ac:dyDescent="0.25">
      <c r="A6" t="s">
        <v>6880</v>
      </c>
      <c r="C6" t="s">
        <v>12</v>
      </c>
      <c r="D6" t="s">
        <v>13</v>
      </c>
    </row>
    <row r="7" spans="1:9" x14ac:dyDescent="0.25">
      <c r="A7" t="s">
        <v>6881</v>
      </c>
      <c r="C7" t="s">
        <v>15</v>
      </c>
      <c r="D7" t="s">
        <v>16</v>
      </c>
    </row>
    <row r="8" spans="1:9" x14ac:dyDescent="0.25">
      <c r="A8" t="s">
        <v>6882</v>
      </c>
      <c r="C8" t="s">
        <v>18</v>
      </c>
      <c r="D8" t="s">
        <v>19</v>
      </c>
    </row>
    <row r="9" spans="1:9" x14ac:dyDescent="0.25">
      <c r="A9" t="s">
        <v>6883</v>
      </c>
      <c r="C9" t="s">
        <v>21</v>
      </c>
      <c r="D9">
        <v>3</v>
      </c>
    </row>
    <row r="10" spans="1:9" x14ac:dyDescent="0.25">
      <c r="A10" t="s">
        <v>6884</v>
      </c>
    </row>
    <row r="11" spans="1:9" x14ac:dyDescent="0.25">
      <c r="A11" t="s">
        <v>6885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6886</v>
      </c>
      <c r="C12" s="3" t="str">
        <f>HYPERLINK("http://amigo.geneontology.org/amigo/term/GO:0004672","GO:0004672")</f>
        <v>GO:0004672</v>
      </c>
      <c r="D12" t="s">
        <v>1481</v>
      </c>
      <c r="E12">
        <v>5633</v>
      </c>
      <c r="F12">
        <v>174</v>
      </c>
      <c r="G12" s="4">
        <v>1.0120251666418001E-20</v>
      </c>
      <c r="H12" s="4">
        <v>4.5692936273877597E-17</v>
      </c>
      <c r="I12" t="s">
        <v>6887</v>
      </c>
    </row>
    <row r="13" spans="1:9" x14ac:dyDescent="0.25">
      <c r="A13" t="s">
        <v>6888</v>
      </c>
      <c r="C13" s="3" t="str">
        <f>HYPERLINK("http://amigo.geneontology.org/amigo/term/GO:0006468","GO:0006468")</f>
        <v>GO:0006468</v>
      </c>
      <c r="D13" t="s">
        <v>1478</v>
      </c>
      <c r="E13">
        <v>5693</v>
      </c>
      <c r="F13">
        <v>174</v>
      </c>
      <c r="G13" s="4">
        <v>2.9572107284871399E-20</v>
      </c>
      <c r="H13" s="4">
        <v>6.6744246141954801E-17</v>
      </c>
      <c r="I13" t="s">
        <v>6889</v>
      </c>
    </row>
    <row r="14" spans="1:9" x14ac:dyDescent="0.25">
      <c r="A14" t="s">
        <v>6890</v>
      </c>
      <c r="C14" s="3" t="str">
        <f>HYPERLINK("http://amigo.geneontology.org/amigo/term/GO:0042737","GO:0042737")</f>
        <v>GO:0042737</v>
      </c>
      <c r="D14" t="s">
        <v>1072</v>
      </c>
      <c r="E14">
        <v>473</v>
      </c>
      <c r="F14">
        <v>40</v>
      </c>
      <c r="G14" s="4">
        <v>1.19337953076932E-18</v>
      </c>
      <c r="H14" s="4">
        <v>1.7960361938078298E-15</v>
      </c>
      <c r="I14" t="s">
        <v>6891</v>
      </c>
    </row>
    <row r="15" spans="1:9" x14ac:dyDescent="0.25">
      <c r="A15" t="s">
        <v>6892</v>
      </c>
      <c r="C15" s="3" t="str">
        <f>HYPERLINK("http://amigo.geneontology.org/amigo/term/GO:0016773","GO:0016773")</f>
        <v>GO:0016773</v>
      </c>
      <c r="D15" t="s">
        <v>791</v>
      </c>
      <c r="E15">
        <v>6062</v>
      </c>
      <c r="F15">
        <v>175</v>
      </c>
      <c r="G15" s="4">
        <v>6.3815978918810303E-18</v>
      </c>
      <c r="H15" s="4">
        <v>7.1984424220418006E-15</v>
      </c>
      <c r="I15" t="s">
        <v>6893</v>
      </c>
    </row>
    <row r="16" spans="1:9" x14ac:dyDescent="0.25">
      <c r="A16" t="s">
        <v>6894</v>
      </c>
      <c r="C16" s="3" t="str">
        <f>HYPERLINK("http://amigo.geneontology.org/amigo/term/GO:0004553","GO:0004553")</f>
        <v>GO:0004553</v>
      </c>
      <c r="D16" t="s">
        <v>174</v>
      </c>
      <c r="E16">
        <v>1509</v>
      </c>
      <c r="F16">
        <v>71</v>
      </c>
      <c r="G16" s="4">
        <v>1.9015244856974201E-17</v>
      </c>
      <c r="H16" s="4">
        <v>1.7170766105847702E-14</v>
      </c>
      <c r="I16" t="s">
        <v>6895</v>
      </c>
    </row>
    <row r="17" spans="1:9" x14ac:dyDescent="0.25">
      <c r="A17" t="s">
        <v>6896</v>
      </c>
      <c r="C17" s="3" t="str">
        <f>HYPERLINK("http://amigo.geneontology.org/amigo/term/GO:0016301","GO:0016301")</f>
        <v>GO:0016301</v>
      </c>
      <c r="D17" t="s">
        <v>724</v>
      </c>
      <c r="E17">
        <v>6285</v>
      </c>
      <c r="F17">
        <v>178</v>
      </c>
      <c r="G17" s="4">
        <v>2.0150297489846001E-17</v>
      </c>
      <c r="H17" s="4">
        <v>1.5153023712364201E-14</v>
      </c>
      <c r="I17" t="s">
        <v>6897</v>
      </c>
    </row>
    <row r="18" spans="1:9" x14ac:dyDescent="0.25">
      <c r="A18" t="s">
        <v>6898</v>
      </c>
      <c r="C18" s="3" t="str">
        <f>HYPERLINK("http://amigo.geneontology.org/amigo/term/GO:0016798","GO:0016798")</f>
        <v>GO:0016798</v>
      </c>
      <c r="D18" t="s">
        <v>177</v>
      </c>
      <c r="E18">
        <v>1691</v>
      </c>
      <c r="F18">
        <v>74</v>
      </c>
      <c r="G18" s="4">
        <v>1.83773731020788E-16</v>
      </c>
      <c r="H18" s="4">
        <v>1.1853405650840801E-13</v>
      </c>
      <c r="I18" t="s">
        <v>6899</v>
      </c>
    </row>
    <row r="19" spans="1:9" x14ac:dyDescent="0.25">
      <c r="A19" t="s">
        <v>6900</v>
      </c>
      <c r="C19" s="3" t="str">
        <f>HYPERLINK("http://amigo.geneontology.org/amigo/term/GO:0016310","GO:0016310")</f>
        <v>GO:0016310</v>
      </c>
      <c r="D19" t="s">
        <v>1006</v>
      </c>
      <c r="E19">
        <v>6439</v>
      </c>
      <c r="F19">
        <v>178</v>
      </c>
      <c r="G19" s="4">
        <v>2.0227965163311E-16</v>
      </c>
      <c r="H19" s="4">
        <v>1.14085723521074E-13</v>
      </c>
      <c r="I19" t="s">
        <v>6901</v>
      </c>
    </row>
    <row r="20" spans="1:9" x14ac:dyDescent="0.25">
      <c r="A20" t="s">
        <v>6902</v>
      </c>
      <c r="C20" s="3" t="str">
        <f>HYPERLINK("http://amigo.geneontology.org/amigo/term/GO:1902222","GO:1902222")</f>
        <v>GO:1902222</v>
      </c>
      <c r="D20" t="s">
        <v>6903</v>
      </c>
      <c r="E20">
        <v>62</v>
      </c>
      <c r="F20">
        <v>16</v>
      </c>
      <c r="G20" s="4">
        <v>5.9688219648587695E-16</v>
      </c>
      <c r="H20" s="4">
        <v>2.6919387061513001E-13</v>
      </c>
      <c r="I20" t="s">
        <v>6904</v>
      </c>
    </row>
    <row r="21" spans="1:9" x14ac:dyDescent="0.25">
      <c r="A21" t="s">
        <v>6905</v>
      </c>
      <c r="C21" s="3" t="str">
        <f>HYPERLINK("http://amigo.geneontology.org/amigo/term/GO:0006559","GO:0006559")</f>
        <v>GO:0006559</v>
      </c>
      <c r="D21" t="s">
        <v>6906</v>
      </c>
      <c r="E21">
        <v>62</v>
      </c>
      <c r="F21">
        <v>16</v>
      </c>
      <c r="G21" s="4">
        <v>5.9688219648587695E-16</v>
      </c>
      <c r="H21" s="4">
        <v>2.9903798043942399E-13</v>
      </c>
      <c r="I21" t="s">
        <v>6904</v>
      </c>
    </row>
    <row r="22" spans="1:9" x14ac:dyDescent="0.25">
      <c r="A22" t="s">
        <v>6907</v>
      </c>
      <c r="C22" s="3" t="str">
        <f>HYPERLINK("http://amigo.geneontology.org/amigo/term/GO:0016841","GO:0016841")</f>
        <v>GO:0016841</v>
      </c>
      <c r="D22" t="s">
        <v>6908</v>
      </c>
      <c r="E22">
        <v>67</v>
      </c>
      <c r="F22">
        <v>16</v>
      </c>
      <c r="G22" s="4">
        <v>2.2917804261670001E-15</v>
      </c>
      <c r="H22" s="4">
        <v>9.39629974728472E-13</v>
      </c>
      <c r="I22" t="s">
        <v>6904</v>
      </c>
    </row>
    <row r="23" spans="1:9" x14ac:dyDescent="0.25">
      <c r="A23" t="s">
        <v>6909</v>
      </c>
      <c r="C23" s="3" t="str">
        <f>HYPERLINK("http://amigo.geneontology.org/amigo/term/GO:0008144","GO:0008144")</f>
        <v>GO:0008144</v>
      </c>
      <c r="D23" t="s">
        <v>6910</v>
      </c>
      <c r="E23">
        <v>9423</v>
      </c>
      <c r="F23">
        <v>230</v>
      </c>
      <c r="G23" s="4">
        <v>4.40760904329901E-15</v>
      </c>
      <c r="H23" s="4">
        <v>1.65726100028042E-12</v>
      </c>
      <c r="I23" t="s">
        <v>6911</v>
      </c>
    </row>
    <row r="24" spans="1:9" x14ac:dyDescent="0.25">
      <c r="A24" t="s">
        <v>6912</v>
      </c>
      <c r="C24" s="3" t="str">
        <f>HYPERLINK("http://amigo.geneontology.org/amigo/term/GO:1902221","GO:1902221")</f>
        <v>GO:1902221</v>
      </c>
      <c r="D24" t="s">
        <v>6913</v>
      </c>
      <c r="E24">
        <v>90</v>
      </c>
      <c r="F24">
        <v>17</v>
      </c>
      <c r="G24" s="4">
        <v>2.0336917791216101E-14</v>
      </c>
      <c r="H24" s="4">
        <v>6.5484875287715804E-12</v>
      </c>
      <c r="I24" t="s">
        <v>6914</v>
      </c>
    </row>
    <row r="25" spans="1:9" x14ac:dyDescent="0.25">
      <c r="A25" t="s">
        <v>6915</v>
      </c>
      <c r="C25" s="3" t="str">
        <f>HYPERLINK("http://amigo.geneontology.org/amigo/term/GO:0006558","GO:0006558")</f>
        <v>GO:0006558</v>
      </c>
      <c r="D25" t="s">
        <v>6916</v>
      </c>
      <c r="E25">
        <v>90</v>
      </c>
      <c r="F25">
        <v>17</v>
      </c>
      <c r="G25" s="4">
        <v>2.0336917791216101E-14</v>
      </c>
      <c r="H25" s="4">
        <v>7.0569104735519803E-12</v>
      </c>
      <c r="I25" t="s">
        <v>6914</v>
      </c>
    </row>
    <row r="26" spans="1:9" x14ac:dyDescent="0.25">
      <c r="A26" t="s">
        <v>6917</v>
      </c>
      <c r="C26" s="3" t="str">
        <f>HYPERLINK("http://amigo.geneontology.org/amigo/term/GO:0016772","GO:0016772")</f>
        <v>GO:0016772</v>
      </c>
      <c r="D26" t="s">
        <v>1211</v>
      </c>
      <c r="E26">
        <v>6904</v>
      </c>
      <c r="F26">
        <v>180</v>
      </c>
      <c r="G26" s="4">
        <v>2.9532363264105297E-14</v>
      </c>
      <c r="H26" s="4">
        <v>8.8892413424956892E-12</v>
      </c>
      <c r="I26" t="s">
        <v>6918</v>
      </c>
    </row>
    <row r="27" spans="1:9" x14ac:dyDescent="0.25">
      <c r="A27" t="s">
        <v>6919</v>
      </c>
      <c r="C27" s="3" t="str">
        <f>HYPERLINK("http://amigo.geneontology.org/amigo/term/GO:0140096","GO:0140096")</f>
        <v>GO:0140096</v>
      </c>
      <c r="D27" t="s">
        <v>6920</v>
      </c>
      <c r="E27">
        <v>9453</v>
      </c>
      <c r="F27">
        <v>227</v>
      </c>
      <c r="G27" s="4">
        <v>3.9189462293207599E-14</v>
      </c>
      <c r="H27" s="4">
        <v>1.10514283666845E-11</v>
      </c>
      <c r="I27" t="s">
        <v>6921</v>
      </c>
    </row>
    <row r="28" spans="1:9" x14ac:dyDescent="0.25">
      <c r="A28" t="s">
        <v>6922</v>
      </c>
      <c r="C28" s="3" t="str">
        <f>HYPERLINK("http://amigo.geneontology.org/amigo/term/GO:0016491","GO:0016491")</f>
        <v>GO:0016491</v>
      </c>
      <c r="D28" t="s">
        <v>315</v>
      </c>
      <c r="E28">
        <v>6975</v>
      </c>
      <c r="F28">
        <v>180</v>
      </c>
      <c r="G28" s="4">
        <v>7.3324305258623704E-14</v>
      </c>
      <c r="H28" s="4">
        <v>1.94309408935353E-11</v>
      </c>
      <c r="I28" t="s">
        <v>6923</v>
      </c>
    </row>
    <row r="29" spans="1:9" x14ac:dyDescent="0.25">
      <c r="A29" t="s">
        <v>6924</v>
      </c>
      <c r="C29" s="3" t="str">
        <f>HYPERLINK("http://amigo.geneontology.org/amigo/term/GO:0004674","GO:0004674")</f>
        <v>GO:0004674</v>
      </c>
      <c r="D29" t="s">
        <v>1322</v>
      </c>
      <c r="E29">
        <v>2443</v>
      </c>
      <c r="F29">
        <v>86</v>
      </c>
      <c r="G29" s="4">
        <v>1.58713149156868E-13</v>
      </c>
      <c r="H29" s="4">
        <v>3.9678287289217102E-11</v>
      </c>
      <c r="I29" t="s">
        <v>6925</v>
      </c>
    </row>
    <row r="30" spans="1:9" x14ac:dyDescent="0.25">
      <c r="A30" t="s">
        <v>6926</v>
      </c>
      <c r="C30" s="3" t="str">
        <f>HYPERLINK("http://amigo.geneontology.org/amigo/term/GO:0005524","GO:0005524")</f>
        <v>GO:0005524</v>
      </c>
      <c r="D30" t="s">
        <v>6927</v>
      </c>
      <c r="E30">
        <v>8993</v>
      </c>
      <c r="F30">
        <v>214</v>
      </c>
      <c r="G30" s="4">
        <v>6.3173645151765495E-13</v>
      </c>
      <c r="H30" s="4">
        <v>1.49721539009684E-10</v>
      </c>
      <c r="I30" t="s">
        <v>6928</v>
      </c>
    </row>
    <row r="31" spans="1:9" x14ac:dyDescent="0.25">
      <c r="A31" t="s">
        <v>6929</v>
      </c>
      <c r="C31" s="3" t="str">
        <f>HYPERLINK("http://amigo.geneontology.org/amigo/term/GO:0009074","GO:0009074")</f>
        <v>GO:0009074</v>
      </c>
      <c r="D31" t="s">
        <v>6930</v>
      </c>
      <c r="E31">
        <v>113</v>
      </c>
      <c r="F31">
        <v>17</v>
      </c>
      <c r="G31" s="4">
        <v>1.00468181716712E-12</v>
      </c>
      <c r="H31" s="4">
        <v>2.2605340886260301E-10</v>
      </c>
      <c r="I31" t="s">
        <v>6931</v>
      </c>
    </row>
    <row r="32" spans="1:9" x14ac:dyDescent="0.25">
      <c r="A32" t="s">
        <v>6932</v>
      </c>
      <c r="C32" s="3" t="str">
        <f>HYPERLINK("http://amigo.geneontology.org/amigo/term/GO:0016998","GO:0016998")</f>
        <v>GO:0016998</v>
      </c>
      <c r="D32" t="s">
        <v>6933</v>
      </c>
      <c r="E32">
        <v>86</v>
      </c>
      <c r="F32">
        <v>15</v>
      </c>
      <c r="G32" s="4">
        <v>2.34353118092572E-12</v>
      </c>
      <c r="H32" s="4">
        <v>5.0385920389902998E-10</v>
      </c>
      <c r="I32" t="s">
        <v>6934</v>
      </c>
    </row>
    <row r="33" spans="1:9" x14ac:dyDescent="0.25">
      <c r="A33" t="s">
        <v>6935</v>
      </c>
      <c r="C33" s="3" t="str">
        <f>HYPERLINK("http://amigo.geneontology.org/amigo/term/GO:0005975","GO:0005975")</f>
        <v>GO:0005975</v>
      </c>
      <c r="D33" t="s">
        <v>171</v>
      </c>
      <c r="E33">
        <v>2990</v>
      </c>
      <c r="F33">
        <v>93</v>
      </c>
      <c r="G33" s="4">
        <v>1.5262647597778E-11</v>
      </c>
      <c r="H33" s="4">
        <v>3.12884275754449E-9</v>
      </c>
      <c r="I33" t="s">
        <v>6936</v>
      </c>
    </row>
    <row r="34" spans="1:9" x14ac:dyDescent="0.25">
      <c r="A34" t="s">
        <v>6937</v>
      </c>
      <c r="C34" s="3" t="str">
        <f>HYPERLINK("http://amigo.geneontology.org/amigo/term/GO:0004568","GO:0004568")</f>
        <v>GO:0004568</v>
      </c>
      <c r="D34" t="s">
        <v>6938</v>
      </c>
      <c r="E34">
        <v>84</v>
      </c>
      <c r="F34">
        <v>14</v>
      </c>
      <c r="G34" s="4">
        <v>2.3988666849826199E-11</v>
      </c>
      <c r="H34" s="4">
        <v>3.8621753628220197E-9</v>
      </c>
      <c r="I34" t="s">
        <v>6939</v>
      </c>
    </row>
    <row r="35" spans="1:9" x14ac:dyDescent="0.25">
      <c r="A35" t="s">
        <v>6940</v>
      </c>
      <c r="C35" s="3" t="str">
        <f>HYPERLINK("http://amigo.geneontology.org/amigo/term/GO:0006026","GO:0006026")</f>
        <v>GO:0006026</v>
      </c>
      <c r="D35" t="s">
        <v>6941</v>
      </c>
      <c r="E35">
        <v>84</v>
      </c>
      <c r="F35">
        <v>14</v>
      </c>
      <c r="G35" s="4">
        <v>2.3988666849826199E-11</v>
      </c>
      <c r="H35" s="4">
        <v>4.0061073639209699E-9</v>
      </c>
      <c r="I35" t="s">
        <v>6939</v>
      </c>
    </row>
    <row r="36" spans="1:9" x14ac:dyDescent="0.25">
      <c r="A36" t="s">
        <v>6942</v>
      </c>
      <c r="C36" s="3" t="str">
        <f>HYPERLINK("http://amigo.geneontology.org/amigo/term/GO:0006030","GO:0006030")</f>
        <v>GO:0006030</v>
      </c>
      <c r="D36" t="s">
        <v>6943</v>
      </c>
      <c r="E36">
        <v>84</v>
      </c>
      <c r="F36">
        <v>14</v>
      </c>
      <c r="G36" s="4">
        <v>2.3988666849826199E-11</v>
      </c>
      <c r="H36" s="4">
        <v>4.1500393650199299E-9</v>
      </c>
      <c r="I36" t="s">
        <v>6939</v>
      </c>
    </row>
    <row r="37" spans="1:9" x14ac:dyDescent="0.25">
      <c r="A37" t="s">
        <v>6944</v>
      </c>
      <c r="C37" s="3" t="str">
        <f>HYPERLINK("http://amigo.geneontology.org/amigo/term/GO:0046348","GO:0046348")</f>
        <v>GO:0046348</v>
      </c>
      <c r="D37" t="s">
        <v>6945</v>
      </c>
      <c r="E37">
        <v>84</v>
      </c>
      <c r="F37">
        <v>14</v>
      </c>
      <c r="G37" s="4">
        <v>2.3988666849826199E-11</v>
      </c>
      <c r="H37" s="4">
        <v>4.31796003296871E-9</v>
      </c>
      <c r="I37" t="s">
        <v>6939</v>
      </c>
    </row>
    <row r="38" spans="1:9" x14ac:dyDescent="0.25">
      <c r="A38" t="s">
        <v>6946</v>
      </c>
      <c r="C38" s="3" t="str">
        <f>HYPERLINK("http://amigo.geneontology.org/amigo/term/GO:1901072","GO:1901072")</f>
        <v>GO:1901072</v>
      </c>
      <c r="D38" t="s">
        <v>6947</v>
      </c>
      <c r="E38">
        <v>84</v>
      </c>
      <c r="F38">
        <v>14</v>
      </c>
      <c r="G38" s="4">
        <v>2.3988666849826199E-11</v>
      </c>
      <c r="H38" s="4">
        <v>4.5098693677673201E-9</v>
      </c>
      <c r="I38" t="s">
        <v>6939</v>
      </c>
    </row>
    <row r="39" spans="1:9" x14ac:dyDescent="0.25">
      <c r="A39" t="s">
        <v>6948</v>
      </c>
      <c r="C39" s="3" t="str">
        <f>HYPERLINK("http://amigo.geneontology.org/amigo/term/GO:0006032","GO:0006032")</f>
        <v>GO:0006032</v>
      </c>
      <c r="D39" t="s">
        <v>6949</v>
      </c>
      <c r="E39">
        <v>84</v>
      </c>
      <c r="F39">
        <v>14</v>
      </c>
      <c r="G39" s="4">
        <v>2.3988666849826199E-11</v>
      </c>
      <c r="H39" s="4">
        <v>4.7017787025659303E-9</v>
      </c>
      <c r="I39" t="s">
        <v>6939</v>
      </c>
    </row>
    <row r="40" spans="1:9" x14ac:dyDescent="0.25">
      <c r="A40" t="s">
        <v>6950</v>
      </c>
      <c r="C40" s="3" t="str">
        <f>HYPERLINK("http://amigo.geneontology.org/amigo/term/GO:0055114","GO:0055114")</f>
        <v>GO:0055114</v>
      </c>
      <c r="D40" t="s">
        <v>454</v>
      </c>
      <c r="E40">
        <v>6698</v>
      </c>
      <c r="F40">
        <v>165</v>
      </c>
      <c r="G40" s="4">
        <v>3.7360583260604998E-11</v>
      </c>
      <c r="H40" s="4">
        <v>5.7908904053937803E-9</v>
      </c>
      <c r="I40" t="s">
        <v>6951</v>
      </c>
    </row>
    <row r="41" spans="1:9" x14ac:dyDescent="0.25">
      <c r="A41" t="s">
        <v>6952</v>
      </c>
      <c r="C41" s="3" t="str">
        <f>HYPERLINK("http://amigo.geneontology.org/amigo/term/GO:1901071","GO:1901071")</f>
        <v>GO:1901071</v>
      </c>
      <c r="D41" t="s">
        <v>6953</v>
      </c>
      <c r="E41">
        <v>87</v>
      </c>
      <c r="F41">
        <v>14</v>
      </c>
      <c r="G41" s="4">
        <v>3.9252371790927902E-11</v>
      </c>
      <c r="H41" s="4">
        <v>5.8878557686391898E-9</v>
      </c>
      <c r="I41" t="s">
        <v>6939</v>
      </c>
    </row>
    <row r="42" spans="1:9" x14ac:dyDescent="0.25">
      <c r="A42" t="s">
        <v>6954</v>
      </c>
      <c r="C42" s="3" t="str">
        <f>HYPERLINK("http://amigo.geneontology.org/amigo/term/GO:0006040","GO:0006040")</f>
        <v>GO:0006040</v>
      </c>
      <c r="D42" t="s">
        <v>6955</v>
      </c>
      <c r="E42">
        <v>93</v>
      </c>
      <c r="F42">
        <v>14</v>
      </c>
      <c r="G42" s="4">
        <v>9.9233217866825006E-11</v>
      </c>
      <c r="H42" s="4">
        <v>1.4388816590689599E-8</v>
      </c>
      <c r="I42" t="s">
        <v>6939</v>
      </c>
    </row>
    <row r="43" spans="1:9" x14ac:dyDescent="0.25">
      <c r="A43" t="s">
        <v>6956</v>
      </c>
      <c r="C43" s="3" t="str">
        <f>HYPERLINK("http://amigo.geneontology.org/amigo/term/GO:0016705","GO:0016705")</f>
        <v>GO:0016705</v>
      </c>
      <c r="D43" t="s">
        <v>4121</v>
      </c>
      <c r="E43">
        <v>2131</v>
      </c>
      <c r="F43">
        <v>72</v>
      </c>
      <c r="G43" s="4">
        <v>9.96860421469834E-11</v>
      </c>
      <c r="H43" s="4">
        <v>1.4055731942724601E-8</v>
      </c>
      <c r="I43" t="s">
        <v>6957</v>
      </c>
    </row>
    <row r="44" spans="1:9" x14ac:dyDescent="0.25">
      <c r="A44" t="s">
        <v>6958</v>
      </c>
      <c r="C44" s="3" t="str">
        <f>HYPERLINK("http://amigo.geneontology.org/amigo/term/GO:0030246","GO:0030246")</f>
        <v>GO:0030246</v>
      </c>
      <c r="D44" t="s">
        <v>6959</v>
      </c>
      <c r="E44">
        <v>1249</v>
      </c>
      <c r="F44">
        <v>51</v>
      </c>
      <c r="G44" s="4">
        <v>1.1050043375349199E-10</v>
      </c>
      <c r="H44" s="4">
        <v>1.5028058990474899E-8</v>
      </c>
      <c r="I44" t="s">
        <v>6960</v>
      </c>
    </row>
    <row r="45" spans="1:9" x14ac:dyDescent="0.25">
      <c r="A45" t="s">
        <v>6961</v>
      </c>
      <c r="C45" s="3" t="str">
        <f>HYPERLINK("http://amigo.geneontology.org/amigo/term/GO:0048037","GO:0048037")</f>
        <v>GO:0048037</v>
      </c>
      <c r="D45" t="s">
        <v>4125</v>
      </c>
      <c r="E45">
        <v>4750</v>
      </c>
      <c r="F45">
        <v>126</v>
      </c>
      <c r="G45" s="4">
        <v>1.2551353467383999E-10</v>
      </c>
      <c r="H45" s="4">
        <v>1.6567786576946901E-8</v>
      </c>
      <c r="I45" t="s">
        <v>6962</v>
      </c>
    </row>
    <row r="46" spans="1:9" x14ac:dyDescent="0.25">
      <c r="A46" t="s">
        <v>6963</v>
      </c>
      <c r="C46" s="3" t="str">
        <f>HYPERLINK("http://amigo.geneontology.org/amigo/term/GO:1901136","GO:1901136")</f>
        <v>GO:1901136</v>
      </c>
      <c r="D46" t="s">
        <v>6302</v>
      </c>
      <c r="E46">
        <v>132</v>
      </c>
      <c r="F46">
        <v>16</v>
      </c>
      <c r="G46" s="4">
        <v>1.3223840991848001E-10</v>
      </c>
      <c r="H46" s="4">
        <v>1.70587548794839E-8</v>
      </c>
      <c r="I46" t="s">
        <v>6964</v>
      </c>
    </row>
    <row r="47" spans="1:9" x14ac:dyDescent="0.25">
      <c r="A47" t="s">
        <v>6965</v>
      </c>
      <c r="C47" s="3" t="str">
        <f>HYPERLINK("http://amigo.geneontology.org/amigo/term/GO:0035639","GO:0035639")</f>
        <v>GO:0035639</v>
      </c>
      <c r="D47" t="s">
        <v>6966</v>
      </c>
      <c r="E47">
        <v>9665</v>
      </c>
      <c r="F47">
        <v>216</v>
      </c>
      <c r="G47" s="4">
        <v>1.6077115587307601E-10</v>
      </c>
      <c r="H47" s="4">
        <v>2.0096394484134499E-8</v>
      </c>
      <c r="I47" t="s">
        <v>6967</v>
      </c>
    </row>
    <row r="48" spans="1:9" x14ac:dyDescent="0.25">
      <c r="A48" t="s">
        <v>6968</v>
      </c>
      <c r="C48" s="3" t="str">
        <f>HYPERLINK("http://amigo.geneontology.org/amigo/term/GO:0016840","GO:0016840")</f>
        <v>GO:0016840</v>
      </c>
      <c r="D48" t="s">
        <v>6969</v>
      </c>
      <c r="E48">
        <v>158</v>
      </c>
      <c r="F48">
        <v>17</v>
      </c>
      <c r="G48" s="4">
        <v>2.3558580924073397E-10</v>
      </c>
      <c r="H48" s="4">
        <v>2.8741468727369601E-8</v>
      </c>
      <c r="I48" t="s">
        <v>6970</v>
      </c>
    </row>
    <row r="49" spans="1:9" x14ac:dyDescent="0.25">
      <c r="A49" t="s">
        <v>6971</v>
      </c>
      <c r="C49" s="3" t="str">
        <f>HYPERLINK("http://amigo.geneontology.org/amigo/term/GO:0006796","GO:0006796")</f>
        <v>GO:0006796</v>
      </c>
      <c r="D49" t="s">
        <v>679</v>
      </c>
      <c r="E49">
        <v>8416</v>
      </c>
      <c r="F49">
        <v>193</v>
      </c>
      <c r="G49" s="4">
        <v>2.5223015175286702E-10</v>
      </c>
      <c r="H49" s="4">
        <v>2.9763157906838301E-8</v>
      </c>
      <c r="I49" t="s">
        <v>6972</v>
      </c>
    </row>
    <row r="50" spans="1:9" x14ac:dyDescent="0.25">
      <c r="A50" t="s">
        <v>6973</v>
      </c>
      <c r="C50" s="3" t="str">
        <f>HYPERLINK("http://amigo.geneontology.org/amigo/term/GO:0006022","GO:0006022")</f>
        <v>GO:0006022</v>
      </c>
      <c r="D50" t="s">
        <v>6974</v>
      </c>
      <c r="E50">
        <v>101</v>
      </c>
      <c r="F50">
        <v>14</v>
      </c>
      <c r="G50" s="4">
        <v>3.0795036613122101E-10</v>
      </c>
      <c r="H50" s="4">
        <v>3.54142921050905E-8</v>
      </c>
      <c r="I50" t="s">
        <v>6939</v>
      </c>
    </row>
    <row r="51" spans="1:9" x14ac:dyDescent="0.25">
      <c r="A51" t="s">
        <v>6975</v>
      </c>
      <c r="C51" s="3" t="str">
        <f>HYPERLINK("http://amigo.geneontology.org/amigo/term/GO:0006793","GO:0006793")</f>
        <v>GO:0006793</v>
      </c>
      <c r="D51" t="s">
        <v>670</v>
      </c>
      <c r="E51">
        <v>8439</v>
      </c>
      <c r="F51">
        <v>193</v>
      </c>
      <c r="G51" s="4">
        <v>3.1462095095607902E-10</v>
      </c>
      <c r="H51" s="4">
        <v>3.5237546507080802E-8</v>
      </c>
      <c r="I51" t="s">
        <v>6972</v>
      </c>
    </row>
    <row r="52" spans="1:9" x14ac:dyDescent="0.25">
      <c r="A52" t="s">
        <v>6976</v>
      </c>
      <c r="C52" s="3" t="str">
        <f>HYPERLINK("http://amigo.geneontology.org/amigo/term/GO:1901606","GO:1901606")</f>
        <v>GO:1901606</v>
      </c>
      <c r="D52" t="s">
        <v>6977</v>
      </c>
      <c r="E52">
        <v>220</v>
      </c>
      <c r="F52">
        <v>19</v>
      </c>
      <c r="G52" s="4">
        <v>9.2110611506452805E-10</v>
      </c>
      <c r="H52" s="4">
        <v>1.01321672657098E-7</v>
      </c>
      <c r="I52" t="s">
        <v>6978</v>
      </c>
    </row>
    <row r="53" spans="1:9" x14ac:dyDescent="0.25">
      <c r="A53" t="s">
        <v>6979</v>
      </c>
      <c r="C53" s="3" t="str">
        <f>HYPERLINK("http://amigo.geneontology.org/amigo/term/GO:0020037","GO:0020037")</f>
        <v>GO:0020037</v>
      </c>
      <c r="D53" t="s">
        <v>1181</v>
      </c>
      <c r="E53">
        <v>2527</v>
      </c>
      <c r="F53">
        <v>78</v>
      </c>
      <c r="G53" s="4">
        <v>1.0069195217263499E-9</v>
      </c>
      <c r="H53" s="4">
        <v>1.07740388824719E-7</v>
      </c>
      <c r="I53" t="s">
        <v>6980</v>
      </c>
    </row>
    <row r="54" spans="1:9" x14ac:dyDescent="0.25">
      <c r="A54" t="s">
        <v>6981</v>
      </c>
      <c r="C54" s="3" t="str">
        <f>HYPERLINK("http://amigo.geneontology.org/amigo/term/GO:0052547","GO:0052547")</f>
        <v>GO:0052547</v>
      </c>
      <c r="D54" t="s">
        <v>6982</v>
      </c>
      <c r="E54">
        <v>77</v>
      </c>
      <c r="F54">
        <v>12</v>
      </c>
      <c r="G54" s="4">
        <v>1.4262251044448801E-9</v>
      </c>
      <c r="H54" s="4">
        <v>1.39770060235599E-7</v>
      </c>
      <c r="I54" t="s">
        <v>6983</v>
      </c>
    </row>
    <row r="55" spans="1:9" x14ac:dyDescent="0.25">
      <c r="A55" t="s">
        <v>6984</v>
      </c>
      <c r="C55" s="3" t="str">
        <f>HYPERLINK("http://amigo.geneontology.org/amigo/term/GO:0010466","GO:0010466")</f>
        <v>GO:0010466</v>
      </c>
      <c r="D55" t="s">
        <v>6985</v>
      </c>
      <c r="E55">
        <v>77</v>
      </c>
      <c r="F55">
        <v>12</v>
      </c>
      <c r="G55" s="4">
        <v>1.4262251044448801E-9</v>
      </c>
      <c r="H55" s="4">
        <v>1.4262251044448799E-7</v>
      </c>
      <c r="I55" t="s">
        <v>6983</v>
      </c>
    </row>
    <row r="56" spans="1:9" x14ac:dyDescent="0.25">
      <c r="A56" t="s">
        <v>6986</v>
      </c>
      <c r="C56" s="3" t="str">
        <f>HYPERLINK("http://amigo.geneontology.org/amigo/term/GO:0052548","GO:0052548")</f>
        <v>GO:0052548</v>
      </c>
      <c r="D56" t="s">
        <v>6987</v>
      </c>
      <c r="E56">
        <v>77</v>
      </c>
      <c r="F56">
        <v>12</v>
      </c>
      <c r="G56" s="4">
        <v>1.4262251044448801E-9</v>
      </c>
      <c r="H56" s="4">
        <v>1.4547496065337801E-7</v>
      </c>
      <c r="I56" t="s">
        <v>6983</v>
      </c>
    </row>
    <row r="57" spans="1:9" x14ac:dyDescent="0.25">
      <c r="A57" t="s">
        <v>6988</v>
      </c>
      <c r="C57" s="3" t="str">
        <f>HYPERLINK("http://amigo.geneontology.org/amigo/term/GO:0010951","GO:0010951")</f>
        <v>GO:0010951</v>
      </c>
      <c r="D57" t="s">
        <v>6989</v>
      </c>
      <c r="E57">
        <v>77</v>
      </c>
      <c r="F57">
        <v>12</v>
      </c>
      <c r="G57" s="4">
        <v>1.4262251044448801E-9</v>
      </c>
      <c r="H57" s="4">
        <v>1.4975363596671299E-7</v>
      </c>
      <c r="I57" t="s">
        <v>6983</v>
      </c>
    </row>
    <row r="58" spans="1:9" x14ac:dyDescent="0.25">
      <c r="A58" t="s">
        <v>6990</v>
      </c>
      <c r="C58" s="3" t="str">
        <f>HYPERLINK("http://amigo.geneontology.org/amigo/term/GO:0009063","GO:0009063")</f>
        <v>GO:0009063</v>
      </c>
      <c r="D58" t="s">
        <v>5306</v>
      </c>
      <c r="E58">
        <v>227</v>
      </c>
      <c r="F58">
        <v>19</v>
      </c>
      <c r="G58" s="4">
        <v>1.55633379413898E-9</v>
      </c>
      <c r="H58" s="4">
        <v>1.49408044237342E-7</v>
      </c>
      <c r="I58" t="s">
        <v>6978</v>
      </c>
    </row>
    <row r="59" spans="1:9" x14ac:dyDescent="0.25">
      <c r="A59" t="s">
        <v>6991</v>
      </c>
      <c r="C59" s="3" t="str">
        <f>HYPERLINK("http://amigo.geneontology.org/amigo/term/GO:0016787","GO:0016787")</f>
        <v>GO:0016787</v>
      </c>
      <c r="D59" t="s">
        <v>98</v>
      </c>
      <c r="E59">
        <v>9814</v>
      </c>
      <c r="F59">
        <v>214</v>
      </c>
      <c r="G59" s="4">
        <v>1.6402254407800301E-9</v>
      </c>
      <c r="H59" s="4">
        <v>1.54181191433323E-7</v>
      </c>
      <c r="I59" t="s">
        <v>6992</v>
      </c>
    </row>
    <row r="60" spans="1:9" x14ac:dyDescent="0.25">
      <c r="A60" t="s">
        <v>6993</v>
      </c>
      <c r="C60" s="3" t="str">
        <f>HYPERLINK("http://amigo.geneontology.org/amigo/term/GO:0045861","GO:0045861")</f>
        <v>GO:0045861</v>
      </c>
      <c r="D60" t="s">
        <v>6994</v>
      </c>
      <c r="E60">
        <v>78</v>
      </c>
      <c r="F60">
        <v>12</v>
      </c>
      <c r="G60" s="4">
        <v>1.66307550231802E-9</v>
      </c>
      <c r="H60" s="4">
        <v>1.5300294621325799E-7</v>
      </c>
      <c r="I60" t="s">
        <v>6983</v>
      </c>
    </row>
    <row r="61" spans="1:9" x14ac:dyDescent="0.25">
      <c r="A61" t="s">
        <v>6995</v>
      </c>
      <c r="C61" s="3" t="str">
        <f>HYPERLINK("http://amigo.geneontology.org/amigo/term/GO:0043167","GO:0043167")</f>
        <v>GO:0043167</v>
      </c>
      <c r="D61" t="s">
        <v>6996</v>
      </c>
      <c r="E61">
        <v>24059</v>
      </c>
      <c r="F61">
        <v>446</v>
      </c>
      <c r="G61" s="4">
        <v>1.9961077780314302E-9</v>
      </c>
      <c r="H61" s="4">
        <v>1.7964970002282899E-7</v>
      </c>
      <c r="I61" t="s">
        <v>6997</v>
      </c>
    </row>
    <row r="62" spans="1:9" x14ac:dyDescent="0.25">
      <c r="A62" t="s">
        <v>6998</v>
      </c>
      <c r="C62" s="3" t="str">
        <f>HYPERLINK("http://amigo.geneontology.org/amigo/term/GO:0036211","GO:0036211")</f>
        <v>GO:0036211</v>
      </c>
      <c r="D62" t="s">
        <v>6999</v>
      </c>
      <c r="E62">
        <v>8035</v>
      </c>
      <c r="F62">
        <v>182</v>
      </c>
      <c r="G62" s="4">
        <v>2.3369940327301301E-9</v>
      </c>
      <c r="H62" s="4">
        <v>2.0098148681479099E-7</v>
      </c>
      <c r="I62" t="s">
        <v>7000</v>
      </c>
    </row>
    <row r="63" spans="1:9" x14ac:dyDescent="0.25">
      <c r="A63" t="s">
        <v>7001</v>
      </c>
      <c r="C63" s="3" t="str">
        <f>HYPERLINK("http://amigo.geneontology.org/amigo/term/GO:0006464","GO:0006464")</f>
        <v>GO:0006464</v>
      </c>
      <c r="D63" t="s">
        <v>7002</v>
      </c>
      <c r="E63">
        <v>8035</v>
      </c>
      <c r="F63">
        <v>182</v>
      </c>
      <c r="G63" s="4">
        <v>2.3369940327301301E-9</v>
      </c>
      <c r="H63" s="4">
        <v>2.0565547488025101E-7</v>
      </c>
      <c r="I63" t="s">
        <v>7000</v>
      </c>
    </row>
    <row r="64" spans="1:9" x14ac:dyDescent="0.25">
      <c r="A64" t="s">
        <v>7003</v>
      </c>
      <c r="C64" s="3" t="str">
        <f>HYPERLINK("http://amigo.geneontology.org/amigo/term/GO:0030162","GO:0030162")</f>
        <v>GO:0030162</v>
      </c>
      <c r="D64" t="s">
        <v>7004</v>
      </c>
      <c r="E64">
        <v>82</v>
      </c>
      <c r="F64">
        <v>12</v>
      </c>
      <c r="G64" s="4">
        <v>3.00673111695026E-9</v>
      </c>
      <c r="H64" s="4">
        <v>2.5557214494077202E-7</v>
      </c>
      <c r="I64" t="s">
        <v>6983</v>
      </c>
    </row>
    <row r="65" spans="1:9" x14ac:dyDescent="0.25">
      <c r="A65" t="s">
        <v>7005</v>
      </c>
      <c r="C65" s="3" t="str">
        <f>HYPERLINK("http://amigo.geneontology.org/amigo/term/GO:0045548","GO:0045548")</f>
        <v>GO:0045548</v>
      </c>
      <c r="D65" t="s">
        <v>7006</v>
      </c>
      <c r="E65">
        <v>27</v>
      </c>
      <c r="F65">
        <v>8</v>
      </c>
      <c r="G65" s="4">
        <v>3.61038178585209E-9</v>
      </c>
      <c r="H65" s="4">
        <v>2.9966168822572402E-7</v>
      </c>
      <c r="I65" t="s">
        <v>7007</v>
      </c>
    </row>
    <row r="66" spans="1:9" x14ac:dyDescent="0.25">
      <c r="A66" t="s">
        <v>7008</v>
      </c>
      <c r="C66" s="3" t="str">
        <f>HYPERLINK("http://amigo.geneontology.org/amigo/term/GO:0005506","GO:0005506")</f>
        <v>GO:0005506</v>
      </c>
      <c r="D66" t="s">
        <v>1214</v>
      </c>
      <c r="E66">
        <v>1961</v>
      </c>
      <c r="F66">
        <v>64</v>
      </c>
      <c r="G66" s="4">
        <v>4.2056441271298801E-9</v>
      </c>
      <c r="H66" s="4">
        <v>3.4486281842465E-7</v>
      </c>
      <c r="I66" t="s">
        <v>7009</v>
      </c>
    </row>
    <row r="67" spans="1:9" x14ac:dyDescent="0.25">
      <c r="A67" t="s">
        <v>7010</v>
      </c>
      <c r="C67" s="3" t="str">
        <f>HYPERLINK("http://amigo.geneontology.org/amigo/term/GO:0043168","GO:0043168")</f>
        <v>GO:0043168</v>
      </c>
      <c r="D67" t="s">
        <v>7011</v>
      </c>
      <c r="E67">
        <v>13483</v>
      </c>
      <c r="F67">
        <v>274</v>
      </c>
      <c r="G67" s="4">
        <v>4.8231791518078897E-9</v>
      </c>
      <c r="H67" s="4">
        <v>3.85854332144631E-7</v>
      </c>
      <c r="I67" t="s">
        <v>7012</v>
      </c>
    </row>
    <row r="68" spans="1:9" x14ac:dyDescent="0.25">
      <c r="A68" t="s">
        <v>7013</v>
      </c>
      <c r="C68" s="3" t="str">
        <f>HYPERLINK("http://amigo.geneontology.org/amigo/term/GO:0046906","GO:0046906")</f>
        <v>GO:0046906</v>
      </c>
      <c r="D68" t="s">
        <v>1085</v>
      </c>
      <c r="E68">
        <v>2625</v>
      </c>
      <c r="F68">
        <v>78</v>
      </c>
      <c r="G68" s="4">
        <v>5.2519678605095002E-9</v>
      </c>
      <c r="H68" s="4">
        <v>4.14905460980251E-7</v>
      </c>
      <c r="I68" t="s">
        <v>6980</v>
      </c>
    </row>
    <row r="69" spans="1:9" x14ac:dyDescent="0.25">
      <c r="A69" t="s">
        <v>7014</v>
      </c>
      <c r="C69" s="3" t="str">
        <f>HYPERLINK("http://amigo.geneontology.org/amigo/term/GO:0051346","GO:0051346")</f>
        <v>GO:0051346</v>
      </c>
      <c r="D69" t="s">
        <v>7015</v>
      </c>
      <c r="E69">
        <v>87</v>
      </c>
      <c r="F69">
        <v>12</v>
      </c>
      <c r="G69" s="4">
        <v>6.0195539235442398E-9</v>
      </c>
      <c r="H69" s="4">
        <v>4.63505652112906E-7</v>
      </c>
      <c r="I69" t="s">
        <v>6983</v>
      </c>
    </row>
    <row r="70" spans="1:9" x14ac:dyDescent="0.25">
      <c r="A70" t="s">
        <v>7016</v>
      </c>
      <c r="C70" s="3" t="str">
        <f>HYPERLINK("http://amigo.geneontology.org/amigo/term/GO:0009607","GO:0009607")</f>
        <v>GO:0009607</v>
      </c>
      <c r="D70" t="s">
        <v>157</v>
      </c>
      <c r="E70">
        <v>624</v>
      </c>
      <c r="F70">
        <v>31</v>
      </c>
      <c r="G70" s="4">
        <v>6.3099487144717003E-9</v>
      </c>
      <c r="H70" s="4">
        <v>4.7955610229984896E-7</v>
      </c>
      <c r="I70" t="s">
        <v>7017</v>
      </c>
    </row>
    <row r="71" spans="1:9" x14ac:dyDescent="0.25">
      <c r="A71" t="s">
        <v>7018</v>
      </c>
      <c r="C71" s="3" t="str">
        <f>HYPERLINK("http://amigo.geneontology.org/amigo/term/GO:0097367","GO:0097367")</f>
        <v>GO:0097367</v>
      </c>
      <c r="D71" t="s">
        <v>7019</v>
      </c>
      <c r="E71">
        <v>12255</v>
      </c>
      <c r="F71">
        <v>252</v>
      </c>
      <c r="G71" s="4">
        <v>9.0402883837243508E-9</v>
      </c>
      <c r="H71" s="4">
        <v>6.7802162877932601E-7</v>
      </c>
      <c r="I71" t="s">
        <v>7020</v>
      </c>
    </row>
    <row r="72" spans="1:9" x14ac:dyDescent="0.25">
      <c r="A72" t="s">
        <v>7021</v>
      </c>
      <c r="C72" s="3" t="str">
        <f>HYPERLINK("http://amigo.geneontology.org/amigo/term/GO:0009803","GO:0009803")</f>
        <v>GO:0009803</v>
      </c>
      <c r="D72" t="s">
        <v>7022</v>
      </c>
      <c r="E72">
        <v>31</v>
      </c>
      <c r="F72">
        <v>8</v>
      </c>
      <c r="G72" s="4">
        <v>1.2179751147604601E-8</v>
      </c>
      <c r="H72" s="4">
        <v>8.7694208262753399E-7</v>
      </c>
      <c r="I72" t="s">
        <v>7007</v>
      </c>
    </row>
    <row r="73" spans="1:9" x14ac:dyDescent="0.25">
      <c r="A73" t="s">
        <v>7023</v>
      </c>
      <c r="C73" s="3" t="str">
        <f>HYPERLINK("http://amigo.geneontology.org/amigo/term/GO:0009800","GO:0009800")</f>
        <v>GO:0009800</v>
      </c>
      <c r="D73" t="s">
        <v>7024</v>
      </c>
      <c r="E73">
        <v>31</v>
      </c>
      <c r="F73">
        <v>8</v>
      </c>
      <c r="G73" s="4">
        <v>1.2179751147604601E-8</v>
      </c>
      <c r="H73" s="4">
        <v>9.0130158492274401E-7</v>
      </c>
      <c r="I73" t="s">
        <v>7007</v>
      </c>
    </row>
    <row r="74" spans="1:9" x14ac:dyDescent="0.25">
      <c r="A74" t="s">
        <v>7025</v>
      </c>
      <c r="C74" s="3" t="str">
        <f>HYPERLINK("http://amigo.geneontology.org/amigo/term/GO:0032559","GO:0032559")</f>
        <v>GO:0032559</v>
      </c>
      <c r="D74" t="s">
        <v>7026</v>
      </c>
      <c r="E74">
        <v>11290</v>
      </c>
      <c r="F74">
        <v>235</v>
      </c>
      <c r="G74" s="4">
        <v>1.2356078369301801E-8</v>
      </c>
      <c r="H74" s="4">
        <v>8.7728156422043195E-7</v>
      </c>
      <c r="I74" t="s">
        <v>7027</v>
      </c>
    </row>
    <row r="75" spans="1:9" x14ac:dyDescent="0.25">
      <c r="A75" t="s">
        <v>7028</v>
      </c>
      <c r="C75" s="3" t="str">
        <f>HYPERLINK("http://amigo.geneontology.org/amigo/term/GO:0030554","GO:0030554")</f>
        <v>GO:0030554</v>
      </c>
      <c r="D75" t="s">
        <v>7029</v>
      </c>
      <c r="E75">
        <v>11378</v>
      </c>
      <c r="F75">
        <v>235</v>
      </c>
      <c r="G75" s="4">
        <v>2.3759536669689199E-8</v>
      </c>
      <c r="H75" s="4">
        <v>1.6631675668782401E-6</v>
      </c>
      <c r="I75" t="s">
        <v>7027</v>
      </c>
    </row>
    <row r="76" spans="1:9" x14ac:dyDescent="0.25">
      <c r="A76" t="s">
        <v>7030</v>
      </c>
      <c r="C76" s="3" t="str">
        <f>HYPERLINK("http://amigo.geneontology.org/amigo/term/GO:0032553","GO:0032553")</f>
        <v>GO:0032553</v>
      </c>
      <c r="D76" t="s">
        <v>7031</v>
      </c>
      <c r="E76">
        <v>12119</v>
      </c>
      <c r="F76">
        <v>244</v>
      </c>
      <c r="G76" s="4">
        <v>1.00873574942769E-7</v>
      </c>
      <c r="H76" s="4">
        <v>6.9602766710511098E-6</v>
      </c>
      <c r="I76" t="s">
        <v>7032</v>
      </c>
    </row>
    <row r="77" spans="1:9" x14ac:dyDescent="0.25">
      <c r="A77" t="s">
        <v>7033</v>
      </c>
      <c r="C77" s="3" t="str">
        <f>HYPERLINK("http://amigo.geneontology.org/amigo/term/GO:0044036","GO:0044036")</f>
        <v>GO:0044036</v>
      </c>
      <c r="D77" t="s">
        <v>828</v>
      </c>
      <c r="E77">
        <v>388</v>
      </c>
      <c r="F77">
        <v>22</v>
      </c>
      <c r="G77" s="4">
        <v>1.03067627301671E-7</v>
      </c>
      <c r="H77" s="4">
        <v>7.0085986565136504E-6</v>
      </c>
      <c r="I77" t="s">
        <v>7034</v>
      </c>
    </row>
    <row r="78" spans="1:9" x14ac:dyDescent="0.25">
      <c r="A78" t="s">
        <v>7035</v>
      </c>
      <c r="C78" s="3" t="str">
        <f>HYPERLINK("http://amigo.geneontology.org/amigo/term/GO:0009072","GO:0009072")</f>
        <v>GO:0009072</v>
      </c>
      <c r="D78" t="s">
        <v>7036</v>
      </c>
      <c r="E78">
        <v>359</v>
      </c>
      <c r="F78">
        <v>21</v>
      </c>
      <c r="G78" s="4">
        <v>1.18904620587597E-7</v>
      </c>
      <c r="H78" s="4">
        <v>7.9666095793690305E-6</v>
      </c>
      <c r="I78" t="s">
        <v>7037</v>
      </c>
    </row>
    <row r="79" spans="1:9" x14ac:dyDescent="0.25">
      <c r="A79" t="s">
        <v>7038</v>
      </c>
      <c r="C79" s="3" t="str">
        <f>HYPERLINK("http://amigo.geneontology.org/amigo/term/GO:0016740","GO:0016740")</f>
        <v>GO:0016740</v>
      </c>
      <c r="D79" t="s">
        <v>855</v>
      </c>
      <c r="E79">
        <v>12925</v>
      </c>
      <c r="F79">
        <v>256</v>
      </c>
      <c r="G79" s="4">
        <v>1.7487705185549299E-7</v>
      </c>
      <c r="H79" s="4">
        <v>1.15418854224626E-5</v>
      </c>
      <c r="I79" t="s">
        <v>7039</v>
      </c>
    </row>
    <row r="80" spans="1:9" x14ac:dyDescent="0.25">
      <c r="A80" t="s">
        <v>7040</v>
      </c>
      <c r="C80" s="3" t="str">
        <f>HYPERLINK("http://amigo.geneontology.org/amigo/term/GO:0043412","GO:0043412")</f>
        <v>GO:0043412</v>
      </c>
      <c r="D80" t="s">
        <v>7041</v>
      </c>
      <c r="E80">
        <v>8613</v>
      </c>
      <c r="F80">
        <v>182</v>
      </c>
      <c r="G80" s="4">
        <v>3.0817891014446101E-7</v>
      </c>
      <c r="H80" s="4">
        <v>2.0031629159389899E-5</v>
      </c>
      <c r="I80" t="s">
        <v>7000</v>
      </c>
    </row>
    <row r="81" spans="1:9" x14ac:dyDescent="0.25">
      <c r="A81" t="s">
        <v>7042</v>
      </c>
      <c r="C81" s="3" t="str">
        <f>HYPERLINK("http://amigo.geneontology.org/amigo/term/GO:1901564","GO:1901564")</f>
        <v>GO:1901564</v>
      </c>
      <c r="D81" t="s">
        <v>7043</v>
      </c>
      <c r="E81">
        <v>15308</v>
      </c>
      <c r="F81">
        <v>293</v>
      </c>
      <c r="G81" s="4">
        <v>3.6479354176781801E-7</v>
      </c>
      <c r="H81" s="4">
        <v>2.3346786673140298E-5</v>
      </c>
      <c r="I81" t="s">
        <v>7044</v>
      </c>
    </row>
    <row r="82" spans="1:9" x14ac:dyDescent="0.25">
      <c r="A82" t="s">
        <v>7045</v>
      </c>
      <c r="C82" s="3" t="str">
        <f>HYPERLINK("http://amigo.geneontology.org/amigo/term/GO:0032555","GO:0032555")</f>
        <v>GO:0032555</v>
      </c>
      <c r="D82" t="s">
        <v>7046</v>
      </c>
      <c r="E82">
        <v>11962</v>
      </c>
      <c r="F82">
        <v>237</v>
      </c>
      <c r="G82" s="4">
        <v>5.7675750547574795E-7</v>
      </c>
      <c r="H82" s="4">
        <v>3.6335722844972101E-5</v>
      </c>
      <c r="I82" t="s">
        <v>7047</v>
      </c>
    </row>
    <row r="83" spans="1:9" x14ac:dyDescent="0.25">
      <c r="A83" t="s">
        <v>7048</v>
      </c>
      <c r="C83" s="3" t="str">
        <f>HYPERLINK("http://amigo.geneontology.org/amigo/term/GO:0036094","GO:0036094")</f>
        <v>GO:0036094</v>
      </c>
      <c r="D83" t="s">
        <v>7049</v>
      </c>
      <c r="E83">
        <v>14544</v>
      </c>
      <c r="F83">
        <v>278</v>
      </c>
      <c r="G83" s="4">
        <v>9.3655515041290304E-7</v>
      </c>
      <c r="H83" s="4">
        <v>5.8066419325600003E-5</v>
      </c>
      <c r="I83" t="s">
        <v>7050</v>
      </c>
    </row>
    <row r="84" spans="1:9" x14ac:dyDescent="0.25">
      <c r="A84" t="s">
        <v>7051</v>
      </c>
      <c r="C84" s="3" t="str">
        <f>HYPERLINK("http://amigo.geneontology.org/amigo/term/GO:1901265","GO:1901265")</f>
        <v>GO:1901265</v>
      </c>
      <c r="D84" t="s">
        <v>7052</v>
      </c>
      <c r="E84">
        <v>13996</v>
      </c>
      <c r="F84">
        <v>269</v>
      </c>
      <c r="G84" s="4">
        <v>9.7025342399316707E-7</v>
      </c>
      <c r="H84" s="4">
        <v>5.9185458863583201E-5</v>
      </c>
      <c r="I84" t="s">
        <v>7053</v>
      </c>
    </row>
    <row r="85" spans="1:9" x14ac:dyDescent="0.25">
      <c r="A85" t="s">
        <v>7054</v>
      </c>
      <c r="C85" s="3" t="str">
        <f>HYPERLINK("http://amigo.geneontology.org/amigo/term/GO:0000166","GO:0000166")</f>
        <v>GO:0000166</v>
      </c>
      <c r="D85" t="s">
        <v>7055</v>
      </c>
      <c r="E85">
        <v>13996</v>
      </c>
      <c r="F85">
        <v>269</v>
      </c>
      <c r="G85" s="4">
        <v>9.7025342399316707E-7</v>
      </c>
      <c r="H85" s="4">
        <v>5.9185458863583201E-5</v>
      </c>
      <c r="I85" t="s">
        <v>7053</v>
      </c>
    </row>
    <row r="86" spans="1:9" x14ac:dyDescent="0.25">
      <c r="A86" t="s">
        <v>7056</v>
      </c>
      <c r="C86" s="3" t="str">
        <f>HYPERLINK("http://amigo.geneontology.org/amigo/term/GO:0017076","GO:0017076")</f>
        <v>GO:0017076</v>
      </c>
      <c r="D86" t="s">
        <v>7057</v>
      </c>
      <c r="E86">
        <v>12052</v>
      </c>
      <c r="F86">
        <v>237</v>
      </c>
      <c r="G86" s="4">
        <v>1.01904631129653E-6</v>
      </c>
      <c r="H86" s="4">
        <v>6.1142778677791902E-5</v>
      </c>
      <c r="I86" t="s">
        <v>7047</v>
      </c>
    </row>
    <row r="87" spans="1:9" x14ac:dyDescent="0.25">
      <c r="A87" t="s">
        <v>7058</v>
      </c>
      <c r="C87" s="3" t="str">
        <f>HYPERLINK("http://amigo.geneontology.org/amigo/term/GO:0016706","GO:0016706")</f>
        <v>GO:0016706</v>
      </c>
      <c r="D87" t="s">
        <v>5638</v>
      </c>
      <c r="E87">
        <v>251</v>
      </c>
      <c r="F87">
        <v>16</v>
      </c>
      <c r="G87" s="4">
        <v>1.2119944669459201E-6</v>
      </c>
      <c r="H87" s="4">
        <v>7.15076735498096E-5</v>
      </c>
      <c r="I87" t="s">
        <v>7059</v>
      </c>
    </row>
    <row r="88" spans="1:9" x14ac:dyDescent="0.25">
      <c r="A88" t="s">
        <v>7060</v>
      </c>
      <c r="C88" s="3" t="str">
        <f>HYPERLINK("http://amigo.geneontology.org/amigo/term/GO:0016054","GO:0016054")</f>
        <v>GO:0016054</v>
      </c>
      <c r="D88" t="s">
        <v>5292</v>
      </c>
      <c r="E88">
        <v>381</v>
      </c>
      <c r="F88">
        <v>20</v>
      </c>
      <c r="G88" s="4">
        <v>1.2776823271911201E-6</v>
      </c>
      <c r="H88" s="4">
        <v>7.28278926498942E-5</v>
      </c>
      <c r="I88" t="s">
        <v>7061</v>
      </c>
    </row>
    <row r="89" spans="1:9" x14ac:dyDescent="0.25">
      <c r="A89" t="s">
        <v>7062</v>
      </c>
      <c r="C89" s="3" t="str">
        <f>HYPERLINK("http://amigo.geneontology.org/amigo/term/GO:0046395","GO:0046395")</f>
        <v>GO:0046395</v>
      </c>
      <c r="D89" t="s">
        <v>5294</v>
      </c>
      <c r="E89">
        <v>381</v>
      </c>
      <c r="F89">
        <v>20</v>
      </c>
      <c r="G89" s="4">
        <v>1.2776823271911201E-6</v>
      </c>
      <c r="H89" s="4">
        <v>7.4105574977085403E-5</v>
      </c>
      <c r="I89" t="s">
        <v>7061</v>
      </c>
    </row>
    <row r="90" spans="1:9" x14ac:dyDescent="0.25">
      <c r="A90" t="s">
        <v>7063</v>
      </c>
      <c r="C90" s="3" t="str">
        <f>HYPERLINK("http://amigo.geneontology.org/amigo/term/GO:0051248","GO:0051248")</f>
        <v>GO:0051248</v>
      </c>
      <c r="D90" t="s">
        <v>6227</v>
      </c>
      <c r="E90">
        <v>228</v>
      </c>
      <c r="F90">
        <v>15</v>
      </c>
      <c r="G90" s="4">
        <v>1.7517277097032799E-6</v>
      </c>
      <c r="H90" s="4">
        <v>9.8096751743383706E-5</v>
      </c>
      <c r="I90" t="s">
        <v>7064</v>
      </c>
    </row>
    <row r="91" spans="1:9" x14ac:dyDescent="0.25">
      <c r="A91" t="s">
        <v>7065</v>
      </c>
      <c r="C91" s="3" t="str">
        <f>HYPERLINK("http://amigo.geneontology.org/amigo/term/GO:0032269","GO:0032269")</f>
        <v>GO:0032269</v>
      </c>
      <c r="D91" t="s">
        <v>6230</v>
      </c>
      <c r="E91">
        <v>228</v>
      </c>
      <c r="F91">
        <v>15</v>
      </c>
      <c r="G91" s="4">
        <v>1.7517277097032799E-6</v>
      </c>
      <c r="H91" s="4">
        <v>9.9848479453086997E-5</v>
      </c>
      <c r="I91" t="s">
        <v>7064</v>
      </c>
    </row>
    <row r="92" spans="1:9" x14ac:dyDescent="0.25">
      <c r="A92" t="s">
        <v>7066</v>
      </c>
      <c r="C92" s="3" t="str">
        <f>HYPERLINK("http://amigo.geneontology.org/amigo/term/GO:0004497","GO:0004497")</f>
        <v>GO:0004497</v>
      </c>
      <c r="D92" t="s">
        <v>783</v>
      </c>
      <c r="E92">
        <v>891</v>
      </c>
      <c r="F92">
        <v>33</v>
      </c>
      <c r="G92" s="4">
        <v>1.7752384112012299E-6</v>
      </c>
      <c r="H92" s="4">
        <v>9.7638112616068193E-5</v>
      </c>
      <c r="I92" t="s">
        <v>7067</v>
      </c>
    </row>
    <row r="93" spans="1:9" x14ac:dyDescent="0.25">
      <c r="A93" t="s">
        <v>7068</v>
      </c>
      <c r="C93" s="3" t="str">
        <f>HYPERLINK("http://amigo.geneontology.org/amigo/term/GO:0044238","GO:0044238")</f>
        <v>GO:0044238</v>
      </c>
      <c r="D93" t="s">
        <v>612</v>
      </c>
      <c r="E93">
        <v>23308</v>
      </c>
      <c r="F93">
        <v>414</v>
      </c>
      <c r="G93" s="4">
        <v>2.0341056844915099E-6</v>
      </c>
      <c r="H93" s="4">
        <v>1.1187581264703299E-4</v>
      </c>
      <c r="I93" t="s">
        <v>7069</v>
      </c>
    </row>
    <row r="94" spans="1:9" x14ac:dyDescent="0.25">
      <c r="A94" t="s">
        <v>7070</v>
      </c>
      <c r="C94" s="3" t="str">
        <f>HYPERLINK("http://amigo.geneontology.org/amigo/term/GO:0051336","GO:0051336")</f>
        <v>GO:0051336</v>
      </c>
      <c r="D94" t="s">
        <v>7071</v>
      </c>
      <c r="E94">
        <v>148</v>
      </c>
      <c r="F94">
        <v>12</v>
      </c>
      <c r="G94" s="4">
        <v>2.1895461253485201E-6</v>
      </c>
      <c r="H94" s="4">
        <v>1.1823549076882E-4</v>
      </c>
      <c r="I94" t="s">
        <v>6983</v>
      </c>
    </row>
    <row r="95" spans="1:9" x14ac:dyDescent="0.25">
      <c r="A95" t="s">
        <v>7072</v>
      </c>
      <c r="C95" s="3" t="str">
        <f>HYPERLINK("http://amigo.geneontology.org/amigo/term/GO:0006952","GO:0006952")</f>
        <v>GO:0006952</v>
      </c>
      <c r="D95" t="s">
        <v>155</v>
      </c>
      <c r="E95">
        <v>1416</v>
      </c>
      <c r="F95">
        <v>44</v>
      </c>
      <c r="G95" s="4">
        <v>3.87958674701842E-6</v>
      </c>
      <c r="H95" s="4">
        <v>2.05618097591976E-4</v>
      </c>
      <c r="I95" t="s">
        <v>7073</v>
      </c>
    </row>
    <row r="96" spans="1:9" x14ac:dyDescent="0.25">
      <c r="A96" t="s">
        <v>7074</v>
      </c>
      <c r="C96" s="3" t="str">
        <f>HYPERLINK("http://amigo.geneontology.org/amigo/term/GO:1901605","GO:1901605")</f>
        <v>GO:1901605</v>
      </c>
      <c r="D96" t="s">
        <v>7075</v>
      </c>
      <c r="E96">
        <v>811</v>
      </c>
      <c r="F96">
        <v>30</v>
      </c>
      <c r="G96" s="4">
        <v>5.2735055481603999E-6</v>
      </c>
      <c r="H96" s="4">
        <v>2.7949579405250099E-4</v>
      </c>
      <c r="I96" t="s">
        <v>7076</v>
      </c>
    </row>
    <row r="97" spans="1:9" x14ac:dyDescent="0.25">
      <c r="A97" t="s">
        <v>7077</v>
      </c>
      <c r="C97" s="3" t="str">
        <f>HYPERLINK("http://amigo.geneontology.org/amigo/term/GO:0009699","GO:0009699")</f>
        <v>GO:0009699</v>
      </c>
      <c r="D97" t="s">
        <v>7078</v>
      </c>
      <c r="E97">
        <v>66</v>
      </c>
      <c r="F97">
        <v>8</v>
      </c>
      <c r="G97" s="4">
        <v>5.6377342437134601E-6</v>
      </c>
      <c r="H97" s="4">
        <v>2.9316218067309999E-4</v>
      </c>
      <c r="I97" t="s">
        <v>7007</v>
      </c>
    </row>
    <row r="98" spans="1:9" x14ac:dyDescent="0.25">
      <c r="A98" t="s">
        <v>7079</v>
      </c>
      <c r="C98" s="3" t="str">
        <f>HYPERLINK("http://amigo.geneontology.org/amigo/term/GO:0017144","GO:0017144")</f>
        <v>GO:0017144</v>
      </c>
      <c r="D98" t="s">
        <v>4310</v>
      </c>
      <c r="E98">
        <v>1595</v>
      </c>
      <c r="F98">
        <v>47</v>
      </c>
      <c r="G98" s="4">
        <v>7.3359459877558596E-6</v>
      </c>
      <c r="H98" s="4">
        <v>3.74133245375549E-4</v>
      </c>
      <c r="I98" t="s">
        <v>7080</v>
      </c>
    </row>
    <row r="99" spans="1:9" x14ac:dyDescent="0.25">
      <c r="A99" t="s">
        <v>7081</v>
      </c>
      <c r="C99" s="3" t="str">
        <f>HYPERLINK("http://amigo.geneontology.org/amigo/term/GO:0071704","GO:0071704")</f>
        <v>GO:0071704</v>
      </c>
      <c r="D99" t="s">
        <v>472</v>
      </c>
      <c r="E99">
        <v>24369</v>
      </c>
      <c r="F99">
        <v>425</v>
      </c>
      <c r="G99" s="4">
        <v>9.6150127910041706E-6</v>
      </c>
      <c r="H99" s="4">
        <v>4.9036565234121196E-4</v>
      </c>
      <c r="I99" t="s">
        <v>7082</v>
      </c>
    </row>
    <row r="100" spans="1:9" x14ac:dyDescent="0.25">
      <c r="A100" t="s">
        <v>7083</v>
      </c>
      <c r="C100" s="3" t="str">
        <f>HYPERLINK("http://amigo.geneontology.org/amigo/term/GO:0004867","GO:0004867")</f>
        <v>GO:0004867</v>
      </c>
      <c r="D100" t="s">
        <v>7084</v>
      </c>
      <c r="E100">
        <v>335</v>
      </c>
      <c r="F100">
        <v>17</v>
      </c>
      <c r="G100" s="4">
        <v>1.20969721895902E-5</v>
      </c>
      <c r="H100" s="4">
        <v>6.0484860947951303E-4</v>
      </c>
      <c r="I100" t="s">
        <v>7085</v>
      </c>
    </row>
    <row r="101" spans="1:9" x14ac:dyDescent="0.25">
      <c r="A101" t="s">
        <v>7086</v>
      </c>
      <c r="C101" s="3" t="str">
        <f>HYPERLINK("http://amigo.geneontology.org/amigo/term/GO:0042537","GO:0042537")</f>
        <v>GO:0042537</v>
      </c>
      <c r="D101" t="s">
        <v>7087</v>
      </c>
      <c r="E101">
        <v>125</v>
      </c>
      <c r="F101">
        <v>10</v>
      </c>
      <c r="G101" s="4">
        <v>1.7104577625344099E-5</v>
      </c>
      <c r="H101" s="4">
        <v>8.5522888126720502E-4</v>
      </c>
      <c r="I101" t="s">
        <v>7088</v>
      </c>
    </row>
    <row r="102" spans="1:9" x14ac:dyDescent="0.25">
      <c r="A102" t="s">
        <v>7089</v>
      </c>
      <c r="C102" s="3" t="str">
        <f>HYPERLINK("http://amigo.geneontology.org/amigo/term/GO:0009505","GO:0009505")</f>
        <v>GO:0009505</v>
      </c>
      <c r="D102" t="s">
        <v>6690</v>
      </c>
      <c r="E102">
        <v>77</v>
      </c>
      <c r="F102">
        <v>8</v>
      </c>
      <c r="G102" s="4">
        <v>1.7923951294031701E-5</v>
      </c>
      <c r="H102" s="4">
        <v>8.7827361340755495E-4</v>
      </c>
      <c r="I102" t="s">
        <v>7090</v>
      </c>
    </row>
    <row r="103" spans="1:9" x14ac:dyDescent="0.25">
      <c r="A103" t="s">
        <v>7091</v>
      </c>
      <c r="C103" s="3" t="str">
        <f>HYPERLINK("http://amigo.geneontology.org/amigo/term/GO:0008061","GO:0008061")</f>
        <v>GO:0008061</v>
      </c>
      <c r="D103" t="s">
        <v>6774</v>
      </c>
      <c r="E103">
        <v>78</v>
      </c>
      <c r="F103">
        <v>8</v>
      </c>
      <c r="G103" s="4">
        <v>1.9716890253735601E-5</v>
      </c>
      <c r="H103" s="4">
        <v>9.6612762243304803E-4</v>
      </c>
      <c r="I103" t="s">
        <v>7092</v>
      </c>
    </row>
    <row r="104" spans="1:9" x14ac:dyDescent="0.25">
      <c r="A104" t="s">
        <v>7093</v>
      </c>
      <c r="C104" s="3" t="str">
        <f>HYPERLINK("http://amigo.geneontology.org/amigo/term/GO:0019538","GO:0019538")</f>
        <v>GO:0019538</v>
      </c>
      <c r="D104" t="s">
        <v>7094</v>
      </c>
      <c r="E104">
        <v>12454</v>
      </c>
      <c r="F104">
        <v>235</v>
      </c>
      <c r="G104" s="4">
        <v>2.1152705304379801E-5</v>
      </c>
      <c r="H104">
        <v>1.01532985461023E-3</v>
      </c>
      <c r="I104" t="s">
        <v>7095</v>
      </c>
    </row>
    <row r="105" spans="1:9" x14ac:dyDescent="0.25">
      <c r="A105" t="s">
        <v>7096</v>
      </c>
      <c r="C105" s="3" t="str">
        <f>HYPERLINK("http://amigo.geneontology.org/amigo/term/GO:0016829","GO:0016829")</f>
        <v>GO:0016829</v>
      </c>
      <c r="D105" t="s">
        <v>523</v>
      </c>
      <c r="E105">
        <v>984</v>
      </c>
      <c r="F105">
        <v>32</v>
      </c>
      <c r="G105" s="4">
        <v>3.3226632318813198E-5</v>
      </c>
      <c r="H105">
        <v>1.5948783513030299E-3</v>
      </c>
      <c r="I105" t="s">
        <v>7097</v>
      </c>
    </row>
    <row r="106" spans="1:9" x14ac:dyDescent="0.25">
      <c r="A106" t="s">
        <v>7098</v>
      </c>
      <c r="C106" s="3" t="str">
        <f>HYPERLINK("http://amigo.geneontology.org/amigo/term/GO:0001871","GO:0001871")</f>
        <v>GO:0001871</v>
      </c>
      <c r="D106" t="s">
        <v>7099</v>
      </c>
      <c r="E106">
        <v>653</v>
      </c>
      <c r="F106">
        <v>24</v>
      </c>
      <c r="G106" s="4">
        <v>4.90601530370941E-5</v>
      </c>
      <c r="H106">
        <v>2.3058271927434201E-3</v>
      </c>
      <c r="I106" t="s">
        <v>7100</v>
      </c>
    </row>
    <row r="107" spans="1:9" x14ac:dyDescent="0.25">
      <c r="A107" t="s">
        <v>7101</v>
      </c>
      <c r="C107" s="3" t="str">
        <f>HYPERLINK("http://amigo.geneontology.org/amigo/term/GO:0030247","GO:0030247")</f>
        <v>GO:0030247</v>
      </c>
      <c r="D107" t="s">
        <v>7102</v>
      </c>
      <c r="E107">
        <v>653</v>
      </c>
      <c r="F107">
        <v>24</v>
      </c>
      <c r="G107" s="4">
        <v>4.90601530370941E-5</v>
      </c>
      <c r="H107">
        <v>2.3058271927434201E-3</v>
      </c>
      <c r="I107" t="s">
        <v>7100</v>
      </c>
    </row>
    <row r="108" spans="1:9" x14ac:dyDescent="0.25">
      <c r="A108" t="s">
        <v>7103</v>
      </c>
      <c r="C108" s="3" t="str">
        <f>HYPERLINK("http://amigo.geneontology.org/amigo/term/GO:0008429","GO:0008429")</f>
        <v>GO:0008429</v>
      </c>
      <c r="D108" t="s">
        <v>7104</v>
      </c>
      <c r="E108">
        <v>6</v>
      </c>
      <c r="F108">
        <v>3</v>
      </c>
      <c r="G108" s="4">
        <v>6.0808428683187897E-5</v>
      </c>
      <c r="H108">
        <v>2.7363792907434499E-3</v>
      </c>
      <c r="I108" t="s">
        <v>7105</v>
      </c>
    </row>
    <row r="109" spans="1:9" x14ac:dyDescent="0.25">
      <c r="A109" t="s">
        <v>7106</v>
      </c>
      <c r="C109" s="3" t="str">
        <f>HYPERLINK("http://amigo.geneontology.org/amigo/term/GO:0015562","GO:0015562")</f>
        <v>GO:0015562</v>
      </c>
      <c r="D109" t="s">
        <v>7107</v>
      </c>
      <c r="E109">
        <v>6</v>
      </c>
      <c r="F109">
        <v>3</v>
      </c>
      <c r="G109" s="4">
        <v>6.0808428683187897E-5</v>
      </c>
      <c r="H109">
        <v>2.7971877194266398E-3</v>
      </c>
      <c r="I109" t="s">
        <v>7108</v>
      </c>
    </row>
    <row r="110" spans="1:9" x14ac:dyDescent="0.25">
      <c r="A110" t="s">
        <v>7109</v>
      </c>
      <c r="C110" s="3" t="str">
        <f>HYPERLINK("http://amigo.geneontology.org/amigo/term/GO:0010329","GO:0010329")</f>
        <v>GO:0010329</v>
      </c>
      <c r="D110" t="s">
        <v>7110</v>
      </c>
      <c r="E110">
        <v>6</v>
      </c>
      <c r="F110">
        <v>3</v>
      </c>
      <c r="G110" s="4">
        <v>6.0808428683187897E-5</v>
      </c>
      <c r="H110">
        <v>2.7971877194266398E-3</v>
      </c>
      <c r="I110" t="s">
        <v>7108</v>
      </c>
    </row>
    <row r="111" spans="1:9" x14ac:dyDescent="0.25">
      <c r="A111" t="s">
        <v>7111</v>
      </c>
      <c r="C111" s="3" t="str">
        <f>HYPERLINK("http://amigo.geneontology.org/amigo/term/GO:0043086","GO:0043086")</f>
        <v>GO:0043086</v>
      </c>
      <c r="D111" t="s">
        <v>510</v>
      </c>
      <c r="E111">
        <v>209</v>
      </c>
      <c r="F111">
        <v>12</v>
      </c>
      <c r="G111" s="4">
        <v>7.0123858353331994E-5</v>
      </c>
      <c r="H111">
        <v>3.15557362589994E-3</v>
      </c>
      <c r="I111" t="s">
        <v>6983</v>
      </c>
    </row>
    <row r="112" spans="1:9" x14ac:dyDescent="0.25">
      <c r="A112" t="s">
        <v>7112</v>
      </c>
      <c r="C112" s="3" t="str">
        <f>HYPERLINK("http://amigo.geneontology.org/amigo/term/GO:0004364","GO:0004364")</f>
        <v>GO:0004364</v>
      </c>
      <c r="D112" t="s">
        <v>7113</v>
      </c>
      <c r="E112">
        <v>17</v>
      </c>
      <c r="F112">
        <v>4</v>
      </c>
      <c r="G112" s="4">
        <v>9.3906056046748993E-5</v>
      </c>
      <c r="H112">
        <v>4.1318664660569496E-3</v>
      </c>
      <c r="I112" t="s">
        <v>7114</v>
      </c>
    </row>
    <row r="113" spans="1:9" x14ac:dyDescent="0.25">
      <c r="A113" t="s">
        <v>7115</v>
      </c>
      <c r="C113" s="3" t="str">
        <f>HYPERLINK("http://amigo.geneontology.org/amigo/term/GO:0051213","GO:0051213")</f>
        <v>GO:0051213</v>
      </c>
      <c r="D113" t="s">
        <v>5728</v>
      </c>
      <c r="E113">
        <v>396</v>
      </c>
      <c r="F113">
        <v>17</v>
      </c>
      <c r="G113" s="4">
        <v>9.7140700920965903E-5</v>
      </c>
      <c r="H113">
        <v>4.2741908405225003E-3</v>
      </c>
      <c r="I113" t="s">
        <v>7116</v>
      </c>
    </row>
    <row r="114" spans="1:9" x14ac:dyDescent="0.25">
      <c r="A114" t="s">
        <v>7117</v>
      </c>
      <c r="C114" s="3" t="str">
        <f>HYPERLINK("http://amigo.geneontology.org/amigo/term/GO:0010315","GO:0010315")</f>
        <v>GO:0010315</v>
      </c>
      <c r="D114" t="s">
        <v>7118</v>
      </c>
      <c r="E114">
        <v>7</v>
      </c>
      <c r="F114">
        <v>3</v>
      </c>
      <c r="G114" s="4">
        <v>1.0525031650433301E-4</v>
      </c>
      <c r="H114">
        <v>4.5257636096863504E-3</v>
      </c>
      <c r="I114" t="s">
        <v>7108</v>
      </c>
    </row>
    <row r="115" spans="1:9" x14ac:dyDescent="0.25">
      <c r="A115" t="s">
        <v>7119</v>
      </c>
      <c r="C115" s="3" t="str">
        <f>HYPERLINK("http://amigo.geneontology.org/amigo/term/GO:0044092","GO:0044092")</f>
        <v>GO:0044092</v>
      </c>
      <c r="D115" t="s">
        <v>552</v>
      </c>
      <c r="E115">
        <v>221</v>
      </c>
      <c r="F115">
        <v>12</v>
      </c>
      <c r="G115" s="4">
        <v>1.18987083404386E-4</v>
      </c>
      <c r="H115">
        <v>5.1164445863886004E-3</v>
      </c>
      <c r="I115" t="s">
        <v>6983</v>
      </c>
    </row>
    <row r="116" spans="1:9" x14ac:dyDescent="0.25">
      <c r="A116" t="s">
        <v>7120</v>
      </c>
      <c r="C116" s="3" t="str">
        <f>HYPERLINK("http://amigo.geneontology.org/amigo/term/GO:0050662","GO:0050662")</f>
        <v>GO:0050662</v>
      </c>
      <c r="D116" t="s">
        <v>4434</v>
      </c>
      <c r="E116">
        <v>1801</v>
      </c>
      <c r="F116">
        <v>47</v>
      </c>
      <c r="G116" s="4">
        <v>1.3683684708262501E-4</v>
      </c>
      <c r="H116">
        <v>5.8839844245528799E-3</v>
      </c>
      <c r="I116" t="s">
        <v>7121</v>
      </c>
    </row>
    <row r="117" spans="1:9" x14ac:dyDescent="0.25">
      <c r="A117" t="s">
        <v>7122</v>
      </c>
      <c r="C117" s="3" t="str">
        <f>HYPERLINK("http://amigo.geneontology.org/amigo/term/GO:0005509","GO:0005509")</f>
        <v>GO:0005509</v>
      </c>
      <c r="D117" t="s">
        <v>323</v>
      </c>
      <c r="E117">
        <v>1211</v>
      </c>
      <c r="F117">
        <v>35</v>
      </c>
      <c r="G117" s="4">
        <v>1.49104035767785E-4</v>
      </c>
      <c r="H117">
        <v>6.2623695022470099E-3</v>
      </c>
      <c r="I117" t="s">
        <v>7123</v>
      </c>
    </row>
    <row r="118" spans="1:9" x14ac:dyDescent="0.25">
      <c r="A118" t="s">
        <v>7124</v>
      </c>
      <c r="C118" s="3" t="str">
        <f>HYPERLINK("http://amigo.geneontology.org/amigo/term/GO:1901565","GO:1901565")</f>
        <v>GO:1901565</v>
      </c>
      <c r="D118" t="s">
        <v>7125</v>
      </c>
      <c r="E118">
        <v>1263</v>
      </c>
      <c r="F118">
        <v>36</v>
      </c>
      <c r="G118" s="4">
        <v>1.57637488470999E-4</v>
      </c>
      <c r="H118">
        <v>6.6207745157819704E-3</v>
      </c>
      <c r="I118" t="s">
        <v>7126</v>
      </c>
    </row>
    <row r="119" spans="1:9" x14ac:dyDescent="0.25">
      <c r="A119" t="s">
        <v>7127</v>
      </c>
      <c r="C119" s="3" t="str">
        <f>HYPERLINK("http://amigo.geneontology.org/amigo/term/GO:0004197","GO:0004197")</f>
        <v>GO:0004197</v>
      </c>
      <c r="D119" t="s">
        <v>7128</v>
      </c>
      <c r="E119">
        <v>56</v>
      </c>
      <c r="F119">
        <v>6</v>
      </c>
      <c r="G119" s="4">
        <v>1.7031229464880201E-4</v>
      </c>
      <c r="H119">
        <v>6.9828040806008901E-3</v>
      </c>
      <c r="I119" t="s">
        <v>7129</v>
      </c>
    </row>
    <row r="120" spans="1:9" x14ac:dyDescent="0.25">
      <c r="A120" t="s">
        <v>7130</v>
      </c>
      <c r="C120" s="3" t="str">
        <f>HYPERLINK("http://amigo.geneontology.org/amigo/term/GO:0004556","GO:0004556")</f>
        <v>GO:0004556</v>
      </c>
      <c r="D120" t="s">
        <v>7131</v>
      </c>
      <c r="E120">
        <v>36</v>
      </c>
      <c r="F120">
        <v>5</v>
      </c>
      <c r="G120" s="4">
        <v>1.7352257486426601E-4</v>
      </c>
      <c r="H120">
        <v>7.1144255694349399E-3</v>
      </c>
      <c r="I120" t="s">
        <v>7132</v>
      </c>
    </row>
    <row r="121" spans="1:9" x14ac:dyDescent="0.25">
      <c r="A121" t="s">
        <v>7133</v>
      </c>
      <c r="C121" s="3" t="str">
        <f>HYPERLINK("http://amigo.geneontology.org/amigo/term/GO:0044282","GO:0044282")</f>
        <v>GO:0044282</v>
      </c>
      <c r="D121" t="s">
        <v>5280</v>
      </c>
      <c r="E121">
        <v>546</v>
      </c>
      <c r="F121">
        <v>20</v>
      </c>
      <c r="G121" s="4">
        <v>2.1025359788092899E-4</v>
      </c>
      <c r="H121">
        <v>8.6203975131181002E-3</v>
      </c>
      <c r="I121" t="s">
        <v>7061</v>
      </c>
    </row>
    <row r="122" spans="1:9" x14ac:dyDescent="0.25">
      <c r="A122" t="s">
        <v>7134</v>
      </c>
      <c r="C122" s="3" t="str">
        <f>HYPERLINK("http://amigo.geneontology.org/amigo/term/GO:0047150","GO:0047150")</f>
        <v>GO:0047150</v>
      </c>
      <c r="D122" t="s">
        <v>7135</v>
      </c>
      <c r="E122">
        <v>2</v>
      </c>
      <c r="F122">
        <v>2</v>
      </c>
      <c r="G122" s="4">
        <v>2.14736503154777E-4</v>
      </c>
      <c r="H122">
        <v>8.1599871198815201E-3</v>
      </c>
      <c r="I122" t="s">
        <v>7136</v>
      </c>
    </row>
    <row r="123" spans="1:9" x14ac:dyDescent="0.25">
      <c r="A123" t="s">
        <v>7137</v>
      </c>
      <c r="C123" s="3" t="str">
        <f>HYPERLINK("http://amigo.geneontology.org/amigo/term/GO:0005355","GO:0005355")</f>
        <v>GO:0005355</v>
      </c>
      <c r="D123" t="s">
        <v>7138</v>
      </c>
      <c r="E123">
        <v>2</v>
      </c>
      <c r="F123">
        <v>2</v>
      </c>
      <c r="G123" s="4">
        <v>2.14736503154777E-4</v>
      </c>
      <c r="H123">
        <v>8.1599871198815201E-3</v>
      </c>
      <c r="I123" t="s">
        <v>7139</v>
      </c>
    </row>
    <row r="124" spans="1:9" x14ac:dyDescent="0.25">
      <c r="A124" t="s">
        <v>7140</v>
      </c>
      <c r="C124" s="3" t="str">
        <f>HYPERLINK("http://amigo.geneontology.org/amigo/term/GO:0009679","GO:0009679")</f>
        <v>GO:0009679</v>
      </c>
      <c r="D124" t="s">
        <v>7141</v>
      </c>
      <c r="E124">
        <v>2</v>
      </c>
      <c r="F124">
        <v>2</v>
      </c>
      <c r="G124" s="4">
        <v>2.14736503154777E-4</v>
      </c>
      <c r="H124">
        <v>8.1599871198815201E-3</v>
      </c>
      <c r="I124" t="s">
        <v>7139</v>
      </c>
    </row>
    <row r="125" spans="1:9" x14ac:dyDescent="0.25">
      <c r="A125" t="s">
        <v>7142</v>
      </c>
      <c r="C125" s="3" t="str">
        <f>HYPERLINK("http://amigo.geneontology.org/amigo/term/GO:0005356","GO:0005356")</f>
        <v>GO:0005356</v>
      </c>
      <c r="D125" t="s">
        <v>7143</v>
      </c>
      <c r="E125">
        <v>2</v>
      </c>
      <c r="F125">
        <v>2</v>
      </c>
      <c r="G125" s="4">
        <v>2.14736503154777E-4</v>
      </c>
      <c r="H125">
        <v>8.3747236230363002E-3</v>
      </c>
      <c r="I125" t="s">
        <v>7139</v>
      </c>
    </row>
    <row r="126" spans="1:9" x14ac:dyDescent="0.25">
      <c r="A126" t="s">
        <v>7144</v>
      </c>
      <c r="C126" s="3" t="str">
        <f>HYPERLINK("http://amigo.geneontology.org/amigo/term/GO:0005358","GO:0005358")</f>
        <v>GO:0005358</v>
      </c>
      <c r="D126" t="s">
        <v>7145</v>
      </c>
      <c r="E126">
        <v>2</v>
      </c>
      <c r="F126">
        <v>2</v>
      </c>
      <c r="G126" s="4">
        <v>2.14736503154777E-4</v>
      </c>
      <c r="H126">
        <v>8.3747236230363002E-3</v>
      </c>
      <c r="I126" t="s">
        <v>7139</v>
      </c>
    </row>
    <row r="127" spans="1:9" x14ac:dyDescent="0.25">
      <c r="A127" t="s">
        <v>7146</v>
      </c>
      <c r="C127" s="3" t="str">
        <f>HYPERLINK("http://amigo.geneontology.org/amigo/term/GO:0016323","GO:0016323")</f>
        <v>GO:0016323</v>
      </c>
      <c r="D127" t="s">
        <v>7147</v>
      </c>
      <c r="E127">
        <v>2</v>
      </c>
      <c r="F127">
        <v>2</v>
      </c>
      <c r="G127" s="4">
        <v>2.14736503154777E-4</v>
      </c>
      <c r="H127">
        <v>8.3747236230363002E-3</v>
      </c>
      <c r="I127" t="s">
        <v>7148</v>
      </c>
    </row>
    <row r="128" spans="1:9" x14ac:dyDescent="0.25">
      <c r="A128" t="s">
        <v>7149</v>
      </c>
      <c r="C128" s="3" t="str">
        <f>HYPERLINK("http://amigo.geneontology.org/amigo/term/GO:0045178","GO:0045178")</f>
        <v>GO:0045178</v>
      </c>
      <c r="D128" t="s">
        <v>7150</v>
      </c>
      <c r="E128">
        <v>2</v>
      </c>
      <c r="F128">
        <v>2</v>
      </c>
      <c r="G128" s="4">
        <v>2.14736503154777E-4</v>
      </c>
      <c r="H128">
        <v>8.5894601261910803E-3</v>
      </c>
      <c r="I128" t="s">
        <v>7148</v>
      </c>
    </row>
    <row r="129" spans="1:9" x14ac:dyDescent="0.25">
      <c r="A129" t="s">
        <v>7151</v>
      </c>
      <c r="C129" s="3" t="str">
        <f>HYPERLINK("http://amigo.geneontology.org/amigo/term/GO:0009925","GO:0009925")</f>
        <v>GO:0009925</v>
      </c>
      <c r="D129" t="s">
        <v>7152</v>
      </c>
      <c r="E129">
        <v>2</v>
      </c>
      <c r="F129">
        <v>2</v>
      </c>
      <c r="G129" s="4">
        <v>2.14736503154777E-4</v>
      </c>
      <c r="H129">
        <v>8.5894601261910803E-3</v>
      </c>
      <c r="I129" t="s">
        <v>7148</v>
      </c>
    </row>
    <row r="130" spans="1:9" x14ac:dyDescent="0.25">
      <c r="A130" t="s">
        <v>7153</v>
      </c>
      <c r="C130" s="3" t="str">
        <f>HYPERLINK("http://amigo.geneontology.org/amigo/term/GO:0008889","GO:0008889")</f>
        <v>GO:0008889</v>
      </c>
      <c r="D130" t="s">
        <v>822</v>
      </c>
      <c r="E130">
        <v>38</v>
      </c>
      <c r="F130">
        <v>5</v>
      </c>
      <c r="G130" s="4">
        <v>2.2551052802971501E-4</v>
      </c>
      <c r="H130">
        <v>8.3438895370994692E-3</v>
      </c>
      <c r="I130" t="s">
        <v>7154</v>
      </c>
    </row>
    <row r="131" spans="1:9" x14ac:dyDescent="0.25">
      <c r="A131" t="s">
        <v>7155</v>
      </c>
      <c r="C131" s="3" t="str">
        <f>HYPERLINK("http://amigo.geneontology.org/amigo/term/GO:0006950","GO:0006950")</f>
        <v>GO:0006950</v>
      </c>
      <c r="D131" t="s">
        <v>7156</v>
      </c>
      <c r="E131">
        <v>4305</v>
      </c>
      <c r="F131">
        <v>92</v>
      </c>
      <c r="G131" s="4">
        <v>2.28887602459694E-4</v>
      </c>
      <c r="H131">
        <v>8.4688412910086906E-3</v>
      </c>
      <c r="I131" t="s">
        <v>7157</v>
      </c>
    </row>
    <row r="132" spans="1:9" x14ac:dyDescent="0.25">
      <c r="A132" t="s">
        <v>7158</v>
      </c>
      <c r="C132" s="3" t="str">
        <f>HYPERLINK("http://amigo.geneontology.org/amigo/term/GO:0080161","GO:0080161")</f>
        <v>GO:0080161</v>
      </c>
      <c r="D132" t="s">
        <v>7159</v>
      </c>
      <c r="E132">
        <v>9</v>
      </c>
      <c r="F132">
        <v>3</v>
      </c>
      <c r="G132" s="4">
        <v>2.4710892504304E-4</v>
      </c>
      <c r="H132">
        <v>9.1430302265924808E-3</v>
      </c>
      <c r="I132" t="s">
        <v>7108</v>
      </c>
    </row>
    <row r="133" spans="1:9" x14ac:dyDescent="0.25">
      <c r="A133" t="s">
        <v>7160</v>
      </c>
      <c r="C133" s="3" t="str">
        <f>HYPERLINK("http://amigo.geneontology.org/amigo/term/GO:0019439","GO:0019439")</f>
        <v>GO:0019439</v>
      </c>
      <c r="D133" t="s">
        <v>5092</v>
      </c>
      <c r="E133">
        <v>775</v>
      </c>
      <c r="F133">
        <v>25</v>
      </c>
      <c r="G133" s="4">
        <v>2.5971361052581199E-4</v>
      </c>
      <c r="H133">
        <v>9.6094035894550706E-3</v>
      </c>
      <c r="I133" t="s">
        <v>7161</v>
      </c>
    </row>
    <row r="134" spans="1:9" x14ac:dyDescent="0.25">
      <c r="A134" t="s">
        <v>7162</v>
      </c>
      <c r="C134" s="3" t="str">
        <f>HYPERLINK("http://amigo.geneontology.org/amigo/term/GO:0051172","GO:0051172")</f>
        <v>GO:0051172</v>
      </c>
      <c r="D134" t="s">
        <v>7163</v>
      </c>
      <c r="E134">
        <v>479</v>
      </c>
      <c r="F134">
        <v>18</v>
      </c>
      <c r="G134" s="4">
        <v>3.1513655665221498E-4</v>
      </c>
      <c r="H134">
        <v>1.1344916039479701E-2</v>
      </c>
      <c r="I134" t="s">
        <v>7164</v>
      </c>
    </row>
    <row r="135" spans="1:9" x14ac:dyDescent="0.25">
      <c r="A135" t="s">
        <v>7165</v>
      </c>
      <c r="C135" s="3" t="str">
        <f>HYPERLINK("http://amigo.geneontology.org/amigo/term/GO:1901361","GO:1901361")</f>
        <v>GO:1901361</v>
      </c>
      <c r="D135" t="s">
        <v>5100</v>
      </c>
      <c r="E135">
        <v>792</v>
      </c>
      <c r="F135">
        <v>25</v>
      </c>
      <c r="G135" s="4">
        <v>3.5713476390405102E-4</v>
      </c>
      <c r="H135">
        <v>1.28568515005458E-2</v>
      </c>
      <c r="I135" t="s">
        <v>7161</v>
      </c>
    </row>
    <row r="136" spans="1:9" x14ac:dyDescent="0.25">
      <c r="A136" t="s">
        <v>7166</v>
      </c>
      <c r="C136" s="3" t="str">
        <f>HYPERLINK("http://amigo.geneontology.org/amigo/term/GO:0004185","GO:0004185")</f>
        <v>GO:0004185</v>
      </c>
      <c r="D136" t="s">
        <v>5892</v>
      </c>
      <c r="E136">
        <v>214</v>
      </c>
      <c r="F136">
        <v>11</v>
      </c>
      <c r="G136" s="4">
        <v>3.6035413202018999E-4</v>
      </c>
      <c r="H136">
        <v>1.29727487527268E-2</v>
      </c>
      <c r="I136" t="s">
        <v>7167</v>
      </c>
    </row>
    <row r="137" spans="1:9" x14ac:dyDescent="0.25">
      <c r="A137" t="s">
        <v>7168</v>
      </c>
      <c r="C137" s="3" t="str">
        <f>HYPERLINK("http://amigo.geneontology.org/amigo/term/GO:0061134","GO:0061134")</f>
        <v>GO:0061134</v>
      </c>
      <c r="D137" t="s">
        <v>7169</v>
      </c>
      <c r="E137">
        <v>445</v>
      </c>
      <c r="F137">
        <v>17</v>
      </c>
      <c r="G137" s="4">
        <v>3.7907315613530998E-4</v>
      </c>
      <c r="H137">
        <v>1.32675604647358E-2</v>
      </c>
      <c r="I137" t="s">
        <v>7085</v>
      </c>
    </row>
    <row r="138" spans="1:9" x14ac:dyDescent="0.25">
      <c r="A138" t="s">
        <v>7170</v>
      </c>
      <c r="C138" s="3" t="str">
        <f>HYPERLINK("http://amigo.geneontology.org/amigo/term/GO:0030414","GO:0030414")</f>
        <v>GO:0030414</v>
      </c>
      <c r="D138" t="s">
        <v>7171</v>
      </c>
      <c r="E138">
        <v>445</v>
      </c>
      <c r="F138">
        <v>17</v>
      </c>
      <c r="G138" s="4">
        <v>3.7907315613530998E-4</v>
      </c>
      <c r="H138">
        <v>1.32675604647358E-2</v>
      </c>
      <c r="I138" t="s">
        <v>7085</v>
      </c>
    </row>
    <row r="139" spans="1:9" x14ac:dyDescent="0.25">
      <c r="A139" t="s">
        <v>7172</v>
      </c>
      <c r="C139" s="3" t="str">
        <f>HYPERLINK("http://amigo.geneontology.org/amigo/term/GO:0061135","GO:0061135")</f>
        <v>GO:0061135</v>
      </c>
      <c r="D139" t="s">
        <v>7173</v>
      </c>
      <c r="E139">
        <v>445</v>
      </c>
      <c r="F139">
        <v>17</v>
      </c>
      <c r="G139" s="4">
        <v>3.7907315613530998E-4</v>
      </c>
      <c r="H139">
        <v>1.32675604647358E-2</v>
      </c>
      <c r="I139" t="s">
        <v>7085</v>
      </c>
    </row>
    <row r="140" spans="1:9" x14ac:dyDescent="0.25">
      <c r="A140" t="s">
        <v>7174</v>
      </c>
      <c r="C140" s="3" t="str">
        <f>HYPERLINK("http://amigo.geneontology.org/amigo/term/GO:0004866","GO:0004866")</f>
        <v>GO:0004866</v>
      </c>
      <c r="D140" t="s">
        <v>7175</v>
      </c>
      <c r="E140">
        <v>445</v>
      </c>
      <c r="F140">
        <v>17</v>
      </c>
      <c r="G140" s="4">
        <v>3.7907315613530998E-4</v>
      </c>
      <c r="H140">
        <v>1.32675604647358E-2</v>
      </c>
      <c r="I140" t="s">
        <v>7085</v>
      </c>
    </row>
    <row r="141" spans="1:9" x14ac:dyDescent="0.25">
      <c r="A141" t="s">
        <v>7176</v>
      </c>
      <c r="C141" s="3" t="str">
        <f>HYPERLINK("http://amigo.geneontology.org/amigo/term/GO:0016614","GO:0016614")</f>
        <v>GO:0016614</v>
      </c>
      <c r="D141" t="s">
        <v>5631</v>
      </c>
      <c r="E141">
        <v>617</v>
      </c>
      <c r="F141">
        <v>21</v>
      </c>
      <c r="G141" s="4">
        <v>3.92205898885628E-4</v>
      </c>
      <c r="H141">
        <v>1.33350005621113E-2</v>
      </c>
      <c r="I141" t="s">
        <v>7177</v>
      </c>
    </row>
    <row r="142" spans="1:9" x14ac:dyDescent="0.25">
      <c r="A142" t="s">
        <v>7178</v>
      </c>
      <c r="C142" s="3" t="str">
        <f>HYPERLINK("http://amigo.geneontology.org/amigo/term/GO:0031324","GO:0031324")</f>
        <v>GO:0031324</v>
      </c>
      <c r="D142" t="s">
        <v>7179</v>
      </c>
      <c r="E142">
        <v>488</v>
      </c>
      <c r="F142">
        <v>18</v>
      </c>
      <c r="G142" s="4">
        <v>3.9254510404946799E-4</v>
      </c>
      <c r="H142">
        <v>1.33465335376819E-2</v>
      </c>
      <c r="I142" t="s">
        <v>7164</v>
      </c>
    </row>
    <row r="143" spans="1:9" x14ac:dyDescent="0.25">
      <c r="A143" t="s">
        <v>7180</v>
      </c>
      <c r="C143" s="3" t="str">
        <f>HYPERLINK("http://amigo.geneontology.org/amigo/term/GO:0017171","GO:0017171")</f>
        <v>GO:0017171</v>
      </c>
      <c r="D143" t="s">
        <v>1186</v>
      </c>
      <c r="E143">
        <v>759</v>
      </c>
      <c r="F143">
        <v>24</v>
      </c>
      <c r="G143" s="4">
        <v>4.5241435645403501E-4</v>
      </c>
      <c r="H143">
        <v>1.49296737629831E-2</v>
      </c>
      <c r="I143" t="s">
        <v>7181</v>
      </c>
    </row>
    <row r="144" spans="1:9" x14ac:dyDescent="0.25">
      <c r="A144" t="s">
        <v>7182</v>
      </c>
      <c r="C144" s="3" t="str">
        <f>HYPERLINK("http://amigo.geneontology.org/amigo/term/GO:0008236","GO:0008236")</f>
        <v>GO:0008236</v>
      </c>
      <c r="D144" t="s">
        <v>1189</v>
      </c>
      <c r="E144">
        <v>759</v>
      </c>
      <c r="F144">
        <v>24</v>
      </c>
      <c r="G144" s="4">
        <v>4.5241435645403501E-4</v>
      </c>
      <c r="H144">
        <v>1.53820881194372E-2</v>
      </c>
      <c r="I144" t="s">
        <v>7181</v>
      </c>
    </row>
    <row r="145" spans="1:9" x14ac:dyDescent="0.25">
      <c r="A145" t="s">
        <v>7183</v>
      </c>
      <c r="C145" s="3" t="str">
        <f>HYPERLINK("http://amigo.geneontology.org/amigo/term/GO:0004180","GO:0004180")</f>
        <v>GO:0004180</v>
      </c>
      <c r="D145" t="s">
        <v>5894</v>
      </c>
      <c r="E145">
        <v>225</v>
      </c>
      <c r="F145">
        <v>11</v>
      </c>
      <c r="G145" s="4">
        <v>5.48522114522216E-4</v>
      </c>
      <c r="H145">
        <v>1.8101229779233102E-2</v>
      </c>
      <c r="I145" t="s">
        <v>7167</v>
      </c>
    </row>
    <row r="146" spans="1:9" x14ac:dyDescent="0.25">
      <c r="A146" t="s">
        <v>7184</v>
      </c>
      <c r="C146" s="3" t="str">
        <f>HYPERLINK("http://amigo.geneontology.org/amigo/term/GO:0004640","GO:0004640")</f>
        <v>GO:0004640</v>
      </c>
      <c r="D146" t="s">
        <v>7185</v>
      </c>
      <c r="E146">
        <v>3</v>
      </c>
      <c r="F146">
        <v>2</v>
      </c>
      <c r="G146" s="4">
        <v>6.3792429396268698E-4</v>
      </c>
      <c r="H146">
        <v>2.10515017007686E-2</v>
      </c>
      <c r="I146" t="s">
        <v>7186</v>
      </c>
    </row>
    <row r="147" spans="1:9" x14ac:dyDescent="0.25">
      <c r="A147" t="s">
        <v>7187</v>
      </c>
      <c r="C147" s="3" t="str">
        <f>HYPERLINK("http://amigo.geneontology.org/amigo/term/GO:0016758","GO:0016758")</f>
        <v>GO:0016758</v>
      </c>
      <c r="D147" t="s">
        <v>721</v>
      </c>
      <c r="E147">
        <v>1783</v>
      </c>
      <c r="F147">
        <v>44</v>
      </c>
      <c r="G147" s="4">
        <v>6.9537987693081603E-4</v>
      </c>
      <c r="H147">
        <v>2.2947535938716901E-2</v>
      </c>
      <c r="I147" t="s">
        <v>7188</v>
      </c>
    </row>
    <row r="148" spans="1:9" x14ac:dyDescent="0.25">
      <c r="A148" t="s">
        <v>7189</v>
      </c>
      <c r="C148" s="3" t="str">
        <f>HYPERLINK("http://amigo.geneontology.org/amigo/term/GO:0070008","GO:0070008")</f>
        <v>GO:0070008</v>
      </c>
      <c r="D148" t="s">
        <v>5896</v>
      </c>
      <c r="E148">
        <v>232</v>
      </c>
      <c r="F148">
        <v>11</v>
      </c>
      <c r="G148" s="4">
        <v>7.0640143385962602E-4</v>
      </c>
      <c r="H148">
        <v>2.2604845883508001E-2</v>
      </c>
      <c r="I148" t="s">
        <v>7167</v>
      </c>
    </row>
    <row r="149" spans="1:9" x14ac:dyDescent="0.25">
      <c r="A149" t="s">
        <v>7190</v>
      </c>
      <c r="C149" s="3" t="str">
        <f>HYPERLINK("http://amigo.geneontology.org/amigo/term/GO:0004557","GO:0004557")</f>
        <v>GO:0004557</v>
      </c>
      <c r="D149" t="s">
        <v>5324</v>
      </c>
      <c r="E149">
        <v>13</v>
      </c>
      <c r="F149">
        <v>3</v>
      </c>
      <c r="G149" s="4">
        <v>8.0524021875739299E-4</v>
      </c>
      <c r="H149">
        <v>2.57676870002366E-2</v>
      </c>
      <c r="I149" t="s">
        <v>7191</v>
      </c>
    </row>
    <row r="150" spans="1:9" x14ac:dyDescent="0.25">
      <c r="A150" t="s">
        <v>7192</v>
      </c>
      <c r="C150" s="3" t="str">
        <f>HYPERLINK("http://amigo.geneontology.org/amigo/term/GO:0052692","GO:0052692")</f>
        <v>GO:0052692</v>
      </c>
      <c r="D150" t="s">
        <v>5326</v>
      </c>
      <c r="E150">
        <v>13</v>
      </c>
      <c r="F150">
        <v>3</v>
      </c>
      <c r="G150" s="4">
        <v>8.0524021875739299E-4</v>
      </c>
      <c r="H150">
        <v>2.57676870002366E-2</v>
      </c>
      <c r="I150" t="s">
        <v>7191</v>
      </c>
    </row>
    <row r="151" spans="1:9" x14ac:dyDescent="0.25">
      <c r="A151" t="s">
        <v>7193</v>
      </c>
      <c r="C151" s="3" t="str">
        <f>HYPERLINK("http://amigo.geneontology.org/amigo/term/GO:0044267","GO:0044267")</f>
        <v>GO:0044267</v>
      </c>
      <c r="D151" t="s">
        <v>7194</v>
      </c>
      <c r="E151">
        <v>10316</v>
      </c>
      <c r="F151">
        <v>188</v>
      </c>
      <c r="G151" s="4">
        <v>9.4924829235996195E-4</v>
      </c>
      <c r="H151">
        <v>3.0375945355518699E-2</v>
      </c>
      <c r="I151" t="s">
        <v>7195</v>
      </c>
    </row>
    <row r="152" spans="1:9" x14ac:dyDescent="0.25">
      <c r="A152" t="s">
        <v>7196</v>
      </c>
      <c r="C152" s="3" t="str">
        <f>HYPERLINK("http://amigo.geneontology.org/amigo/term/GO:0044248","GO:0044248")</f>
        <v>GO:0044248</v>
      </c>
      <c r="D152" t="s">
        <v>5244</v>
      </c>
      <c r="E152">
        <v>2352</v>
      </c>
      <c r="F152">
        <v>54</v>
      </c>
      <c r="G152" s="4">
        <v>9.6861067076579204E-4</v>
      </c>
      <c r="H152">
        <v>3.09955414645053E-2</v>
      </c>
      <c r="I152" t="s">
        <v>7197</v>
      </c>
    </row>
    <row r="153" spans="1:9" x14ac:dyDescent="0.25">
      <c r="A153" t="s">
        <v>7198</v>
      </c>
      <c r="C153" s="3" t="str">
        <f>HYPERLINK("http://amigo.geneontology.org/amigo/term/GO:0004175","GO:0004175")</f>
        <v>GO:0004175</v>
      </c>
      <c r="D153" t="s">
        <v>4314</v>
      </c>
      <c r="E153">
        <v>1198</v>
      </c>
      <c r="F153">
        <v>32</v>
      </c>
      <c r="G153">
        <v>1.0376224392689599E-3</v>
      </c>
      <c r="H153">
        <v>3.2166295617337803E-2</v>
      </c>
      <c r="I153" t="s">
        <v>7199</v>
      </c>
    </row>
    <row r="154" spans="1:9" x14ac:dyDescent="0.25">
      <c r="A154" t="s">
        <v>7200</v>
      </c>
      <c r="C154" s="3" t="str">
        <f>HYPERLINK("http://amigo.geneontology.org/amigo/term/GO:0044550","GO:0044550")</f>
        <v>GO:0044550</v>
      </c>
      <c r="D154" t="s">
        <v>7201</v>
      </c>
      <c r="E154">
        <v>174</v>
      </c>
      <c r="F154">
        <v>9</v>
      </c>
      <c r="G154">
        <v>1.1533827124933899E-3</v>
      </c>
      <c r="H154">
        <v>3.5754864087295099E-2</v>
      </c>
      <c r="I154" t="s">
        <v>7202</v>
      </c>
    </row>
    <row r="155" spans="1:9" x14ac:dyDescent="0.25">
      <c r="A155" t="s">
        <v>7203</v>
      </c>
      <c r="C155" s="3" t="str">
        <f>HYPERLINK("http://amigo.geneontology.org/amigo/term/GO:0015149","GO:0015149")</f>
        <v>GO:0015149</v>
      </c>
      <c r="D155" t="s">
        <v>7204</v>
      </c>
      <c r="E155">
        <v>4</v>
      </c>
      <c r="F155">
        <v>2</v>
      </c>
      <c r="G155">
        <v>1.26341600994353E-3</v>
      </c>
      <c r="H155">
        <v>3.9165896308249501E-2</v>
      </c>
      <c r="I155" t="s">
        <v>7139</v>
      </c>
    </row>
    <row r="156" spans="1:9" x14ac:dyDescent="0.25">
      <c r="A156" t="s">
        <v>7205</v>
      </c>
      <c r="C156" s="3" t="str">
        <f>HYPERLINK("http://amigo.geneontology.org/amigo/term/GO:0009056","GO:0009056")</f>
        <v>GO:0009056</v>
      </c>
      <c r="D156" t="s">
        <v>5309</v>
      </c>
      <c r="E156">
        <v>2670</v>
      </c>
      <c r="F156">
        <v>59</v>
      </c>
      <c r="G156">
        <v>1.40517172739641E-3</v>
      </c>
      <c r="H156">
        <v>4.3560323549288703E-2</v>
      </c>
      <c r="I156" t="s">
        <v>7206</v>
      </c>
    </row>
    <row r="157" spans="1:9" x14ac:dyDescent="0.25">
      <c r="A157" t="s">
        <v>7207</v>
      </c>
      <c r="C157" s="3" t="str">
        <f>HYPERLINK("http://amigo.geneontology.org/amigo/term/GO:0008238","GO:0008238")</f>
        <v>GO:0008238</v>
      </c>
      <c r="D157" t="s">
        <v>5926</v>
      </c>
      <c r="E157">
        <v>334</v>
      </c>
      <c r="F157">
        <v>13</v>
      </c>
      <c r="G157">
        <v>1.49592914239331E-3</v>
      </c>
      <c r="H157">
        <v>4.4877874271799498E-2</v>
      </c>
      <c r="I157" t="s">
        <v>7208</v>
      </c>
    </row>
    <row r="158" spans="1:9" x14ac:dyDescent="0.25">
      <c r="A158" t="s">
        <v>7209</v>
      </c>
      <c r="C158" s="3" t="str">
        <f>HYPERLINK("http://amigo.geneontology.org/amigo/term/GO:0015711","GO:0015711")</f>
        <v>GO:0015711</v>
      </c>
      <c r="D158" t="s">
        <v>7210</v>
      </c>
      <c r="E158">
        <v>295</v>
      </c>
      <c r="F158">
        <v>12</v>
      </c>
      <c r="G158">
        <v>1.55065464965455E-3</v>
      </c>
      <c r="H158">
        <v>4.6519639489636597E-2</v>
      </c>
      <c r="I158" t="s">
        <v>7211</v>
      </c>
    </row>
    <row r="159" spans="1:9" x14ac:dyDescent="0.25">
      <c r="A159" t="s">
        <v>7212</v>
      </c>
      <c r="C159" s="3" t="str">
        <f>HYPERLINK("http://amigo.geneontology.org/amigo/term/GO:0006820","GO:0006820")</f>
        <v>GO:0006820</v>
      </c>
      <c r="D159" t="s">
        <v>5482</v>
      </c>
      <c r="E159">
        <v>514</v>
      </c>
      <c r="F159">
        <v>17</v>
      </c>
      <c r="G159">
        <v>1.81542787364831E-3</v>
      </c>
      <c r="H159">
        <v>5.44628362094495E-2</v>
      </c>
      <c r="I159" t="s">
        <v>7213</v>
      </c>
    </row>
    <row r="160" spans="1:9" x14ac:dyDescent="0.25">
      <c r="A160" t="s">
        <v>7214</v>
      </c>
      <c r="C160" s="3" t="str">
        <f>HYPERLINK("http://amigo.geneontology.org/amigo/term/GO:0009916","GO:0009916")</f>
        <v>GO:0009916</v>
      </c>
      <c r="D160" t="s">
        <v>7215</v>
      </c>
      <c r="E160">
        <v>17</v>
      </c>
      <c r="F160">
        <v>3</v>
      </c>
      <c r="G160">
        <v>1.8326353207897201E-3</v>
      </c>
      <c r="H160">
        <v>5.4979059623691803E-2</v>
      </c>
      <c r="I160" t="s">
        <v>7216</v>
      </c>
    </row>
    <row r="161" spans="1:9" x14ac:dyDescent="0.25">
      <c r="A161" t="s">
        <v>7217</v>
      </c>
      <c r="C161" s="3" t="str">
        <f>HYPERLINK("http://amigo.geneontology.org/amigo/term/GO:0031224","GO:0031224")</f>
        <v>GO:0031224</v>
      </c>
      <c r="D161" t="s">
        <v>191</v>
      </c>
      <c r="E161">
        <v>7435</v>
      </c>
      <c r="F161">
        <v>139</v>
      </c>
      <c r="G161">
        <v>1.8624257046830899E-3</v>
      </c>
      <c r="H161">
        <v>5.58727711404928E-2</v>
      </c>
      <c r="I161" t="s">
        <v>7218</v>
      </c>
    </row>
    <row r="162" spans="1:9" x14ac:dyDescent="0.25">
      <c r="A162" t="s">
        <v>7219</v>
      </c>
      <c r="C162" s="3" t="str">
        <f>HYPERLINK("http://amigo.geneontology.org/amigo/term/GO:0019139","GO:0019139")</f>
        <v>GO:0019139</v>
      </c>
      <c r="D162" t="s">
        <v>1345</v>
      </c>
      <c r="E162">
        <v>36</v>
      </c>
      <c r="F162">
        <v>4</v>
      </c>
      <c r="G162">
        <v>1.86349059574201E-3</v>
      </c>
      <c r="H162">
        <v>5.4041227276518299E-2</v>
      </c>
      <c r="I162" t="s">
        <v>7220</v>
      </c>
    </row>
    <row r="163" spans="1:9" x14ac:dyDescent="0.25">
      <c r="A163" t="s">
        <v>7221</v>
      </c>
      <c r="C163" s="3" t="str">
        <f>HYPERLINK("http://amigo.geneontology.org/amigo/term/GO:0004588","GO:0004588")</f>
        <v>GO:0004588</v>
      </c>
      <c r="D163" t="s">
        <v>7222</v>
      </c>
      <c r="E163">
        <v>5</v>
      </c>
      <c r="F163">
        <v>2</v>
      </c>
      <c r="G163">
        <v>2.0851994566685899E-3</v>
      </c>
      <c r="H163">
        <v>6.0470784243389301E-2</v>
      </c>
      <c r="I163" t="s">
        <v>7223</v>
      </c>
    </row>
    <row r="164" spans="1:9" x14ac:dyDescent="0.25">
      <c r="A164" t="s">
        <v>7224</v>
      </c>
      <c r="C164" s="3" t="str">
        <f>HYPERLINK("http://amigo.geneontology.org/amigo/term/GO:0004590","GO:0004590")</f>
        <v>GO:0004590</v>
      </c>
      <c r="D164" t="s">
        <v>7225</v>
      </c>
      <c r="E164">
        <v>5</v>
      </c>
      <c r="F164">
        <v>2</v>
      </c>
      <c r="G164">
        <v>2.0851994566685899E-3</v>
      </c>
      <c r="H164">
        <v>6.0470784243389301E-2</v>
      </c>
      <c r="I164" t="s">
        <v>7223</v>
      </c>
    </row>
    <row r="165" spans="1:9" x14ac:dyDescent="0.25">
      <c r="A165" t="s">
        <v>7226</v>
      </c>
      <c r="C165" s="3" t="str">
        <f>HYPERLINK("http://amigo.geneontology.org/amigo/term/GO:0071554","GO:0071554")</f>
        <v>GO:0071554</v>
      </c>
      <c r="D165" t="s">
        <v>206</v>
      </c>
      <c r="E165">
        <v>1000</v>
      </c>
      <c r="F165">
        <v>27</v>
      </c>
      <c r="G165">
        <v>2.1176667248008602E-3</v>
      </c>
      <c r="H165">
        <v>6.1412335019225002E-2</v>
      </c>
      <c r="I165" t="s">
        <v>7227</v>
      </c>
    </row>
    <row r="166" spans="1:9" x14ac:dyDescent="0.25">
      <c r="A166" t="s">
        <v>7228</v>
      </c>
      <c r="C166" s="3" t="str">
        <f>HYPERLINK("http://amigo.geneontology.org/amigo/term/GO:0009698","GO:0009698")</f>
        <v>GO:0009698</v>
      </c>
      <c r="D166" t="s">
        <v>5618</v>
      </c>
      <c r="E166">
        <v>157</v>
      </c>
      <c r="F166">
        <v>8</v>
      </c>
      <c r="G166">
        <v>2.3408052266581099E-3</v>
      </c>
      <c r="H166">
        <v>6.7883351573085393E-2</v>
      </c>
      <c r="I166" t="s">
        <v>7007</v>
      </c>
    </row>
    <row r="167" spans="1:9" x14ac:dyDescent="0.25">
      <c r="A167" t="s">
        <v>7229</v>
      </c>
      <c r="C167" s="3" t="str">
        <f>HYPERLINK("http://amigo.geneontology.org/amigo/term/GO:0016021","GO:0016021")</f>
        <v>GO:0016021</v>
      </c>
      <c r="D167" t="s">
        <v>203</v>
      </c>
      <c r="E167">
        <v>7362</v>
      </c>
      <c r="F167">
        <v>137</v>
      </c>
      <c r="G167">
        <v>2.3719908279653899E-3</v>
      </c>
      <c r="H167">
        <v>6.6415743183030895E-2</v>
      </c>
      <c r="I167" t="s">
        <v>7230</v>
      </c>
    </row>
    <row r="168" spans="1:9" x14ac:dyDescent="0.25">
      <c r="A168" t="s">
        <v>7231</v>
      </c>
      <c r="C168" s="3" t="str">
        <f>HYPERLINK("http://amigo.geneontology.org/amigo/term/GO:0004351","GO:0004351")</f>
        <v>GO:0004351</v>
      </c>
      <c r="D168" t="s">
        <v>4290</v>
      </c>
      <c r="E168">
        <v>19</v>
      </c>
      <c r="F168">
        <v>3</v>
      </c>
      <c r="G168">
        <v>2.55515052772993E-3</v>
      </c>
      <c r="H168">
        <v>7.1544214776438103E-2</v>
      </c>
      <c r="I168" t="s">
        <v>7232</v>
      </c>
    </row>
    <row r="169" spans="1:9" x14ac:dyDescent="0.25">
      <c r="A169" t="s">
        <v>7233</v>
      </c>
      <c r="C169" s="3" t="str">
        <f>HYPERLINK("http://amigo.geneontology.org/amigo/term/GO:0016160","GO:0016160")</f>
        <v>GO:0016160</v>
      </c>
      <c r="D169" t="s">
        <v>692</v>
      </c>
      <c r="E169">
        <v>65</v>
      </c>
      <c r="F169">
        <v>5</v>
      </c>
      <c r="G169">
        <v>2.6815493707358401E-3</v>
      </c>
      <c r="H169">
        <v>7.5083382380603594E-2</v>
      </c>
      <c r="I169" t="s">
        <v>7132</v>
      </c>
    </row>
    <row r="170" spans="1:9" x14ac:dyDescent="0.25">
      <c r="A170" t="s">
        <v>7234</v>
      </c>
      <c r="C170" s="3" t="str">
        <f>HYPERLINK("http://amigo.geneontology.org/amigo/term/GO:0005618","GO:0005618")</f>
        <v>GO:0005618</v>
      </c>
      <c r="D170" t="s">
        <v>218</v>
      </c>
      <c r="E170">
        <v>446</v>
      </c>
      <c r="F170">
        <v>15</v>
      </c>
      <c r="G170">
        <v>2.7991024454923699E-3</v>
      </c>
      <c r="H170">
        <v>7.8374868473786399E-2</v>
      </c>
      <c r="I170" t="s">
        <v>7235</v>
      </c>
    </row>
    <row r="171" spans="1:9" x14ac:dyDescent="0.25">
      <c r="A171" t="s">
        <v>7236</v>
      </c>
      <c r="C171" s="3" t="str">
        <f>HYPERLINK("http://amigo.geneontology.org/amigo/term/GO:0010928","GO:0010928")</f>
        <v>GO:0010928</v>
      </c>
      <c r="D171" t="s">
        <v>7237</v>
      </c>
      <c r="E171">
        <v>20</v>
      </c>
      <c r="F171">
        <v>3</v>
      </c>
      <c r="G171">
        <v>2.9734854051081199E-3</v>
      </c>
      <c r="H171">
        <v>8.3257591343027404E-2</v>
      </c>
      <c r="I171" t="s">
        <v>7108</v>
      </c>
    </row>
    <row r="172" spans="1:9" x14ac:dyDescent="0.25">
      <c r="A172" t="s">
        <v>7238</v>
      </c>
      <c r="C172" s="3" t="str">
        <f>HYPERLINK("http://amigo.geneontology.org/amigo/term/GO:0030312","GO:0030312")</f>
        <v>GO:0030312</v>
      </c>
      <c r="D172" t="s">
        <v>209</v>
      </c>
      <c r="E172">
        <v>450</v>
      </c>
      <c r="F172">
        <v>15</v>
      </c>
      <c r="G172">
        <v>3.0413047415169901E-3</v>
      </c>
      <c r="H172">
        <v>8.5156532762475798E-2</v>
      </c>
      <c r="I172" t="s">
        <v>7235</v>
      </c>
    </row>
    <row r="173" spans="1:9" x14ac:dyDescent="0.25">
      <c r="A173" t="s">
        <v>7239</v>
      </c>
      <c r="C173" s="3" t="str">
        <f>HYPERLINK("http://amigo.geneontology.org/amigo/term/GO:0048523","GO:0048523")</f>
        <v>GO:0048523</v>
      </c>
      <c r="D173" t="s">
        <v>7240</v>
      </c>
      <c r="E173">
        <v>682</v>
      </c>
      <c r="F173">
        <v>20</v>
      </c>
      <c r="G173">
        <v>3.0678938773747301E-3</v>
      </c>
      <c r="H173">
        <v>8.2833134689117793E-2</v>
      </c>
      <c r="I173" t="s">
        <v>7241</v>
      </c>
    </row>
    <row r="174" spans="1:9" x14ac:dyDescent="0.25">
      <c r="A174" t="s">
        <v>7242</v>
      </c>
      <c r="C174" s="3" t="str">
        <f>HYPERLINK("http://amigo.geneontology.org/amigo/term/GO:0022857","GO:0022857")</f>
        <v>GO:0022857</v>
      </c>
      <c r="D174" t="s">
        <v>261</v>
      </c>
      <c r="E174">
        <v>2485</v>
      </c>
      <c r="F174">
        <v>54</v>
      </c>
      <c r="G174">
        <v>3.08589797226142E-3</v>
      </c>
      <c r="H174">
        <v>8.3319245251058494E-2</v>
      </c>
      <c r="I174" t="s">
        <v>7243</v>
      </c>
    </row>
    <row r="175" spans="1:9" x14ac:dyDescent="0.25">
      <c r="A175" t="s">
        <v>7244</v>
      </c>
      <c r="C175" s="3" t="str">
        <f>HYPERLINK("http://amigo.geneontology.org/amigo/term/GO:0016801","GO:0016801")</f>
        <v>GO:0016801</v>
      </c>
      <c r="D175" t="s">
        <v>7245</v>
      </c>
      <c r="E175">
        <v>6</v>
      </c>
      <c r="F175">
        <v>2</v>
      </c>
      <c r="G175">
        <v>3.0973949706924299E-3</v>
      </c>
      <c r="H175">
        <v>8.0532269238003301E-2</v>
      </c>
      <c r="I175" t="s">
        <v>7246</v>
      </c>
    </row>
    <row r="176" spans="1:9" x14ac:dyDescent="0.25">
      <c r="A176" t="s">
        <v>7247</v>
      </c>
      <c r="C176" s="3" t="str">
        <f>HYPERLINK("http://amigo.geneontology.org/amigo/term/GO:0016802","GO:0016802")</f>
        <v>GO:0016802</v>
      </c>
      <c r="D176" t="s">
        <v>7248</v>
      </c>
      <c r="E176">
        <v>6</v>
      </c>
      <c r="F176">
        <v>2</v>
      </c>
      <c r="G176">
        <v>3.0973949706924299E-3</v>
      </c>
      <c r="H176">
        <v>8.0532269238003301E-2</v>
      </c>
      <c r="I176" t="s">
        <v>7246</v>
      </c>
    </row>
    <row r="177" spans="1:9" x14ac:dyDescent="0.25">
      <c r="A177" t="s">
        <v>7249</v>
      </c>
      <c r="C177" s="3" t="str">
        <f>HYPERLINK("http://amigo.geneontology.org/amigo/term/GO:0004013","GO:0004013")</f>
        <v>GO:0004013</v>
      </c>
      <c r="D177" t="s">
        <v>7250</v>
      </c>
      <c r="E177">
        <v>6</v>
      </c>
      <c r="F177">
        <v>2</v>
      </c>
      <c r="G177">
        <v>3.0973949706924299E-3</v>
      </c>
      <c r="H177">
        <v>8.0532269238003301E-2</v>
      </c>
      <c r="I177" t="s">
        <v>7246</v>
      </c>
    </row>
    <row r="178" spans="1:9" x14ac:dyDescent="0.25">
      <c r="A178" t="s">
        <v>7251</v>
      </c>
      <c r="C178" s="3" t="str">
        <f>HYPERLINK("http://amigo.geneontology.org/amigo/term/GO:0019510","GO:0019510")</f>
        <v>GO:0019510</v>
      </c>
      <c r="D178" t="s">
        <v>7252</v>
      </c>
      <c r="E178">
        <v>6</v>
      </c>
      <c r="F178">
        <v>2</v>
      </c>
      <c r="G178">
        <v>3.0973949706924299E-3</v>
      </c>
      <c r="H178">
        <v>8.0532269238003301E-2</v>
      </c>
      <c r="I178" t="s">
        <v>7246</v>
      </c>
    </row>
    <row r="179" spans="1:9" x14ac:dyDescent="0.25">
      <c r="A179" t="s">
        <v>7253</v>
      </c>
      <c r="C179" s="3" t="str">
        <f>HYPERLINK("http://amigo.geneontology.org/amigo/term/GO:0008898","GO:0008898")</f>
        <v>GO:0008898</v>
      </c>
      <c r="D179" t="s">
        <v>7254</v>
      </c>
      <c r="E179">
        <v>6</v>
      </c>
      <c r="F179">
        <v>2</v>
      </c>
      <c r="G179">
        <v>3.0973949706924299E-3</v>
      </c>
      <c r="H179">
        <v>8.0532269238003301E-2</v>
      </c>
      <c r="I179" t="s">
        <v>7136</v>
      </c>
    </row>
    <row r="180" spans="1:9" x14ac:dyDescent="0.25">
      <c r="A180" t="s">
        <v>7255</v>
      </c>
      <c r="C180" s="3" t="str">
        <f>HYPERLINK("http://amigo.geneontology.org/amigo/term/GO:0015145","GO:0015145")</f>
        <v>GO:0015145</v>
      </c>
      <c r="D180" t="s">
        <v>7256</v>
      </c>
      <c r="E180">
        <v>6</v>
      </c>
      <c r="F180">
        <v>2</v>
      </c>
      <c r="G180">
        <v>3.0973949706924299E-3</v>
      </c>
      <c r="H180">
        <v>8.3629664208695706E-2</v>
      </c>
      <c r="I180" t="s">
        <v>7139</v>
      </c>
    </row>
    <row r="181" spans="1:9" x14ac:dyDescent="0.25">
      <c r="A181" t="s">
        <v>7257</v>
      </c>
      <c r="C181" s="3" t="str">
        <f>HYPERLINK("http://amigo.geneontology.org/amigo/term/GO:0015749","GO:0015749")</f>
        <v>GO:0015749</v>
      </c>
      <c r="D181" t="s">
        <v>7258</v>
      </c>
      <c r="E181">
        <v>6</v>
      </c>
      <c r="F181">
        <v>2</v>
      </c>
      <c r="G181">
        <v>3.0973949706924299E-3</v>
      </c>
      <c r="H181">
        <v>8.3629664208695706E-2</v>
      </c>
      <c r="I181" t="s">
        <v>7139</v>
      </c>
    </row>
    <row r="182" spans="1:9" x14ac:dyDescent="0.25">
      <c r="A182" t="s">
        <v>7259</v>
      </c>
      <c r="C182" s="3" t="str">
        <f>HYPERLINK("http://amigo.geneontology.org/amigo/term/GO:0004612","GO:0004612")</f>
        <v>GO:0004612</v>
      </c>
      <c r="D182" t="s">
        <v>7260</v>
      </c>
      <c r="E182">
        <v>6</v>
      </c>
      <c r="F182">
        <v>2</v>
      </c>
      <c r="G182">
        <v>3.0973949706924299E-3</v>
      </c>
      <c r="H182">
        <v>8.3629664208695706E-2</v>
      </c>
      <c r="I182" t="s">
        <v>7261</v>
      </c>
    </row>
    <row r="183" spans="1:9" x14ac:dyDescent="0.25">
      <c r="A183" t="s">
        <v>7262</v>
      </c>
      <c r="C183" s="3" t="str">
        <f>HYPERLINK("http://amigo.geneontology.org/amigo/term/GO:0098590","GO:0098590")</f>
        <v>GO:0098590</v>
      </c>
      <c r="D183" t="s">
        <v>781</v>
      </c>
      <c r="E183">
        <v>6</v>
      </c>
      <c r="F183">
        <v>2</v>
      </c>
      <c r="G183">
        <v>3.0973949706924299E-3</v>
      </c>
      <c r="H183">
        <v>8.3629664208695706E-2</v>
      </c>
      <c r="I183" t="s">
        <v>7148</v>
      </c>
    </row>
    <row r="184" spans="1:9" x14ac:dyDescent="0.25">
      <c r="A184" t="s">
        <v>7263</v>
      </c>
      <c r="C184" s="3" t="str">
        <f>HYPERLINK("http://amigo.geneontology.org/amigo/term/GO:0016757","GO:0016757")</f>
        <v>GO:0016757</v>
      </c>
      <c r="D184" t="s">
        <v>977</v>
      </c>
      <c r="E184">
        <v>2155</v>
      </c>
      <c r="F184">
        <v>48</v>
      </c>
      <c r="G184">
        <v>3.22446615500062E-3</v>
      </c>
      <c r="H184">
        <v>8.3836120030016198E-2</v>
      </c>
      <c r="I184" t="s">
        <v>7264</v>
      </c>
    </row>
    <row r="185" spans="1:9" x14ac:dyDescent="0.25">
      <c r="A185" t="s">
        <v>7265</v>
      </c>
      <c r="C185" s="3" t="str">
        <f>HYPERLINK("http://amigo.geneontology.org/amigo/term/GO:0010310","GO:0010310")</f>
        <v>GO:0010310</v>
      </c>
      <c r="D185" t="s">
        <v>7266</v>
      </c>
      <c r="E185">
        <v>44</v>
      </c>
      <c r="F185">
        <v>4</v>
      </c>
      <c r="G185">
        <v>3.9156922497824301E-3</v>
      </c>
      <c r="H185">
        <v>9.7892306244560898E-2</v>
      </c>
      <c r="I185" t="s">
        <v>7267</v>
      </c>
    </row>
    <row r="186" spans="1:9" x14ac:dyDescent="0.25">
      <c r="A186" t="s">
        <v>7268</v>
      </c>
      <c r="C186" s="3" t="str">
        <f>HYPERLINK("http://amigo.geneontology.org/amigo/term/GO:0004601","GO:0004601")</f>
        <v>GO:0004601</v>
      </c>
      <c r="D186" t="s">
        <v>640</v>
      </c>
      <c r="E186">
        <v>798</v>
      </c>
      <c r="F186">
        <v>22</v>
      </c>
      <c r="G186">
        <v>4.0844251095020299E-3</v>
      </c>
      <c r="H186">
        <v>0.10211062773755</v>
      </c>
      <c r="I186" t="s">
        <v>7269</v>
      </c>
    </row>
    <row r="187" spans="1:9" x14ac:dyDescent="0.25">
      <c r="A187" t="s">
        <v>7270</v>
      </c>
      <c r="C187" s="3" t="str">
        <f>HYPERLINK("http://amigo.geneontology.org/amigo/term/GO:0016684","GO:0016684")</f>
        <v>GO:0016684</v>
      </c>
      <c r="D187" t="s">
        <v>643</v>
      </c>
      <c r="E187">
        <v>799</v>
      </c>
      <c r="F187">
        <v>22</v>
      </c>
      <c r="G187">
        <v>4.1437458244279104E-3</v>
      </c>
      <c r="H187">
        <v>0.103593645610697</v>
      </c>
      <c r="I187" t="s">
        <v>7269</v>
      </c>
    </row>
    <row r="188" spans="1:9" x14ac:dyDescent="0.25">
      <c r="A188" t="s">
        <v>7271</v>
      </c>
      <c r="C188" s="3" t="str">
        <f>HYPERLINK("http://amigo.geneontology.org/amigo/term/GO:0046498","GO:0046498")</f>
        <v>GO:0046498</v>
      </c>
      <c r="D188" t="s">
        <v>7272</v>
      </c>
      <c r="E188">
        <v>7</v>
      </c>
      <c r="F188">
        <v>2</v>
      </c>
      <c r="G188">
        <v>4.2942528326016102E-3</v>
      </c>
      <c r="H188">
        <v>0.10735632081504</v>
      </c>
      <c r="I188" t="s">
        <v>7246</v>
      </c>
    </row>
    <row r="189" spans="1:9" x14ac:dyDescent="0.25">
      <c r="A189" t="s">
        <v>7273</v>
      </c>
      <c r="C189" s="3" t="str">
        <f>HYPERLINK("http://amigo.geneontology.org/amigo/term/GO:0015669","GO:0015669")</f>
        <v>GO:0015669</v>
      </c>
      <c r="D189" t="s">
        <v>7274</v>
      </c>
      <c r="E189">
        <v>7</v>
      </c>
      <c r="F189">
        <v>2</v>
      </c>
      <c r="G189">
        <v>4.2942528326016102E-3</v>
      </c>
      <c r="H189">
        <v>0.10735632081504</v>
      </c>
      <c r="I189" t="s">
        <v>7275</v>
      </c>
    </row>
    <row r="190" spans="1:9" x14ac:dyDescent="0.25">
      <c r="A190" t="s">
        <v>7276</v>
      </c>
      <c r="C190" s="3" t="str">
        <f>HYPERLINK("http://amigo.geneontology.org/amigo/term/GO:0015671","GO:0015671")</f>
        <v>GO:0015671</v>
      </c>
      <c r="D190" t="s">
        <v>7277</v>
      </c>
      <c r="E190">
        <v>7</v>
      </c>
      <c r="F190">
        <v>2</v>
      </c>
      <c r="G190">
        <v>4.2942528326016102E-3</v>
      </c>
      <c r="H190">
        <v>0.10735632081504</v>
      </c>
      <c r="I190" t="s">
        <v>7275</v>
      </c>
    </row>
    <row r="191" spans="1:9" x14ac:dyDescent="0.25">
      <c r="A191" t="s">
        <v>7278</v>
      </c>
      <c r="C191" s="3" t="str">
        <f>HYPERLINK("http://amigo.geneontology.org/amigo/term/GO:0019400","GO:0019400")</f>
        <v>GO:0019400</v>
      </c>
      <c r="D191" t="s">
        <v>958</v>
      </c>
      <c r="E191">
        <v>47</v>
      </c>
      <c r="F191">
        <v>4</v>
      </c>
      <c r="G191">
        <v>4.9702591784859399E-3</v>
      </c>
      <c r="H191">
        <v>0.119286220283662</v>
      </c>
      <c r="I191" t="s">
        <v>7279</v>
      </c>
    </row>
    <row r="192" spans="1:9" x14ac:dyDescent="0.25">
      <c r="A192" t="s">
        <v>7280</v>
      </c>
      <c r="C192" s="3" t="str">
        <f>HYPERLINK("http://amigo.geneontology.org/amigo/term/GO:0006071","GO:0006071")</f>
        <v>GO:0006071</v>
      </c>
      <c r="D192" t="s">
        <v>960</v>
      </c>
      <c r="E192">
        <v>47</v>
      </c>
      <c r="F192">
        <v>4</v>
      </c>
      <c r="G192">
        <v>4.9702591784859399E-3</v>
      </c>
      <c r="H192">
        <v>0.124256479462148</v>
      </c>
      <c r="I192" t="s">
        <v>7279</v>
      </c>
    </row>
    <row r="193" spans="1:9" x14ac:dyDescent="0.25">
      <c r="A193" t="s">
        <v>7281</v>
      </c>
      <c r="C193" s="3" t="str">
        <f>HYPERLINK("http://amigo.geneontology.org/amigo/term/GO:1901575","GO:1901575")</f>
        <v>GO:1901575</v>
      </c>
      <c r="D193" t="s">
        <v>5759</v>
      </c>
      <c r="E193">
        <v>2326</v>
      </c>
      <c r="F193">
        <v>50</v>
      </c>
      <c r="G193">
        <v>5.2564552557144099E-3</v>
      </c>
      <c r="H193">
        <v>0.12615492613714499</v>
      </c>
      <c r="I193" t="s">
        <v>7282</v>
      </c>
    </row>
    <row r="194" spans="1:9" x14ac:dyDescent="0.25">
      <c r="A194" t="s">
        <v>7283</v>
      </c>
      <c r="C194" s="3" t="str">
        <f>HYPERLINK("http://amigo.geneontology.org/amigo/term/GO:0006730","GO:0006730")</f>
        <v>GO:0006730</v>
      </c>
      <c r="D194" t="s">
        <v>6194</v>
      </c>
      <c r="E194">
        <v>48</v>
      </c>
      <c r="F194">
        <v>4</v>
      </c>
      <c r="G194">
        <v>5.3601185585390298E-3</v>
      </c>
      <c r="H194">
        <v>0.12864284540493601</v>
      </c>
      <c r="I194" t="s">
        <v>7284</v>
      </c>
    </row>
    <row r="195" spans="1:9" x14ac:dyDescent="0.25">
      <c r="A195" t="s">
        <v>7285</v>
      </c>
      <c r="C195" s="3" t="str">
        <f>HYPERLINK("http://amigo.geneontology.org/amigo/term/GO:0006520","GO:0006520")</f>
        <v>GO:0006520</v>
      </c>
      <c r="D195" t="s">
        <v>5762</v>
      </c>
      <c r="E195">
        <v>1345</v>
      </c>
      <c r="F195">
        <v>32</v>
      </c>
      <c r="G195">
        <v>5.8851429585503297E-3</v>
      </c>
      <c r="H195">
        <v>0.141243431005208</v>
      </c>
      <c r="I195" t="s">
        <v>7286</v>
      </c>
    </row>
    <row r="196" spans="1:9" x14ac:dyDescent="0.25">
      <c r="A196" t="s">
        <v>7287</v>
      </c>
      <c r="C196" s="3" t="str">
        <f>HYPERLINK("http://amigo.geneontology.org/amigo/term/GO:0006865","GO:0006865")</f>
        <v>GO:0006865</v>
      </c>
      <c r="D196" t="s">
        <v>5232</v>
      </c>
      <c r="E196">
        <v>151</v>
      </c>
      <c r="F196">
        <v>7</v>
      </c>
      <c r="G196">
        <v>7.1490706471604099E-3</v>
      </c>
      <c r="H196">
        <v>0.17157769553185001</v>
      </c>
      <c r="I196" t="s">
        <v>7288</v>
      </c>
    </row>
    <row r="197" spans="1:9" x14ac:dyDescent="0.25">
      <c r="A197" t="s">
        <v>7289</v>
      </c>
      <c r="C197" s="3" t="str">
        <f>HYPERLINK("http://amigo.geneontology.org/amigo/term/GO:0006152","GO:0006152")</f>
        <v>GO:0006152</v>
      </c>
      <c r="D197" t="s">
        <v>5285</v>
      </c>
      <c r="E197">
        <v>9</v>
      </c>
      <c r="F197">
        <v>2</v>
      </c>
      <c r="G197">
        <v>7.2195912385337501E-3</v>
      </c>
      <c r="H197">
        <v>0.17327018972481001</v>
      </c>
      <c r="I197" t="s">
        <v>7246</v>
      </c>
    </row>
    <row r="198" spans="1:9" x14ac:dyDescent="0.25">
      <c r="A198" t="s">
        <v>7290</v>
      </c>
      <c r="C198" s="3" t="str">
        <f>HYPERLINK("http://amigo.geneontology.org/amigo/term/GO:0046130","GO:0046130")</f>
        <v>GO:0046130</v>
      </c>
      <c r="D198" t="s">
        <v>5287</v>
      </c>
      <c r="E198">
        <v>9</v>
      </c>
      <c r="F198">
        <v>2</v>
      </c>
      <c r="G198">
        <v>7.2195912385337501E-3</v>
      </c>
      <c r="H198">
        <v>0.17327018972481001</v>
      </c>
      <c r="I198" t="s">
        <v>7246</v>
      </c>
    </row>
    <row r="199" spans="1:9" x14ac:dyDescent="0.25">
      <c r="A199" t="s">
        <v>7291</v>
      </c>
      <c r="C199" s="3" t="str">
        <f>HYPERLINK("http://amigo.geneontology.org/amigo/term/GO:0044205","GO:0044205")</f>
        <v>GO:0044205</v>
      </c>
      <c r="D199" t="s">
        <v>7292</v>
      </c>
      <c r="E199">
        <v>9</v>
      </c>
      <c r="F199">
        <v>2</v>
      </c>
      <c r="G199">
        <v>7.2195912385337501E-3</v>
      </c>
      <c r="H199">
        <v>0.17327018972481001</v>
      </c>
      <c r="I199" t="s">
        <v>7223</v>
      </c>
    </row>
    <row r="200" spans="1:9" x14ac:dyDescent="0.25">
      <c r="A200" t="s">
        <v>7293</v>
      </c>
      <c r="C200" s="3" t="str">
        <f>HYPERLINK("http://amigo.geneontology.org/amigo/term/GO:0050660","GO:0050660")</f>
        <v>GO:0050660</v>
      </c>
      <c r="D200" t="s">
        <v>5709</v>
      </c>
      <c r="E200">
        <v>591</v>
      </c>
      <c r="F200">
        <v>17</v>
      </c>
      <c r="G200">
        <v>7.2217041163475703E-3</v>
      </c>
      <c r="H200">
        <v>0.16609919467599399</v>
      </c>
      <c r="I200" t="s">
        <v>7294</v>
      </c>
    </row>
    <row r="201" spans="1:9" x14ac:dyDescent="0.25">
      <c r="A201" t="s">
        <v>7295</v>
      </c>
      <c r="C201" s="3" t="str">
        <f>HYPERLINK("http://amigo.geneontology.org/amigo/term/GO:0004373","GO:0004373")</f>
        <v>GO:0004373</v>
      </c>
      <c r="D201" t="s">
        <v>7296</v>
      </c>
      <c r="E201">
        <v>28</v>
      </c>
      <c r="F201">
        <v>3</v>
      </c>
      <c r="G201">
        <v>7.8339905085154701E-3</v>
      </c>
      <c r="H201">
        <v>0.180181781695855</v>
      </c>
      <c r="I201" t="s">
        <v>7297</v>
      </c>
    </row>
    <row r="202" spans="1:9" x14ac:dyDescent="0.25">
      <c r="A202" t="s">
        <v>7298</v>
      </c>
      <c r="C202" s="3" t="str">
        <f>HYPERLINK("http://amigo.geneontology.org/amigo/term/GO:0005548","GO:0005548")</f>
        <v>GO:0005548</v>
      </c>
      <c r="D202" t="s">
        <v>7299</v>
      </c>
      <c r="E202">
        <v>29</v>
      </c>
      <c r="F202">
        <v>3</v>
      </c>
      <c r="G202">
        <v>8.6438878694006602E-3</v>
      </c>
      <c r="H202">
        <v>0.19880942099621501</v>
      </c>
      <c r="I202" t="s">
        <v>7300</v>
      </c>
    </row>
    <row r="203" spans="1:9" x14ac:dyDescent="0.25">
      <c r="A203" t="s">
        <v>7301</v>
      </c>
      <c r="C203" s="3" t="str">
        <f>HYPERLINK("http://amigo.geneontology.org/amigo/term/GO:0004012","GO:0004012")</f>
        <v>GO:0004012</v>
      </c>
      <c r="D203" t="s">
        <v>7302</v>
      </c>
      <c r="E203">
        <v>29</v>
      </c>
      <c r="F203">
        <v>3</v>
      </c>
      <c r="G203">
        <v>8.6438878694006602E-3</v>
      </c>
      <c r="H203">
        <v>0.19880942099621501</v>
      </c>
      <c r="I203" t="s">
        <v>7300</v>
      </c>
    </row>
    <row r="204" spans="1:9" x14ac:dyDescent="0.25">
      <c r="A204" t="s">
        <v>7303</v>
      </c>
      <c r="C204" s="3" t="str">
        <f>HYPERLINK("http://amigo.geneontology.org/amigo/term/GO:0015914","GO:0015914")</f>
        <v>GO:0015914</v>
      </c>
      <c r="D204" t="s">
        <v>7304</v>
      </c>
      <c r="E204">
        <v>29</v>
      </c>
      <c r="F204">
        <v>3</v>
      </c>
      <c r="G204">
        <v>8.6438878694006602E-3</v>
      </c>
      <c r="H204">
        <v>0.19880942099621501</v>
      </c>
      <c r="I204" t="s">
        <v>7300</v>
      </c>
    </row>
    <row r="205" spans="1:9" x14ac:dyDescent="0.25">
      <c r="A205" t="s">
        <v>7305</v>
      </c>
      <c r="C205" s="3" t="str">
        <f>HYPERLINK("http://amigo.geneontology.org/amigo/term/GO:0032268","GO:0032268")</f>
        <v>GO:0032268</v>
      </c>
      <c r="D205" t="s">
        <v>7306</v>
      </c>
      <c r="E205">
        <v>554</v>
      </c>
      <c r="F205">
        <v>16</v>
      </c>
      <c r="G205">
        <v>8.6525557884600795E-3</v>
      </c>
      <c r="H205">
        <v>0.19900878313458101</v>
      </c>
      <c r="I205" t="s">
        <v>7307</v>
      </c>
    </row>
    <row r="206" spans="1:9" x14ac:dyDescent="0.25">
      <c r="A206" t="s">
        <v>7308</v>
      </c>
      <c r="C206" s="3" t="str">
        <f>HYPERLINK("http://amigo.geneontology.org/amigo/term/GO:0045493","GO:0045493")</f>
        <v>GO:0045493</v>
      </c>
      <c r="D206" t="s">
        <v>7309</v>
      </c>
      <c r="E206">
        <v>10</v>
      </c>
      <c r="F206">
        <v>2</v>
      </c>
      <c r="G206">
        <v>8.9371994251928096E-3</v>
      </c>
      <c r="H206">
        <v>0.196618387354241</v>
      </c>
      <c r="I206" t="s">
        <v>7310</v>
      </c>
    </row>
    <row r="207" spans="1:9" x14ac:dyDescent="0.25">
      <c r="A207" t="s">
        <v>7311</v>
      </c>
      <c r="C207" s="3" t="str">
        <f>HYPERLINK("http://amigo.geneontology.org/amigo/term/GO:0034219","GO:0034219")</f>
        <v>GO:0034219</v>
      </c>
      <c r="D207" t="s">
        <v>7312</v>
      </c>
      <c r="E207">
        <v>10</v>
      </c>
      <c r="F207">
        <v>2</v>
      </c>
      <c r="G207">
        <v>8.9371994251928096E-3</v>
      </c>
      <c r="H207">
        <v>0.196618387354241</v>
      </c>
      <c r="I207" t="s">
        <v>7139</v>
      </c>
    </row>
    <row r="208" spans="1:9" x14ac:dyDescent="0.25">
      <c r="A208" t="s">
        <v>7313</v>
      </c>
      <c r="C208" s="3" t="str">
        <f>HYPERLINK("http://amigo.geneontology.org/amigo/term/GO:0019825","GO:0019825")</f>
        <v>GO:0019825</v>
      </c>
      <c r="D208" t="s">
        <v>7314</v>
      </c>
      <c r="E208">
        <v>10</v>
      </c>
      <c r="F208">
        <v>2</v>
      </c>
      <c r="G208">
        <v>8.9371994251928096E-3</v>
      </c>
      <c r="H208">
        <v>0.205555586779434</v>
      </c>
      <c r="I208" t="s">
        <v>7275</v>
      </c>
    </row>
    <row r="209" spans="1:9" x14ac:dyDescent="0.25">
      <c r="A209" t="s">
        <v>7315</v>
      </c>
      <c r="C209" s="3" t="str">
        <f>HYPERLINK("http://amigo.geneontology.org/amigo/term/GO:0000323","GO:0000323")</f>
        <v>GO:0000323</v>
      </c>
      <c r="D209" t="s">
        <v>7316</v>
      </c>
      <c r="E209">
        <v>10</v>
      </c>
      <c r="F209">
        <v>2</v>
      </c>
      <c r="G209">
        <v>8.9371994251928096E-3</v>
      </c>
      <c r="H209">
        <v>0.205555586779434</v>
      </c>
      <c r="I209" t="s">
        <v>7148</v>
      </c>
    </row>
    <row r="210" spans="1:9" x14ac:dyDescent="0.25">
      <c r="A210" t="s">
        <v>7317</v>
      </c>
      <c r="C210" s="3" t="str">
        <f>HYPERLINK("http://amigo.geneontology.org/amigo/term/GO:0051193","GO:0051193")</f>
        <v>GO:0051193</v>
      </c>
      <c r="D210" t="s">
        <v>7318</v>
      </c>
      <c r="E210">
        <v>57</v>
      </c>
      <c r="F210">
        <v>4</v>
      </c>
      <c r="G210">
        <v>9.8145562478775001E-3</v>
      </c>
      <c r="H210">
        <v>0.21592023745330499</v>
      </c>
      <c r="I210" t="s">
        <v>7267</v>
      </c>
    </row>
    <row r="211" spans="1:9" x14ac:dyDescent="0.25">
      <c r="A211" t="s">
        <v>7319</v>
      </c>
      <c r="C211" s="3" t="str">
        <f>HYPERLINK("http://amigo.geneontology.org/amigo/term/GO:0010181","GO:0010181")</f>
        <v>GO:0010181</v>
      </c>
      <c r="D211" t="s">
        <v>7320</v>
      </c>
      <c r="E211">
        <v>161</v>
      </c>
      <c r="F211">
        <v>7</v>
      </c>
      <c r="G211">
        <v>9.9829035967261004E-3</v>
      </c>
      <c r="H211">
        <v>0.21962387912797399</v>
      </c>
      <c r="I211" t="s">
        <v>7321</v>
      </c>
    </row>
    <row r="212" spans="1:9" x14ac:dyDescent="0.25">
      <c r="A212" t="s">
        <v>7322</v>
      </c>
      <c r="C212" s="3" t="str">
        <f>HYPERLINK("http://amigo.geneontology.org/amigo/term/GO:0005516","GO:0005516")</f>
        <v>GO:0005516</v>
      </c>
      <c r="D212" t="s">
        <v>645</v>
      </c>
      <c r="E212">
        <v>165</v>
      </c>
      <c r="F212">
        <v>7</v>
      </c>
      <c r="G212">
        <v>1.1318789902308101E-2</v>
      </c>
      <c r="H212">
        <v>0.24901337785078001</v>
      </c>
      <c r="I212" t="s">
        <v>7323</v>
      </c>
    </row>
    <row r="213" spans="1:9" x14ac:dyDescent="0.25">
      <c r="A213" t="s">
        <v>7324</v>
      </c>
      <c r="C213" s="3" t="str">
        <f>HYPERLINK("http://amigo.geneontology.org/amigo/term/GO:0070011","GO:0070011")</f>
        <v>GO:0070011</v>
      </c>
      <c r="D213" t="s">
        <v>151</v>
      </c>
      <c r="E213">
        <v>2258</v>
      </c>
      <c r="F213">
        <v>47</v>
      </c>
      <c r="G213">
        <v>1.14725872216008E-2</v>
      </c>
      <c r="H213">
        <v>0.25239691887521898</v>
      </c>
      <c r="I213" t="s">
        <v>7325</v>
      </c>
    </row>
    <row r="214" spans="1:9" x14ac:dyDescent="0.25">
      <c r="A214" t="s">
        <v>7326</v>
      </c>
      <c r="C214" s="3" t="str">
        <f>HYPERLINK("http://amigo.geneontology.org/amigo/term/GO:0051246","GO:0051246")</f>
        <v>GO:0051246</v>
      </c>
      <c r="D214" t="s">
        <v>7327</v>
      </c>
      <c r="E214">
        <v>576</v>
      </c>
      <c r="F214">
        <v>16</v>
      </c>
      <c r="G214">
        <v>1.21635801247764E-2</v>
      </c>
      <c r="H214">
        <v>0.26759876274508099</v>
      </c>
      <c r="I214" t="s">
        <v>7307</v>
      </c>
    </row>
    <row r="215" spans="1:9" x14ac:dyDescent="0.25">
      <c r="A215" t="s">
        <v>7328</v>
      </c>
      <c r="C215" s="3" t="str">
        <f>HYPERLINK("http://amigo.geneontology.org/amigo/term/GO:0016298","GO:0016298")</f>
        <v>GO:0016298</v>
      </c>
      <c r="D215" t="s">
        <v>457</v>
      </c>
      <c r="E215">
        <v>209</v>
      </c>
      <c r="F215">
        <v>8</v>
      </c>
      <c r="G215">
        <v>1.25517478273882E-2</v>
      </c>
      <c r="H215">
        <v>0.27613845220254102</v>
      </c>
      <c r="I215" t="s">
        <v>7329</v>
      </c>
    </row>
    <row r="216" spans="1:9" x14ac:dyDescent="0.25">
      <c r="A216" t="s">
        <v>7330</v>
      </c>
      <c r="C216" s="3" t="str">
        <f>HYPERLINK("http://amigo.geneontology.org/amigo/term/GO:0051187","GO:0051187")</f>
        <v>GO:0051187</v>
      </c>
      <c r="D216" t="s">
        <v>4229</v>
      </c>
      <c r="E216">
        <v>340</v>
      </c>
      <c r="F216">
        <v>11</v>
      </c>
      <c r="G216">
        <v>1.2573173556139801E-2</v>
      </c>
      <c r="H216">
        <v>0.27660981823507602</v>
      </c>
      <c r="I216" t="s">
        <v>7331</v>
      </c>
    </row>
    <row r="217" spans="1:9" x14ac:dyDescent="0.25">
      <c r="A217" t="s">
        <v>7332</v>
      </c>
      <c r="C217" s="3" t="str">
        <f>HYPERLINK("http://amigo.geneontology.org/amigo/term/GO:0034656","GO:0034656")</f>
        <v>GO:0034656</v>
      </c>
      <c r="D217" t="s">
        <v>5313</v>
      </c>
      <c r="E217">
        <v>12</v>
      </c>
      <c r="F217">
        <v>2</v>
      </c>
      <c r="G217">
        <v>1.2856016940265801E-2</v>
      </c>
      <c r="H217">
        <v>0.26997635574558199</v>
      </c>
      <c r="I217" t="s">
        <v>7246</v>
      </c>
    </row>
    <row r="218" spans="1:9" x14ac:dyDescent="0.25">
      <c r="A218" t="s">
        <v>7333</v>
      </c>
      <c r="C218" s="3" t="str">
        <f>HYPERLINK("http://amigo.geneontology.org/amigo/term/GO:1901658","GO:1901658")</f>
        <v>GO:1901658</v>
      </c>
      <c r="D218" t="s">
        <v>5315</v>
      </c>
      <c r="E218">
        <v>12</v>
      </c>
      <c r="F218">
        <v>2</v>
      </c>
      <c r="G218">
        <v>1.2856016940265801E-2</v>
      </c>
      <c r="H218">
        <v>0.26997635574558199</v>
      </c>
      <c r="I218" t="s">
        <v>7246</v>
      </c>
    </row>
    <row r="219" spans="1:9" x14ac:dyDescent="0.25">
      <c r="A219" t="s">
        <v>7334</v>
      </c>
      <c r="C219" s="3" t="str">
        <f>HYPERLINK("http://amigo.geneontology.org/amigo/term/GO:0009164","GO:0009164")</f>
        <v>GO:0009164</v>
      </c>
      <c r="D219" t="s">
        <v>5316</v>
      </c>
      <c r="E219">
        <v>12</v>
      </c>
      <c r="F219">
        <v>2</v>
      </c>
      <c r="G219">
        <v>1.2856016940265801E-2</v>
      </c>
      <c r="H219">
        <v>0.26997635574558199</v>
      </c>
      <c r="I219" t="s">
        <v>7246</v>
      </c>
    </row>
    <row r="220" spans="1:9" x14ac:dyDescent="0.25">
      <c r="A220" t="s">
        <v>7335</v>
      </c>
      <c r="C220" s="3" t="str">
        <f>HYPERLINK("http://amigo.geneontology.org/amigo/term/GO:0042454","GO:0042454")</f>
        <v>GO:0042454</v>
      </c>
      <c r="D220" t="s">
        <v>5317</v>
      </c>
      <c r="E220">
        <v>12</v>
      </c>
      <c r="F220">
        <v>2</v>
      </c>
      <c r="G220">
        <v>1.2856016940265801E-2</v>
      </c>
      <c r="H220">
        <v>0.26997635574558199</v>
      </c>
      <c r="I220" t="s">
        <v>7246</v>
      </c>
    </row>
    <row r="221" spans="1:9" x14ac:dyDescent="0.25">
      <c r="A221" t="s">
        <v>7336</v>
      </c>
      <c r="C221" s="3" t="str">
        <f>HYPERLINK("http://amigo.geneontology.org/amigo/term/GO:0008172","GO:0008172")</f>
        <v>GO:0008172</v>
      </c>
      <c r="D221" t="s">
        <v>7337</v>
      </c>
      <c r="E221">
        <v>12</v>
      </c>
      <c r="F221">
        <v>2</v>
      </c>
      <c r="G221">
        <v>1.2856016940265801E-2</v>
      </c>
      <c r="H221">
        <v>0.26997635574558199</v>
      </c>
      <c r="I221" t="s">
        <v>7136</v>
      </c>
    </row>
    <row r="222" spans="1:9" x14ac:dyDescent="0.25">
      <c r="A222" t="s">
        <v>7338</v>
      </c>
      <c r="C222" s="3" t="str">
        <f>HYPERLINK("http://amigo.geneontology.org/amigo/term/GO:0008233","GO:0008233")</f>
        <v>GO:0008233</v>
      </c>
      <c r="D222" t="s">
        <v>154</v>
      </c>
      <c r="E222">
        <v>2332</v>
      </c>
      <c r="F222">
        <v>48</v>
      </c>
      <c r="G222">
        <v>1.2892237208511801E-2</v>
      </c>
      <c r="H222">
        <v>0.27073698137874802</v>
      </c>
      <c r="I222" t="s">
        <v>7339</v>
      </c>
    </row>
    <row r="223" spans="1:9" x14ac:dyDescent="0.25">
      <c r="A223" t="s">
        <v>7340</v>
      </c>
      <c r="C223" s="3" t="str">
        <f>HYPERLINK("http://amigo.geneontology.org/amigo/term/GO:0008970","GO:0008970")</f>
        <v>GO:0008970</v>
      </c>
      <c r="D223" t="s">
        <v>134</v>
      </c>
      <c r="E223">
        <v>34</v>
      </c>
      <c r="F223">
        <v>3</v>
      </c>
      <c r="G223">
        <v>1.34120600223691E-2</v>
      </c>
      <c r="H223">
        <v>0.28165326046975098</v>
      </c>
      <c r="I223" t="s">
        <v>7341</v>
      </c>
    </row>
    <row r="224" spans="1:9" x14ac:dyDescent="0.25">
      <c r="A224" t="s">
        <v>7342</v>
      </c>
      <c r="C224" s="3" t="str">
        <f>HYPERLINK("http://amigo.geneontology.org/amigo/term/GO:0009862","GO:0009862")</f>
        <v>GO:0009862</v>
      </c>
      <c r="D224" t="s">
        <v>7343</v>
      </c>
      <c r="E224">
        <v>63</v>
      </c>
      <c r="F224">
        <v>4</v>
      </c>
      <c r="G224">
        <v>1.3820245837433401E-2</v>
      </c>
      <c r="H224">
        <v>0.29022516258610198</v>
      </c>
      <c r="I224" t="s">
        <v>7267</v>
      </c>
    </row>
    <row r="225" spans="1:9" x14ac:dyDescent="0.25">
      <c r="A225" t="s">
        <v>7344</v>
      </c>
      <c r="C225" s="3" t="str">
        <f>HYPERLINK("http://amigo.geneontology.org/amigo/term/GO:2000377","GO:2000377")</f>
        <v>GO:2000377</v>
      </c>
      <c r="D225" t="s">
        <v>7345</v>
      </c>
      <c r="E225">
        <v>63</v>
      </c>
      <c r="F225">
        <v>4</v>
      </c>
      <c r="G225">
        <v>1.3820245837433401E-2</v>
      </c>
      <c r="H225">
        <v>0.29022516258610198</v>
      </c>
      <c r="I225" t="s">
        <v>7267</v>
      </c>
    </row>
    <row r="226" spans="1:9" x14ac:dyDescent="0.25">
      <c r="A226" t="s">
        <v>7346</v>
      </c>
      <c r="C226" s="3" t="str">
        <f>HYPERLINK("http://amigo.geneontology.org/amigo/term/GO:0005543","GO:0005543")</f>
        <v>GO:0005543</v>
      </c>
      <c r="D226" t="s">
        <v>808</v>
      </c>
      <c r="E226">
        <v>134</v>
      </c>
      <c r="F226">
        <v>6</v>
      </c>
      <c r="G226">
        <v>1.4469506811194899E-2</v>
      </c>
      <c r="H226">
        <v>0.303859643035093</v>
      </c>
      <c r="I226" t="s">
        <v>7347</v>
      </c>
    </row>
    <row r="227" spans="1:9" x14ac:dyDescent="0.25">
      <c r="A227" t="s">
        <v>7348</v>
      </c>
      <c r="C227" s="3" t="str">
        <f>HYPERLINK("http://amigo.geneontology.org/amigo/term/GO:0016645","GO:0016645")</f>
        <v>GO:0016645</v>
      </c>
      <c r="D227" t="s">
        <v>5260</v>
      </c>
      <c r="E227">
        <v>64</v>
      </c>
      <c r="F227">
        <v>4</v>
      </c>
      <c r="G227">
        <v>1.4574589769201099E-2</v>
      </c>
      <c r="H227">
        <v>0.29149179538402198</v>
      </c>
      <c r="I227" t="s">
        <v>7220</v>
      </c>
    </row>
    <row r="228" spans="1:9" x14ac:dyDescent="0.25">
      <c r="A228" t="s">
        <v>7349</v>
      </c>
      <c r="C228" s="3" t="str">
        <f>HYPERLINK("http://amigo.geneontology.org/amigo/term/GO:0033949","GO:0033949")</f>
        <v>GO:0033949</v>
      </c>
      <c r="D228" t="s">
        <v>7350</v>
      </c>
      <c r="E228">
        <v>1</v>
      </c>
      <c r="F228">
        <v>1</v>
      </c>
      <c r="G228">
        <v>1.4660283605097701E-2</v>
      </c>
      <c r="H228">
        <v>0.29320567210195397</v>
      </c>
      <c r="I228" t="s">
        <v>7351</v>
      </c>
    </row>
    <row r="229" spans="1:9" x14ac:dyDescent="0.25">
      <c r="A229" t="s">
        <v>7352</v>
      </c>
      <c r="C229" s="3" t="str">
        <f>HYPERLINK("http://amigo.geneontology.org/amigo/term/GO:0004067","GO:0004067")</f>
        <v>GO:0004067</v>
      </c>
      <c r="D229" t="s">
        <v>7353</v>
      </c>
      <c r="E229">
        <v>1</v>
      </c>
      <c r="F229">
        <v>1</v>
      </c>
      <c r="G229">
        <v>1.4660283605097701E-2</v>
      </c>
      <c r="H229">
        <v>0.29320567210195397</v>
      </c>
      <c r="I229" t="s">
        <v>7354</v>
      </c>
    </row>
    <row r="230" spans="1:9" x14ac:dyDescent="0.25">
      <c r="A230" t="s">
        <v>7355</v>
      </c>
      <c r="C230" s="3" t="str">
        <f>HYPERLINK("http://amigo.geneontology.org/amigo/term/GO:0050738","GO:0050738")</f>
        <v>GO:0050738</v>
      </c>
      <c r="D230" t="s">
        <v>7356</v>
      </c>
      <c r="E230">
        <v>1</v>
      </c>
      <c r="F230">
        <v>1</v>
      </c>
      <c r="G230">
        <v>1.4660283605097701E-2</v>
      </c>
      <c r="H230">
        <v>0.29320567210195397</v>
      </c>
      <c r="I230" t="s">
        <v>7357</v>
      </c>
    </row>
    <row r="231" spans="1:9" x14ac:dyDescent="0.25">
      <c r="A231" t="s">
        <v>7358</v>
      </c>
      <c r="C231" s="3" t="str">
        <f>HYPERLINK("http://amigo.geneontology.org/amigo/term/GO:0050306","GO:0050306")</f>
        <v>GO:0050306</v>
      </c>
      <c r="D231" t="s">
        <v>7359</v>
      </c>
      <c r="E231">
        <v>1</v>
      </c>
      <c r="F231">
        <v>1</v>
      </c>
      <c r="G231">
        <v>1.4660283605097701E-2</v>
      </c>
      <c r="H231">
        <v>0.29320567210195397</v>
      </c>
      <c r="I231" t="s">
        <v>7357</v>
      </c>
    </row>
    <row r="232" spans="1:9" x14ac:dyDescent="0.25">
      <c r="A232" t="s">
        <v>7360</v>
      </c>
      <c r="C232" s="3" t="str">
        <f>HYPERLINK("http://amigo.geneontology.org/amigo/term/GO:0071077","GO:0071077")</f>
        <v>GO:0071077</v>
      </c>
      <c r="D232" t="s">
        <v>7361</v>
      </c>
      <c r="E232">
        <v>1</v>
      </c>
      <c r="F232">
        <v>1</v>
      </c>
      <c r="G232">
        <v>1.4660283605097701E-2</v>
      </c>
      <c r="H232">
        <v>0.29320567210195397</v>
      </c>
      <c r="I232" t="s">
        <v>7362</v>
      </c>
    </row>
    <row r="233" spans="1:9" x14ac:dyDescent="0.25">
      <c r="A233" t="s">
        <v>7363</v>
      </c>
      <c r="C233" s="3" t="str">
        <f>HYPERLINK("http://amigo.geneontology.org/amigo/term/GO:0015228","GO:0015228")</f>
        <v>GO:0015228</v>
      </c>
      <c r="D233" t="s">
        <v>7364</v>
      </c>
      <c r="E233">
        <v>1</v>
      </c>
      <c r="F233">
        <v>1</v>
      </c>
      <c r="G233">
        <v>1.4660283605097701E-2</v>
      </c>
      <c r="H233">
        <v>0.29320567210195397</v>
      </c>
      <c r="I233" t="s">
        <v>7362</v>
      </c>
    </row>
    <row r="234" spans="1:9" x14ac:dyDescent="0.25">
      <c r="A234" t="s">
        <v>7365</v>
      </c>
      <c r="C234" s="3" t="str">
        <f>HYPERLINK("http://amigo.geneontology.org/amigo/term/GO:0015880","GO:0015880")</f>
        <v>GO:0015880</v>
      </c>
      <c r="D234" t="s">
        <v>7366</v>
      </c>
      <c r="E234">
        <v>1</v>
      </c>
      <c r="F234">
        <v>1</v>
      </c>
      <c r="G234">
        <v>1.4660283605097701E-2</v>
      </c>
      <c r="H234">
        <v>0.29320567210195397</v>
      </c>
      <c r="I234" t="s">
        <v>7362</v>
      </c>
    </row>
    <row r="235" spans="1:9" x14ac:dyDescent="0.25">
      <c r="A235" t="s">
        <v>7367</v>
      </c>
      <c r="C235" s="3" t="str">
        <f>HYPERLINK("http://amigo.geneontology.org/amigo/term/GO:0071106","GO:0071106")</f>
        <v>GO:0071106</v>
      </c>
      <c r="D235" t="s">
        <v>7368</v>
      </c>
      <c r="E235">
        <v>1</v>
      </c>
      <c r="F235">
        <v>1</v>
      </c>
      <c r="G235">
        <v>1.4660283605097701E-2</v>
      </c>
      <c r="H235">
        <v>0.29320567210195397</v>
      </c>
      <c r="I235" t="s">
        <v>7362</v>
      </c>
    </row>
    <row r="236" spans="1:9" x14ac:dyDescent="0.25">
      <c r="A236" t="s">
        <v>7369</v>
      </c>
      <c r="C236" s="3" t="str">
        <f>HYPERLINK("http://amigo.geneontology.org/amigo/term/GO:0035349","GO:0035349")</f>
        <v>GO:0035349</v>
      </c>
      <c r="D236" t="s">
        <v>7370</v>
      </c>
      <c r="E236">
        <v>1</v>
      </c>
      <c r="F236">
        <v>1</v>
      </c>
      <c r="G236">
        <v>1.4660283605097701E-2</v>
      </c>
      <c r="H236">
        <v>0.29320567210195397</v>
      </c>
      <c r="I236" t="s">
        <v>7362</v>
      </c>
    </row>
    <row r="237" spans="1:9" x14ac:dyDescent="0.25">
      <c r="A237" t="s">
        <v>7371</v>
      </c>
      <c r="C237" s="3" t="str">
        <f>HYPERLINK("http://amigo.geneontology.org/amigo/term/GO:0070001","GO:0070001")</f>
        <v>GO:0070001</v>
      </c>
      <c r="D237" t="s">
        <v>6232</v>
      </c>
      <c r="E237">
        <v>442</v>
      </c>
      <c r="F237">
        <v>13</v>
      </c>
      <c r="G237">
        <v>1.4694298813689201E-2</v>
      </c>
      <c r="H237">
        <v>0.27919167746009499</v>
      </c>
      <c r="I237" t="s">
        <v>7372</v>
      </c>
    </row>
    <row r="238" spans="1:9" x14ac:dyDescent="0.25">
      <c r="A238" t="s">
        <v>7351</v>
      </c>
      <c r="C238" s="3" t="str">
        <f>HYPERLINK("http://amigo.geneontology.org/amigo/term/GO:0004190","GO:0004190")</f>
        <v>GO:0004190</v>
      </c>
      <c r="D238" t="s">
        <v>6234</v>
      </c>
      <c r="E238">
        <v>442</v>
      </c>
      <c r="F238">
        <v>13</v>
      </c>
      <c r="G238">
        <v>1.4694298813689201E-2</v>
      </c>
      <c r="H238">
        <v>0.27919167746009499</v>
      </c>
      <c r="I238" t="s">
        <v>7372</v>
      </c>
    </row>
    <row r="239" spans="1:9" x14ac:dyDescent="0.25">
      <c r="A239" t="s">
        <v>7373</v>
      </c>
      <c r="C239" s="3" t="str">
        <f>HYPERLINK("http://amigo.geneontology.org/amigo/term/GO:0048583","GO:0048583")</f>
        <v>GO:0048583</v>
      </c>
      <c r="D239" t="s">
        <v>7374</v>
      </c>
      <c r="E239">
        <v>589</v>
      </c>
      <c r="F239">
        <v>16</v>
      </c>
      <c r="G239">
        <v>1.47116045367153E-2</v>
      </c>
      <c r="H239">
        <v>0.27952048619759201</v>
      </c>
      <c r="I239" t="s">
        <v>7375</v>
      </c>
    </row>
    <row r="240" spans="1:9" x14ac:dyDescent="0.25">
      <c r="A240" t="s">
        <v>7376</v>
      </c>
      <c r="C240" s="3" t="str">
        <f>HYPERLINK("http://amigo.geneontology.org/amigo/term/GO:0009690","GO:0009690")</f>
        <v>GO:0009690</v>
      </c>
      <c r="D240" t="s">
        <v>1568</v>
      </c>
      <c r="E240">
        <v>65</v>
      </c>
      <c r="F240">
        <v>4</v>
      </c>
      <c r="G240">
        <v>1.5354461270328501E-2</v>
      </c>
      <c r="H240">
        <v>0.291734764136241</v>
      </c>
      <c r="I240" t="s">
        <v>7220</v>
      </c>
    </row>
    <row r="241" spans="1:9" x14ac:dyDescent="0.25">
      <c r="A241" t="s">
        <v>7377</v>
      </c>
      <c r="C241" s="3" t="str">
        <f>HYPERLINK("http://amigo.geneontology.org/amigo/term/GO:0004252","GO:0004252")</f>
        <v>GO:0004252</v>
      </c>
      <c r="D241" t="s">
        <v>858</v>
      </c>
      <c r="E241">
        <v>446</v>
      </c>
      <c r="F241">
        <v>13</v>
      </c>
      <c r="G241">
        <v>1.5707543954054801E-2</v>
      </c>
      <c r="H241">
        <v>0.29844333512704102</v>
      </c>
      <c r="I241" t="s">
        <v>7378</v>
      </c>
    </row>
    <row r="242" spans="1:9" x14ac:dyDescent="0.25">
      <c r="A242" t="s">
        <v>7379</v>
      </c>
      <c r="C242" s="3" t="str">
        <f>HYPERLINK("http://amigo.geneontology.org/amigo/term/GO:0043169","GO:0043169")</f>
        <v>GO:0043169</v>
      </c>
      <c r="D242" t="s">
        <v>1535</v>
      </c>
      <c r="E242">
        <v>11833</v>
      </c>
      <c r="F242">
        <v>200</v>
      </c>
      <c r="G242">
        <v>1.6517245159356399E-2</v>
      </c>
      <c r="H242">
        <v>0.31382765802777202</v>
      </c>
      <c r="I242" t="s">
        <v>7380</v>
      </c>
    </row>
    <row r="243" spans="1:9" x14ac:dyDescent="0.25">
      <c r="A243" t="s">
        <v>7381</v>
      </c>
      <c r="C243" s="3" t="str">
        <f>HYPERLINK("http://amigo.geneontology.org/amigo/term/GO:0006807","GO:0006807")</f>
        <v>GO:0006807</v>
      </c>
      <c r="D243" t="s">
        <v>6871</v>
      </c>
      <c r="E243">
        <v>19736</v>
      </c>
      <c r="F243">
        <v>321</v>
      </c>
      <c r="G243">
        <v>1.69329339229599E-2</v>
      </c>
      <c r="H243">
        <v>0.32172574453623898</v>
      </c>
      <c r="I243" t="s">
        <v>7382</v>
      </c>
    </row>
    <row r="244" spans="1:9" x14ac:dyDescent="0.25">
      <c r="A244" t="s">
        <v>7383</v>
      </c>
      <c r="C244" s="3" t="str">
        <f>HYPERLINK("http://amigo.geneontology.org/amigo/term/GO:0051119","GO:0051119")</f>
        <v>GO:0051119</v>
      </c>
      <c r="D244" t="s">
        <v>7384</v>
      </c>
      <c r="E244">
        <v>14</v>
      </c>
      <c r="F244">
        <v>2</v>
      </c>
      <c r="G244">
        <v>1.73859626179922E-2</v>
      </c>
      <c r="H244">
        <v>0.330333289741852</v>
      </c>
      <c r="I244" t="s">
        <v>7139</v>
      </c>
    </row>
    <row r="245" spans="1:9" x14ac:dyDescent="0.25">
      <c r="A245" t="s">
        <v>7385</v>
      </c>
      <c r="C245" s="3" t="str">
        <f>HYPERLINK("http://amigo.geneontology.org/amigo/term/GO:0046872","GO:0046872")</f>
        <v>GO:0046872</v>
      </c>
      <c r="D245" t="s">
        <v>1484</v>
      </c>
      <c r="E245">
        <v>11725</v>
      </c>
      <c r="F245">
        <v>198</v>
      </c>
      <c r="G245">
        <v>1.7611809783284402E-2</v>
      </c>
      <c r="H245">
        <v>0.33462438588240401</v>
      </c>
      <c r="I245" t="s">
        <v>7386</v>
      </c>
    </row>
    <row r="246" spans="1:9" x14ac:dyDescent="0.25">
      <c r="A246" t="s">
        <v>7387</v>
      </c>
      <c r="C246" s="3" t="str">
        <f>HYPERLINK("http://amigo.geneontology.org/amigo/term/GO:0009751","GO:0009751")</f>
        <v>GO:0009751</v>
      </c>
      <c r="D246" t="s">
        <v>7388</v>
      </c>
      <c r="E246">
        <v>104</v>
      </c>
      <c r="F246">
        <v>5</v>
      </c>
      <c r="G246">
        <v>1.8791520522367201E-2</v>
      </c>
      <c r="H246">
        <v>0.35703888992497801</v>
      </c>
      <c r="I246" t="s">
        <v>7389</v>
      </c>
    </row>
    <row r="247" spans="1:9" x14ac:dyDescent="0.25">
      <c r="A247" t="s">
        <v>7390</v>
      </c>
      <c r="C247" s="3" t="str">
        <f>HYPERLINK("http://amigo.geneontology.org/amigo/term/GO:0008081","GO:0008081")</f>
        <v>GO:0008081</v>
      </c>
      <c r="D247" t="s">
        <v>338</v>
      </c>
      <c r="E247">
        <v>143</v>
      </c>
      <c r="F247">
        <v>6</v>
      </c>
      <c r="G247">
        <v>1.93091668052278E-2</v>
      </c>
      <c r="H247">
        <v>0.36687416929932798</v>
      </c>
      <c r="I247" t="s">
        <v>7391</v>
      </c>
    </row>
    <row r="248" spans="1:9" x14ac:dyDescent="0.25">
      <c r="A248" t="s">
        <v>7392</v>
      </c>
      <c r="C248" s="3" t="str">
        <f>HYPERLINK("http://amigo.geneontology.org/amigo/term/GO:0042744","GO:0042744")</f>
        <v>GO:0042744</v>
      </c>
      <c r="D248" t="s">
        <v>1152</v>
      </c>
      <c r="E248">
        <v>227</v>
      </c>
      <c r="F248">
        <v>8</v>
      </c>
      <c r="G248">
        <v>1.9626311159656001E-2</v>
      </c>
      <c r="H248">
        <v>0.37289991203346501</v>
      </c>
      <c r="I248" t="s">
        <v>7393</v>
      </c>
    </row>
    <row r="249" spans="1:9" x14ac:dyDescent="0.25">
      <c r="A249" t="s">
        <v>7394</v>
      </c>
      <c r="C249" s="3" t="str">
        <f>HYPERLINK("http://amigo.geneontology.org/amigo/term/GO:0015748","GO:0015748")</f>
        <v>GO:0015748</v>
      </c>
      <c r="D249" t="s">
        <v>7395</v>
      </c>
      <c r="E249">
        <v>70</v>
      </c>
      <c r="F249">
        <v>4</v>
      </c>
      <c r="G249">
        <v>1.96452172372031E-2</v>
      </c>
      <c r="H249">
        <v>0.353613910269656</v>
      </c>
      <c r="I249" t="s">
        <v>7396</v>
      </c>
    </row>
    <row r="250" spans="1:9" x14ac:dyDescent="0.25">
      <c r="A250" t="s">
        <v>7397</v>
      </c>
      <c r="C250" s="3" t="str">
        <f>HYPERLINK("http://amigo.geneontology.org/amigo/term/GO:0015925","GO:0015925")</f>
        <v>GO:0015925</v>
      </c>
      <c r="D250" t="s">
        <v>847</v>
      </c>
      <c r="E250">
        <v>40</v>
      </c>
      <c r="F250">
        <v>3</v>
      </c>
      <c r="G250">
        <v>2.0761634587286502E-2</v>
      </c>
      <c r="H250">
        <v>0.37370942257115802</v>
      </c>
      <c r="I250" t="s">
        <v>7191</v>
      </c>
    </row>
    <row r="251" spans="1:9" x14ac:dyDescent="0.25">
      <c r="A251" t="s">
        <v>7398</v>
      </c>
      <c r="C251" s="3" t="str">
        <f>HYPERLINK("http://amigo.geneontology.org/amigo/term/GO:0006536","GO:0006536")</f>
        <v>GO:0006536</v>
      </c>
      <c r="D251" t="s">
        <v>4436</v>
      </c>
      <c r="E251">
        <v>40</v>
      </c>
      <c r="F251">
        <v>3</v>
      </c>
      <c r="G251">
        <v>2.0761634587286502E-2</v>
      </c>
      <c r="H251">
        <v>0.37370942257115802</v>
      </c>
      <c r="I251" t="s">
        <v>7232</v>
      </c>
    </row>
    <row r="252" spans="1:9" x14ac:dyDescent="0.25">
      <c r="A252" t="s">
        <v>7399</v>
      </c>
      <c r="C252" s="3" t="str">
        <f>HYPERLINK("http://amigo.geneontology.org/amigo/term/GO:0006979","GO:0006979")</f>
        <v>GO:0006979</v>
      </c>
      <c r="D252" t="s">
        <v>985</v>
      </c>
      <c r="E252">
        <v>985</v>
      </c>
      <c r="F252">
        <v>23</v>
      </c>
      <c r="G252">
        <v>2.1184662250037799E-2</v>
      </c>
      <c r="H252">
        <v>0.38132392050068098</v>
      </c>
      <c r="I252" t="s">
        <v>7400</v>
      </c>
    </row>
    <row r="253" spans="1:9" x14ac:dyDescent="0.25">
      <c r="A253" t="s">
        <v>7401</v>
      </c>
      <c r="C253" s="3" t="str">
        <f>HYPERLINK("http://amigo.geneontology.org/amigo/term/GO:0006869","GO:0006869")</f>
        <v>GO:0006869</v>
      </c>
      <c r="D253" t="s">
        <v>6672</v>
      </c>
      <c r="E253">
        <v>275</v>
      </c>
      <c r="F253">
        <v>9</v>
      </c>
      <c r="G253">
        <v>2.1213882966906801E-2</v>
      </c>
      <c r="H253">
        <v>0.38184989340432202</v>
      </c>
      <c r="I253" t="s">
        <v>7402</v>
      </c>
    </row>
    <row r="254" spans="1:9" x14ac:dyDescent="0.25">
      <c r="A254" t="s">
        <v>7403</v>
      </c>
      <c r="C254" s="3" t="str">
        <f>HYPERLINK("http://amigo.geneontology.org/amigo/term/GO:0016880","GO:0016880")</f>
        <v>GO:0016880</v>
      </c>
      <c r="D254" t="s">
        <v>1160</v>
      </c>
      <c r="E254">
        <v>16</v>
      </c>
      <c r="F254">
        <v>2</v>
      </c>
      <c r="G254">
        <v>2.2488205834087699E-2</v>
      </c>
      <c r="H254">
        <v>0.40478770501357902</v>
      </c>
      <c r="I254" t="s">
        <v>7404</v>
      </c>
    </row>
    <row r="255" spans="1:9" x14ac:dyDescent="0.25">
      <c r="A255" t="s">
        <v>7405</v>
      </c>
      <c r="C255" s="3" t="str">
        <f>HYPERLINK("http://amigo.geneontology.org/amigo/term/GO:0016211","GO:0016211")</f>
        <v>GO:0016211</v>
      </c>
      <c r="D255" t="s">
        <v>1163</v>
      </c>
      <c r="E255">
        <v>16</v>
      </c>
      <c r="F255">
        <v>2</v>
      </c>
      <c r="G255">
        <v>2.2488205834087699E-2</v>
      </c>
      <c r="H255">
        <v>0.40478770501357902</v>
      </c>
      <c r="I255" t="s">
        <v>7404</v>
      </c>
    </row>
    <row r="256" spans="1:9" x14ac:dyDescent="0.25">
      <c r="A256" t="s">
        <v>7406</v>
      </c>
      <c r="C256" s="3" t="str">
        <f>HYPERLINK("http://amigo.geneontology.org/amigo/term/GO:0004356","GO:0004356")</f>
        <v>GO:0004356</v>
      </c>
      <c r="D256" t="s">
        <v>1165</v>
      </c>
      <c r="E256">
        <v>16</v>
      </c>
      <c r="F256">
        <v>2</v>
      </c>
      <c r="G256">
        <v>2.2488205834087699E-2</v>
      </c>
      <c r="H256">
        <v>0.40478770501357902</v>
      </c>
      <c r="I256" t="s">
        <v>7404</v>
      </c>
    </row>
    <row r="257" spans="1:9" x14ac:dyDescent="0.25">
      <c r="A257" t="s">
        <v>7407</v>
      </c>
      <c r="C257" s="3" t="str">
        <f>HYPERLINK("http://amigo.geneontology.org/amigo/term/GO:0006542","GO:0006542")</f>
        <v>GO:0006542</v>
      </c>
      <c r="D257" t="s">
        <v>1167</v>
      </c>
      <c r="E257">
        <v>16</v>
      </c>
      <c r="F257">
        <v>2</v>
      </c>
      <c r="G257">
        <v>2.2488205834087699E-2</v>
      </c>
      <c r="H257">
        <v>0.40478770501357902</v>
      </c>
      <c r="I257" t="s">
        <v>7404</v>
      </c>
    </row>
    <row r="258" spans="1:9" x14ac:dyDescent="0.25">
      <c r="A258" t="s">
        <v>7408</v>
      </c>
      <c r="C258" s="3" t="str">
        <f>HYPERLINK("http://amigo.geneontology.org/amigo/term/GO:0017001","GO:0017001")</f>
        <v>GO:0017001</v>
      </c>
      <c r="D258" t="s">
        <v>1226</v>
      </c>
      <c r="E258">
        <v>234</v>
      </c>
      <c r="F258">
        <v>8</v>
      </c>
      <c r="G258">
        <v>2.3022665647845698E-2</v>
      </c>
      <c r="H258">
        <v>0.414407981661223</v>
      </c>
      <c r="I258" t="s">
        <v>7393</v>
      </c>
    </row>
    <row r="259" spans="1:9" x14ac:dyDescent="0.25">
      <c r="A259" t="s">
        <v>7409</v>
      </c>
      <c r="C259" s="3" t="str">
        <f>HYPERLINK("http://amigo.geneontology.org/amigo/term/GO:0009966","GO:0009966")</f>
        <v>GO:0009966</v>
      </c>
      <c r="D259" t="s">
        <v>7410</v>
      </c>
      <c r="E259">
        <v>327</v>
      </c>
      <c r="F259">
        <v>10</v>
      </c>
      <c r="G259">
        <v>2.37487325571662E-2</v>
      </c>
      <c r="H259">
        <v>0.42747718602899298</v>
      </c>
      <c r="I259" t="s">
        <v>7411</v>
      </c>
    </row>
    <row r="260" spans="1:9" x14ac:dyDescent="0.25">
      <c r="A260" t="s">
        <v>7412</v>
      </c>
      <c r="C260" s="3" t="str">
        <f>HYPERLINK("http://amigo.geneontology.org/amigo/term/GO:0023051","GO:0023051")</f>
        <v>GO:0023051</v>
      </c>
      <c r="D260" t="s">
        <v>7413</v>
      </c>
      <c r="E260">
        <v>329</v>
      </c>
      <c r="F260">
        <v>10</v>
      </c>
      <c r="G260">
        <v>2.4630228001195201E-2</v>
      </c>
      <c r="H260">
        <v>0.44334410402151497</v>
      </c>
      <c r="I260" t="s">
        <v>7411</v>
      </c>
    </row>
    <row r="261" spans="1:9" x14ac:dyDescent="0.25">
      <c r="A261" t="s">
        <v>7414</v>
      </c>
      <c r="C261" s="3" t="str">
        <f>HYPERLINK("http://amigo.geneontology.org/amigo/term/GO:0010646","GO:0010646")</f>
        <v>GO:0010646</v>
      </c>
      <c r="D261" t="s">
        <v>7415</v>
      </c>
      <c r="E261">
        <v>330</v>
      </c>
      <c r="F261">
        <v>10</v>
      </c>
      <c r="G261">
        <v>2.5079688825344702E-2</v>
      </c>
      <c r="H261">
        <v>0.45143439885620501</v>
      </c>
      <c r="I261" t="s">
        <v>7411</v>
      </c>
    </row>
    <row r="262" spans="1:9" x14ac:dyDescent="0.25">
      <c r="A262" t="s">
        <v>7416</v>
      </c>
      <c r="C262" s="3" t="str">
        <f>HYPERLINK("http://amigo.geneontology.org/amigo/term/GO:0045730","GO:0045730")</f>
        <v>GO:0045730</v>
      </c>
      <c r="D262" t="s">
        <v>7417</v>
      </c>
      <c r="E262">
        <v>17</v>
      </c>
      <c r="F262">
        <v>2</v>
      </c>
      <c r="G262">
        <v>2.5242281900904801E-2</v>
      </c>
      <c r="H262">
        <v>0.42911879231538202</v>
      </c>
      <c r="I262" t="s">
        <v>7418</v>
      </c>
    </row>
    <row r="263" spans="1:9" x14ac:dyDescent="0.25">
      <c r="A263" t="s">
        <v>7419</v>
      </c>
      <c r="C263" s="3" t="str">
        <f>HYPERLINK("http://amigo.geneontology.org/amigo/term/GO:0002679","GO:0002679")</f>
        <v>GO:0002679</v>
      </c>
      <c r="D263" t="s">
        <v>7420</v>
      </c>
      <c r="E263">
        <v>17</v>
      </c>
      <c r="F263">
        <v>2</v>
      </c>
      <c r="G263">
        <v>2.5242281900904801E-2</v>
      </c>
      <c r="H263">
        <v>0.42911879231538202</v>
      </c>
      <c r="I263" t="s">
        <v>7418</v>
      </c>
    </row>
    <row r="264" spans="1:9" x14ac:dyDescent="0.25">
      <c r="A264" t="s">
        <v>7421</v>
      </c>
      <c r="C264" s="3" t="str">
        <f>HYPERLINK("http://amigo.geneontology.org/amigo/term/GO:0002213","GO:0002213")</f>
        <v>GO:0002213</v>
      </c>
      <c r="D264" t="s">
        <v>7422</v>
      </c>
      <c r="E264">
        <v>17</v>
      </c>
      <c r="F264">
        <v>2</v>
      </c>
      <c r="G264">
        <v>2.5242281900904801E-2</v>
      </c>
      <c r="H264">
        <v>0.42911879231538202</v>
      </c>
      <c r="I264" t="s">
        <v>7423</v>
      </c>
    </row>
    <row r="265" spans="1:9" x14ac:dyDescent="0.25">
      <c r="A265" t="s">
        <v>7424</v>
      </c>
      <c r="C265" s="3" t="str">
        <f>HYPERLINK("http://amigo.geneontology.org/amigo/term/GO:0015291","GO:0015291")</f>
        <v>GO:0015291</v>
      </c>
      <c r="D265" t="s">
        <v>439</v>
      </c>
      <c r="E265">
        <v>527</v>
      </c>
      <c r="F265">
        <v>14</v>
      </c>
      <c r="G265">
        <v>2.5347087076505799E-2</v>
      </c>
      <c r="H265">
        <v>0.43090048030059902</v>
      </c>
      <c r="I265" t="s">
        <v>7425</v>
      </c>
    </row>
    <row r="266" spans="1:9" x14ac:dyDescent="0.25">
      <c r="A266" t="s">
        <v>7426</v>
      </c>
      <c r="C266" s="3" t="str">
        <f>HYPERLINK("http://amigo.geneontology.org/amigo/term/GO:0009064","GO:0009064")</f>
        <v>GO:0009064</v>
      </c>
      <c r="D266" t="s">
        <v>7427</v>
      </c>
      <c r="E266">
        <v>153</v>
      </c>
      <c r="F266">
        <v>6</v>
      </c>
      <c r="G266">
        <v>2.58622038227099E-2</v>
      </c>
      <c r="H266">
        <v>0.439657464986068</v>
      </c>
      <c r="I266" t="s">
        <v>7428</v>
      </c>
    </row>
    <row r="267" spans="1:9" x14ac:dyDescent="0.25">
      <c r="A267" t="s">
        <v>7429</v>
      </c>
      <c r="C267" s="3" t="str">
        <f>HYPERLINK("http://amigo.geneontology.org/amigo/term/GO:0006811","GO:0006811")</f>
        <v>GO:0006811</v>
      </c>
      <c r="D267" t="s">
        <v>299</v>
      </c>
      <c r="E267">
        <v>1855</v>
      </c>
      <c r="F267">
        <v>38</v>
      </c>
      <c r="G267">
        <v>2.6343936909231799E-2</v>
      </c>
      <c r="H267">
        <v>0.44784692745694199</v>
      </c>
      <c r="I267" t="s">
        <v>7430</v>
      </c>
    </row>
    <row r="268" spans="1:9" x14ac:dyDescent="0.25">
      <c r="A268" t="s">
        <v>7431</v>
      </c>
      <c r="C268" s="3" t="str">
        <f>HYPERLINK("http://amigo.geneontology.org/amigo/term/GO:0009627","GO:0009627")</f>
        <v>GO:0009627</v>
      </c>
      <c r="D268" t="s">
        <v>7432</v>
      </c>
      <c r="E268">
        <v>114</v>
      </c>
      <c r="F268">
        <v>5</v>
      </c>
      <c r="G268">
        <v>2.6674137099156298E-2</v>
      </c>
      <c r="H268">
        <v>0.453460330685658</v>
      </c>
      <c r="I268" t="s">
        <v>7433</v>
      </c>
    </row>
    <row r="269" spans="1:9" x14ac:dyDescent="0.25">
      <c r="A269" t="s">
        <v>7434</v>
      </c>
      <c r="C269" s="3" t="str">
        <f>HYPERLINK("http://amigo.geneontology.org/amigo/term/GO:0072523","GO:0072523")</f>
        <v>GO:0072523</v>
      </c>
      <c r="D269" t="s">
        <v>7435</v>
      </c>
      <c r="E269">
        <v>18</v>
      </c>
      <c r="F269">
        <v>2</v>
      </c>
      <c r="G269">
        <v>2.8125655194343901E-2</v>
      </c>
      <c r="H269">
        <v>0.47813613830384699</v>
      </c>
      <c r="I269" t="s">
        <v>7246</v>
      </c>
    </row>
    <row r="270" spans="1:9" x14ac:dyDescent="0.25">
      <c r="A270" t="s">
        <v>7436</v>
      </c>
      <c r="C270" s="3" t="str">
        <f>HYPERLINK("http://amigo.geneontology.org/amigo/term/GO:0043090","GO:0043090")</f>
        <v>GO:0043090</v>
      </c>
      <c r="D270" t="s">
        <v>7437</v>
      </c>
      <c r="E270">
        <v>18</v>
      </c>
      <c r="F270">
        <v>2</v>
      </c>
      <c r="G270">
        <v>2.8125655194343901E-2</v>
      </c>
      <c r="H270">
        <v>0.47813613830384699</v>
      </c>
      <c r="I270" t="s">
        <v>7139</v>
      </c>
    </row>
    <row r="271" spans="1:9" x14ac:dyDescent="0.25">
      <c r="A271" t="s">
        <v>7438</v>
      </c>
      <c r="C271" s="3" t="str">
        <f>HYPERLINK("http://amigo.geneontology.org/amigo/term/GO:0015849","GO:0015849")</f>
        <v>GO:0015849</v>
      </c>
      <c r="D271" t="s">
        <v>5320</v>
      </c>
      <c r="E271">
        <v>244</v>
      </c>
      <c r="F271">
        <v>8</v>
      </c>
      <c r="G271">
        <v>2.8561921537053399E-2</v>
      </c>
      <c r="H271">
        <v>0.48555266612990799</v>
      </c>
      <c r="I271" t="s">
        <v>7439</v>
      </c>
    </row>
    <row r="272" spans="1:9" x14ac:dyDescent="0.25">
      <c r="A272" t="s">
        <v>7440</v>
      </c>
      <c r="C272" s="3" t="str">
        <f>HYPERLINK("http://amigo.geneontology.org/amigo/term/GO:0046942","GO:0046942")</f>
        <v>GO:0046942</v>
      </c>
      <c r="D272" t="s">
        <v>5322</v>
      </c>
      <c r="E272">
        <v>244</v>
      </c>
      <c r="F272">
        <v>8</v>
      </c>
      <c r="G272">
        <v>2.8561921537053399E-2</v>
      </c>
      <c r="H272">
        <v>0.48555266612990799</v>
      </c>
      <c r="I272" t="s">
        <v>7439</v>
      </c>
    </row>
    <row r="273" spans="1:9" x14ac:dyDescent="0.25">
      <c r="A273" t="s">
        <v>7441</v>
      </c>
      <c r="C273" s="3" t="str">
        <f>HYPERLINK("http://amigo.geneontology.org/amigo/term/GO:0008798","GO:0008798")</f>
        <v>GO:0008798</v>
      </c>
      <c r="D273" t="s">
        <v>7442</v>
      </c>
      <c r="E273">
        <v>2</v>
      </c>
      <c r="F273">
        <v>1</v>
      </c>
      <c r="G273">
        <v>2.9105830706057701E-2</v>
      </c>
      <c r="H273">
        <v>0.46569329129692399</v>
      </c>
      <c r="I273" t="s">
        <v>7354</v>
      </c>
    </row>
    <row r="274" spans="1:9" x14ac:dyDescent="0.25">
      <c r="A274" t="s">
        <v>7443</v>
      </c>
      <c r="C274" s="3" t="str">
        <f>HYPERLINK("http://amigo.geneontology.org/amigo/term/GO:1901976","GO:1901976")</f>
        <v>GO:1901976</v>
      </c>
      <c r="D274" t="s">
        <v>7444</v>
      </c>
      <c r="E274">
        <v>2</v>
      </c>
      <c r="F274">
        <v>1</v>
      </c>
      <c r="G274">
        <v>2.9105830706057701E-2</v>
      </c>
      <c r="H274">
        <v>0.49479912200298198</v>
      </c>
      <c r="I274" t="s">
        <v>7445</v>
      </c>
    </row>
    <row r="275" spans="1:9" x14ac:dyDescent="0.25">
      <c r="A275" t="s">
        <v>7446</v>
      </c>
      <c r="C275" s="3" t="str">
        <f>HYPERLINK("http://amigo.geneontology.org/amigo/term/GO:0090231","GO:0090231")</f>
        <v>GO:0090231</v>
      </c>
      <c r="D275" t="s">
        <v>7447</v>
      </c>
      <c r="E275">
        <v>2</v>
      </c>
      <c r="F275">
        <v>1</v>
      </c>
      <c r="G275">
        <v>2.9105830706057701E-2</v>
      </c>
      <c r="H275">
        <v>0.49479912200298198</v>
      </c>
      <c r="I275" t="s">
        <v>7445</v>
      </c>
    </row>
    <row r="276" spans="1:9" x14ac:dyDescent="0.25">
      <c r="A276" t="s">
        <v>7448</v>
      </c>
      <c r="C276" s="3" t="str">
        <f>HYPERLINK("http://amigo.geneontology.org/amigo/term/GO:1903504","GO:1903504")</f>
        <v>GO:1903504</v>
      </c>
      <c r="D276" t="s">
        <v>7449</v>
      </c>
      <c r="E276">
        <v>2</v>
      </c>
      <c r="F276">
        <v>1</v>
      </c>
      <c r="G276">
        <v>2.9105830706057701E-2</v>
      </c>
      <c r="H276">
        <v>0.49479912200298198</v>
      </c>
      <c r="I276" t="s">
        <v>7445</v>
      </c>
    </row>
    <row r="277" spans="1:9" x14ac:dyDescent="0.25">
      <c r="A277" t="s">
        <v>7450</v>
      </c>
      <c r="C277" s="3" t="str">
        <f>HYPERLINK("http://amigo.geneontology.org/amigo/term/GO:0090266","GO:0090266")</f>
        <v>GO:0090266</v>
      </c>
      <c r="D277" t="s">
        <v>7451</v>
      </c>
      <c r="E277">
        <v>2</v>
      </c>
      <c r="F277">
        <v>1</v>
      </c>
      <c r="G277">
        <v>2.9105830706057701E-2</v>
      </c>
      <c r="H277">
        <v>0.49479912200298198</v>
      </c>
      <c r="I277" t="s">
        <v>7445</v>
      </c>
    </row>
    <row r="278" spans="1:9" x14ac:dyDescent="0.25">
      <c r="A278" t="s">
        <v>7452</v>
      </c>
      <c r="C278" s="3" t="str">
        <f>HYPERLINK("http://amigo.geneontology.org/amigo/term/GO:0004857","GO:0004857")</f>
        <v>GO:0004857</v>
      </c>
      <c r="D278" t="s">
        <v>347</v>
      </c>
      <c r="E278">
        <v>860</v>
      </c>
      <c r="F278">
        <v>20</v>
      </c>
      <c r="G278">
        <v>3.1111891683714001E-2</v>
      </c>
      <c r="H278">
        <v>0.49779026693942502</v>
      </c>
      <c r="I278" t="s">
        <v>7453</v>
      </c>
    </row>
    <row r="279" spans="1:9" x14ac:dyDescent="0.25">
      <c r="A279" t="s">
        <v>7454</v>
      </c>
      <c r="C279" s="3" t="str">
        <f>HYPERLINK("http://amigo.geneontology.org/amigo/term/GO:0009814","GO:0009814")</f>
        <v>GO:0009814</v>
      </c>
      <c r="D279" t="s">
        <v>7455</v>
      </c>
      <c r="E279">
        <v>161</v>
      </c>
      <c r="F279">
        <v>6</v>
      </c>
      <c r="G279">
        <v>3.2059290652536099E-2</v>
      </c>
      <c r="H279">
        <v>0.51294865044057802</v>
      </c>
      <c r="I279" t="s">
        <v>7456</v>
      </c>
    </row>
    <row r="280" spans="1:9" x14ac:dyDescent="0.25">
      <c r="A280" t="s">
        <v>7457</v>
      </c>
      <c r="C280" s="3" t="str">
        <f>HYPERLINK("http://amigo.geneontology.org/amigo/term/GO:0008762","GO:0008762")</f>
        <v>GO:0008762</v>
      </c>
      <c r="D280" t="s">
        <v>5623</v>
      </c>
      <c r="E280">
        <v>48</v>
      </c>
      <c r="F280">
        <v>3</v>
      </c>
      <c r="G280">
        <v>3.3368188329770898E-2</v>
      </c>
      <c r="H280">
        <v>0.53389101327633404</v>
      </c>
      <c r="I280" t="s">
        <v>7458</v>
      </c>
    </row>
    <row r="281" spans="1:9" x14ac:dyDescent="0.25">
      <c r="A281" t="s">
        <v>7459</v>
      </c>
      <c r="C281" s="3" t="str">
        <f>HYPERLINK("http://amigo.geneontology.org/amigo/term/GO:0034204","GO:0034204")</f>
        <v>GO:0034204</v>
      </c>
      <c r="D281" t="s">
        <v>7460</v>
      </c>
      <c r="E281">
        <v>20</v>
      </c>
      <c r="F281">
        <v>2</v>
      </c>
      <c r="G281">
        <v>3.4262890356661101E-2</v>
      </c>
      <c r="H281">
        <v>0.54820624570657805</v>
      </c>
      <c r="I281" t="s">
        <v>7461</v>
      </c>
    </row>
    <row r="282" spans="1:9" x14ac:dyDescent="0.25">
      <c r="A282" t="s">
        <v>7462</v>
      </c>
      <c r="C282" s="3" t="str">
        <f>HYPERLINK("http://amigo.geneontology.org/amigo/term/GO:0045332","GO:0045332")</f>
        <v>GO:0045332</v>
      </c>
      <c r="D282" t="s">
        <v>7463</v>
      </c>
      <c r="E282">
        <v>20</v>
      </c>
      <c r="F282">
        <v>2</v>
      </c>
      <c r="G282">
        <v>3.4262890356661101E-2</v>
      </c>
      <c r="H282">
        <v>0.54820624570657805</v>
      </c>
      <c r="I282" t="s">
        <v>7461</v>
      </c>
    </row>
    <row r="283" spans="1:9" x14ac:dyDescent="0.25">
      <c r="A283" t="s">
        <v>7464</v>
      </c>
      <c r="C283" s="3" t="str">
        <f>HYPERLINK("http://amigo.geneontology.org/amigo/term/GO:0005507","GO:0005507")</f>
        <v>GO:0005507</v>
      </c>
      <c r="D283" t="s">
        <v>767</v>
      </c>
      <c r="E283">
        <v>451</v>
      </c>
      <c r="F283">
        <v>12</v>
      </c>
      <c r="G283">
        <v>3.6112783087167498E-2</v>
      </c>
      <c r="H283">
        <v>0.57780452939467997</v>
      </c>
      <c r="I283" t="s">
        <v>7465</v>
      </c>
    </row>
    <row r="284" spans="1:9" x14ac:dyDescent="0.25">
      <c r="A284" t="s">
        <v>7466</v>
      </c>
      <c r="C284" s="3" t="str">
        <f>HYPERLINK("http://amigo.geneontology.org/amigo/term/GO:0043170","GO:0043170")</f>
        <v>GO:0043170</v>
      </c>
      <c r="D284" t="s">
        <v>6870</v>
      </c>
      <c r="E284">
        <v>17685</v>
      </c>
      <c r="F284">
        <v>285</v>
      </c>
      <c r="G284">
        <v>3.7109980045722198E-2</v>
      </c>
      <c r="H284">
        <v>0.59375968073155505</v>
      </c>
      <c r="I284" t="s">
        <v>7467</v>
      </c>
    </row>
    <row r="285" spans="1:9" x14ac:dyDescent="0.25">
      <c r="A285" t="s">
        <v>7468</v>
      </c>
      <c r="C285" s="3" t="str">
        <f>HYPERLINK("http://amigo.geneontology.org/amigo/term/GO:0097035","GO:0097035")</f>
        <v>GO:0097035</v>
      </c>
      <c r="D285" t="s">
        <v>7469</v>
      </c>
      <c r="E285">
        <v>21</v>
      </c>
      <c r="F285">
        <v>2</v>
      </c>
      <c r="G285">
        <v>3.7508299455043401E-2</v>
      </c>
      <c r="H285">
        <v>0.60013279128069497</v>
      </c>
      <c r="I285" t="s">
        <v>7461</v>
      </c>
    </row>
    <row r="286" spans="1:9" x14ac:dyDescent="0.25">
      <c r="A286" t="s">
        <v>7470</v>
      </c>
      <c r="C286" s="3" t="str">
        <f>HYPERLINK("http://amigo.geneontology.org/amigo/term/GO:0004805","GO:0004805")</f>
        <v>GO:0004805</v>
      </c>
      <c r="D286" t="s">
        <v>967</v>
      </c>
      <c r="E286">
        <v>21</v>
      </c>
      <c r="F286">
        <v>2</v>
      </c>
      <c r="G286">
        <v>3.7508299455043401E-2</v>
      </c>
      <c r="H286">
        <v>0.60013279128069497</v>
      </c>
      <c r="I286" t="s">
        <v>7471</v>
      </c>
    </row>
    <row r="287" spans="1:9" x14ac:dyDescent="0.25">
      <c r="A287" t="s">
        <v>7472</v>
      </c>
      <c r="C287" s="3" t="str">
        <f>HYPERLINK("http://amigo.geneontology.org/amigo/term/GO:0009958","GO:0009958")</f>
        <v>GO:0009958</v>
      </c>
      <c r="D287" t="s">
        <v>7473</v>
      </c>
      <c r="E287">
        <v>21</v>
      </c>
      <c r="F287">
        <v>2</v>
      </c>
      <c r="G287">
        <v>3.7508299455043401E-2</v>
      </c>
      <c r="H287">
        <v>0.60013279128069497</v>
      </c>
      <c r="I287" t="s">
        <v>7148</v>
      </c>
    </row>
    <row r="288" spans="1:9" x14ac:dyDescent="0.25">
      <c r="A288" t="s">
        <v>7474</v>
      </c>
      <c r="C288" s="3" t="str">
        <f>HYPERLINK("http://amigo.geneontology.org/amigo/term/GO:0031348","GO:0031348")</f>
        <v>GO:0031348</v>
      </c>
      <c r="D288" t="s">
        <v>7475</v>
      </c>
      <c r="E288">
        <v>86</v>
      </c>
      <c r="F288">
        <v>4</v>
      </c>
      <c r="G288">
        <v>3.7976016538909502E-2</v>
      </c>
      <c r="H288">
        <v>0.60761626462255203</v>
      </c>
      <c r="I288" t="s">
        <v>7476</v>
      </c>
    </row>
    <row r="289" spans="1:9" x14ac:dyDescent="0.25">
      <c r="A289" t="s">
        <v>7477</v>
      </c>
      <c r="C289" s="3" t="str">
        <f>HYPERLINK("http://amigo.geneontology.org/amigo/term/GO:0042743","GO:0042743")</f>
        <v>GO:0042743</v>
      </c>
      <c r="D289" t="s">
        <v>1237</v>
      </c>
      <c r="E289">
        <v>259</v>
      </c>
      <c r="F289">
        <v>8</v>
      </c>
      <c r="G289">
        <v>3.8493542818552301E-2</v>
      </c>
      <c r="H289">
        <v>0.61589668509683804</v>
      </c>
      <c r="I289" t="s">
        <v>7393</v>
      </c>
    </row>
    <row r="290" spans="1:9" x14ac:dyDescent="0.25">
      <c r="A290" t="s">
        <v>7478</v>
      </c>
      <c r="C290" s="3" t="str">
        <f>HYPERLINK("http://amigo.geneontology.org/amigo/term/GO:0009914","GO:0009914")</f>
        <v>GO:0009914</v>
      </c>
      <c r="D290" t="s">
        <v>7479</v>
      </c>
      <c r="E290">
        <v>51</v>
      </c>
      <c r="F290">
        <v>3</v>
      </c>
      <c r="G290">
        <v>3.8914991887692901E-2</v>
      </c>
      <c r="H290">
        <v>0.62263987020308698</v>
      </c>
      <c r="I290" t="s">
        <v>7108</v>
      </c>
    </row>
    <row r="291" spans="1:9" x14ac:dyDescent="0.25">
      <c r="A291" t="s">
        <v>7480</v>
      </c>
      <c r="C291" s="3" t="str">
        <f>HYPERLINK("http://amigo.geneontology.org/amigo/term/GO:0060918","GO:0060918")</f>
        <v>GO:0060918</v>
      </c>
      <c r="D291" t="s">
        <v>7481</v>
      </c>
      <c r="E291">
        <v>51</v>
      </c>
      <c r="F291">
        <v>3</v>
      </c>
      <c r="G291">
        <v>3.8914991887692901E-2</v>
      </c>
      <c r="H291">
        <v>0.62263987020308698</v>
      </c>
      <c r="I291" t="s">
        <v>7108</v>
      </c>
    </row>
    <row r="292" spans="1:9" x14ac:dyDescent="0.25">
      <c r="A292" t="s">
        <v>7482</v>
      </c>
      <c r="C292" s="3" t="str">
        <f>HYPERLINK("http://amigo.geneontology.org/amigo/term/GO:0000272","GO:0000272")</f>
        <v>GO:0000272</v>
      </c>
      <c r="D292" t="s">
        <v>290</v>
      </c>
      <c r="E292">
        <v>127</v>
      </c>
      <c r="F292">
        <v>5</v>
      </c>
      <c r="G292">
        <v>3.9686846232972202E-2</v>
      </c>
      <c r="H292">
        <v>0.63498953972755601</v>
      </c>
      <c r="I292" t="s">
        <v>7483</v>
      </c>
    </row>
    <row r="293" spans="1:9" x14ac:dyDescent="0.25">
      <c r="A293" t="s">
        <v>7484</v>
      </c>
      <c r="C293" s="3" t="str">
        <f>HYPERLINK("http://amigo.geneontology.org/amigo/term/GO:0098656","GO:0098656")</f>
        <v>GO:0098656</v>
      </c>
      <c r="D293" t="s">
        <v>5256</v>
      </c>
      <c r="E293">
        <v>170</v>
      </c>
      <c r="F293">
        <v>6</v>
      </c>
      <c r="G293">
        <v>4.0099786818954597E-2</v>
      </c>
      <c r="H293">
        <v>0.641596589103274</v>
      </c>
      <c r="I293" t="s">
        <v>7485</v>
      </c>
    </row>
    <row r="294" spans="1:9" x14ac:dyDescent="0.25">
      <c r="A294" t="s">
        <v>7486</v>
      </c>
      <c r="C294" s="3" t="str">
        <f>HYPERLINK("http://amigo.geneontology.org/amigo/term/GO:0043476","GO:0043476")</f>
        <v>GO:0043476</v>
      </c>
      <c r="D294" t="s">
        <v>7487</v>
      </c>
      <c r="E294">
        <v>22</v>
      </c>
      <c r="F294">
        <v>2</v>
      </c>
      <c r="G294">
        <v>4.0866096289911898E-2</v>
      </c>
      <c r="H294">
        <v>0.61299144434867903</v>
      </c>
      <c r="I294" t="s">
        <v>7148</v>
      </c>
    </row>
    <row r="295" spans="1:9" x14ac:dyDescent="0.25">
      <c r="A295" t="s">
        <v>7488</v>
      </c>
      <c r="C295" s="3" t="str">
        <f>HYPERLINK("http://amigo.geneontology.org/amigo/term/GO:0043478","GO:0043478")</f>
        <v>GO:0043478</v>
      </c>
      <c r="D295" t="s">
        <v>7489</v>
      </c>
      <c r="E295">
        <v>22</v>
      </c>
      <c r="F295">
        <v>2</v>
      </c>
      <c r="G295">
        <v>4.0866096289911898E-2</v>
      </c>
      <c r="H295">
        <v>0.61299144434867903</v>
      </c>
      <c r="I295" t="s">
        <v>7148</v>
      </c>
    </row>
    <row r="296" spans="1:9" x14ac:dyDescent="0.25">
      <c r="A296" t="s">
        <v>7490</v>
      </c>
      <c r="C296" s="3" t="str">
        <f>HYPERLINK("http://amigo.geneontology.org/amigo/term/GO:0043480","GO:0043480")</f>
        <v>GO:0043480</v>
      </c>
      <c r="D296" t="s">
        <v>7491</v>
      </c>
      <c r="E296">
        <v>22</v>
      </c>
      <c r="F296">
        <v>2</v>
      </c>
      <c r="G296">
        <v>4.0866096289911898E-2</v>
      </c>
      <c r="H296">
        <v>0.61299144434867903</v>
      </c>
      <c r="I296" t="s">
        <v>7148</v>
      </c>
    </row>
    <row r="297" spans="1:9" x14ac:dyDescent="0.25">
      <c r="A297" t="s">
        <v>7492</v>
      </c>
      <c r="C297" s="3" t="str">
        <f>HYPERLINK("http://amigo.geneontology.org/amigo/term/GO:0043479","GO:0043479")</f>
        <v>GO:0043479</v>
      </c>
      <c r="D297" t="s">
        <v>7493</v>
      </c>
      <c r="E297">
        <v>22</v>
      </c>
      <c r="F297">
        <v>2</v>
      </c>
      <c r="G297">
        <v>4.0866096289911898E-2</v>
      </c>
      <c r="H297">
        <v>0.61299144434867903</v>
      </c>
      <c r="I297" t="s">
        <v>7148</v>
      </c>
    </row>
    <row r="298" spans="1:9" x14ac:dyDescent="0.25">
      <c r="A298" t="s">
        <v>7494</v>
      </c>
      <c r="C298" s="3" t="str">
        <f>HYPERLINK("http://amigo.geneontology.org/amigo/term/GO:0043481","GO:0043481")</f>
        <v>GO:0043481</v>
      </c>
      <c r="D298" t="s">
        <v>7495</v>
      </c>
      <c r="E298">
        <v>22</v>
      </c>
      <c r="F298">
        <v>2</v>
      </c>
      <c r="G298">
        <v>4.0866096289911898E-2</v>
      </c>
      <c r="H298">
        <v>0.61299144434867903</v>
      </c>
      <c r="I298" t="s">
        <v>7148</v>
      </c>
    </row>
    <row r="299" spans="1:9" x14ac:dyDescent="0.25">
      <c r="A299" t="s">
        <v>7496</v>
      </c>
      <c r="C299" s="3" t="str">
        <f>HYPERLINK("http://amigo.geneontology.org/amigo/term/GO:0010605","GO:0010605")</f>
        <v>GO:0010605</v>
      </c>
      <c r="D299" t="s">
        <v>7497</v>
      </c>
      <c r="E299">
        <v>779</v>
      </c>
      <c r="F299">
        <v>18</v>
      </c>
      <c r="G299">
        <v>4.1325857395618698E-2</v>
      </c>
      <c r="H299">
        <v>0.61988786093428105</v>
      </c>
      <c r="I299" t="s">
        <v>7164</v>
      </c>
    </row>
    <row r="300" spans="1:9" x14ac:dyDescent="0.25">
      <c r="A300" t="s">
        <v>7498</v>
      </c>
      <c r="C300" s="3" t="str">
        <f>HYPERLINK("http://amigo.geneontology.org/amigo/term/GO:0008037","GO:0008037")</f>
        <v>GO:0008037</v>
      </c>
      <c r="D300" t="s">
        <v>7499</v>
      </c>
      <c r="E300">
        <v>461</v>
      </c>
      <c r="F300">
        <v>12</v>
      </c>
      <c r="G300">
        <v>4.1469378782446199E-2</v>
      </c>
      <c r="H300">
        <v>0.62204068173669402</v>
      </c>
      <c r="I300" t="s">
        <v>7500</v>
      </c>
    </row>
    <row r="301" spans="1:9" x14ac:dyDescent="0.25">
      <c r="A301" t="s">
        <v>7501</v>
      </c>
      <c r="C301" s="3" t="str">
        <f>HYPERLINK("http://amigo.geneontology.org/amigo/term/GO:0048544","GO:0048544")</f>
        <v>GO:0048544</v>
      </c>
      <c r="D301" t="s">
        <v>7502</v>
      </c>
      <c r="E301">
        <v>461</v>
      </c>
      <c r="F301">
        <v>12</v>
      </c>
      <c r="G301">
        <v>4.1469378782446199E-2</v>
      </c>
      <c r="H301">
        <v>0.62204068173669402</v>
      </c>
      <c r="I301" t="s">
        <v>7500</v>
      </c>
    </row>
    <row r="302" spans="1:9" x14ac:dyDescent="0.25">
      <c r="A302" t="s">
        <v>7503</v>
      </c>
      <c r="C302" s="3" t="str">
        <f>HYPERLINK("http://amigo.geneontology.org/amigo/term/GO:0072593","GO:0072593")</f>
        <v>GO:0072593</v>
      </c>
      <c r="D302" t="s">
        <v>4212</v>
      </c>
      <c r="E302">
        <v>311</v>
      </c>
      <c r="F302">
        <v>9</v>
      </c>
      <c r="G302">
        <v>4.1511083442743402E-2</v>
      </c>
      <c r="H302">
        <v>0.62266625164115097</v>
      </c>
      <c r="I302" t="s">
        <v>7504</v>
      </c>
    </row>
    <row r="303" spans="1:9" x14ac:dyDescent="0.25">
      <c r="A303" t="s">
        <v>7505</v>
      </c>
      <c r="C303" s="3" t="str">
        <f>HYPERLINK("http://amigo.geneontology.org/amigo/term/GO:0009875","GO:0009875")</f>
        <v>GO:0009875</v>
      </c>
      <c r="D303" t="s">
        <v>7506</v>
      </c>
      <c r="E303">
        <v>463</v>
      </c>
      <c r="F303">
        <v>12</v>
      </c>
      <c r="G303">
        <v>4.2603751505323098E-2</v>
      </c>
      <c r="H303">
        <v>0.63905627257984599</v>
      </c>
      <c r="I303" t="s">
        <v>7500</v>
      </c>
    </row>
    <row r="304" spans="1:9" x14ac:dyDescent="0.25">
      <c r="A304" t="s">
        <v>7507</v>
      </c>
      <c r="C304" s="3" t="str">
        <f>HYPERLINK("http://amigo.geneontology.org/amigo/term/GO:0006986","GO:0006986")</f>
        <v>GO:0006986</v>
      </c>
      <c r="D304" t="s">
        <v>1325</v>
      </c>
      <c r="E304">
        <v>53</v>
      </c>
      <c r="F304">
        <v>3</v>
      </c>
      <c r="G304">
        <v>4.2856135779190403E-2</v>
      </c>
      <c r="H304">
        <v>0.642842036687857</v>
      </c>
      <c r="I304" t="s">
        <v>7508</v>
      </c>
    </row>
    <row r="305" spans="1:9" x14ac:dyDescent="0.25">
      <c r="A305" t="s">
        <v>7509</v>
      </c>
      <c r="C305" s="3" t="str">
        <f>HYPERLINK("http://amigo.geneontology.org/amigo/term/GO:0035967","GO:0035967")</f>
        <v>GO:0035967</v>
      </c>
      <c r="D305" t="s">
        <v>1328</v>
      </c>
      <c r="E305">
        <v>53</v>
      </c>
      <c r="F305">
        <v>3</v>
      </c>
      <c r="G305">
        <v>4.2856135779190403E-2</v>
      </c>
      <c r="H305">
        <v>0.642842036687857</v>
      </c>
      <c r="I305" t="s">
        <v>7508</v>
      </c>
    </row>
    <row r="306" spans="1:9" x14ac:dyDescent="0.25">
      <c r="A306" t="s">
        <v>7510</v>
      </c>
      <c r="C306" s="3" t="str">
        <f>HYPERLINK("http://amigo.geneontology.org/amigo/term/GO:0034620","GO:0034620")</f>
        <v>GO:0034620</v>
      </c>
      <c r="D306" t="s">
        <v>1330</v>
      </c>
      <c r="E306">
        <v>53</v>
      </c>
      <c r="F306">
        <v>3</v>
      </c>
      <c r="G306">
        <v>4.2856135779190403E-2</v>
      </c>
      <c r="H306">
        <v>0.642842036687857</v>
      </c>
      <c r="I306" t="s">
        <v>7508</v>
      </c>
    </row>
    <row r="307" spans="1:9" x14ac:dyDescent="0.25">
      <c r="A307" t="s">
        <v>7511</v>
      </c>
      <c r="C307" s="3" t="str">
        <f>HYPERLINK("http://amigo.geneontology.org/amigo/term/GO:0030968","GO:0030968")</f>
        <v>GO:0030968</v>
      </c>
      <c r="D307" t="s">
        <v>1332</v>
      </c>
      <c r="E307">
        <v>53</v>
      </c>
      <c r="F307">
        <v>3</v>
      </c>
      <c r="G307">
        <v>4.2856135779190403E-2</v>
      </c>
      <c r="H307">
        <v>0.642842036687857</v>
      </c>
      <c r="I307" t="s">
        <v>7508</v>
      </c>
    </row>
    <row r="308" spans="1:9" x14ac:dyDescent="0.25">
      <c r="A308" t="s">
        <v>7512</v>
      </c>
      <c r="C308" s="3" t="str">
        <f>HYPERLINK("http://amigo.geneontology.org/amigo/term/GO:0006575","GO:0006575")</f>
        <v>GO:0006575</v>
      </c>
      <c r="D308" t="s">
        <v>7513</v>
      </c>
      <c r="E308">
        <v>130</v>
      </c>
      <c r="F308">
        <v>5</v>
      </c>
      <c r="G308">
        <v>4.3151405168097297E-2</v>
      </c>
      <c r="H308">
        <v>0.64727107752145896</v>
      </c>
      <c r="I308" t="s">
        <v>7514</v>
      </c>
    </row>
    <row r="309" spans="1:9" x14ac:dyDescent="0.25">
      <c r="A309" t="s">
        <v>7515</v>
      </c>
      <c r="C309" s="3" t="str">
        <f>HYPERLINK("http://amigo.geneontology.org/amigo/term/GO:0052317","GO:0052317")</f>
        <v>GO:0052317</v>
      </c>
      <c r="D309" t="s">
        <v>7516</v>
      </c>
      <c r="E309">
        <v>3</v>
      </c>
      <c r="F309">
        <v>1</v>
      </c>
      <c r="G309">
        <v>4.3339783908949998E-2</v>
      </c>
      <c r="H309">
        <v>0.60675697472529999</v>
      </c>
      <c r="I309" t="s">
        <v>6888</v>
      </c>
    </row>
    <row r="310" spans="1:9" x14ac:dyDescent="0.25">
      <c r="A310" t="s">
        <v>7517</v>
      </c>
      <c r="C310" s="3" t="str">
        <f>HYPERLINK("http://amigo.geneontology.org/amigo/term/GO:0010120","GO:0010120")</f>
        <v>GO:0010120</v>
      </c>
      <c r="D310" t="s">
        <v>7518</v>
      </c>
      <c r="E310">
        <v>3</v>
      </c>
      <c r="F310">
        <v>1</v>
      </c>
      <c r="G310">
        <v>4.3339783908949998E-2</v>
      </c>
      <c r="H310">
        <v>0.60675697472529999</v>
      </c>
      <c r="I310" t="s">
        <v>6888</v>
      </c>
    </row>
    <row r="311" spans="1:9" x14ac:dyDescent="0.25">
      <c r="A311" t="s">
        <v>7519</v>
      </c>
      <c r="C311" s="3" t="str">
        <f>HYPERLINK("http://amigo.geneontology.org/amigo/term/GO:0033853","GO:0033853")</f>
        <v>GO:0033853</v>
      </c>
      <c r="D311" t="s">
        <v>7520</v>
      </c>
      <c r="E311">
        <v>3</v>
      </c>
      <c r="F311">
        <v>1</v>
      </c>
      <c r="G311">
        <v>4.3339783908949998E-2</v>
      </c>
      <c r="H311">
        <v>0.60675697472529999</v>
      </c>
      <c r="I311" t="s">
        <v>7521</v>
      </c>
    </row>
    <row r="312" spans="1:9" x14ac:dyDescent="0.25">
      <c r="A312" t="s">
        <v>7522</v>
      </c>
      <c r="C312" s="3" t="str">
        <f>HYPERLINK("http://amigo.geneontology.org/amigo/term/GO:0033854","GO:0033854")</f>
        <v>GO:0033854</v>
      </c>
      <c r="D312" t="s">
        <v>7523</v>
      </c>
      <c r="E312">
        <v>3</v>
      </c>
      <c r="F312">
        <v>1</v>
      </c>
      <c r="G312">
        <v>4.3339783908949998E-2</v>
      </c>
      <c r="H312">
        <v>0.60675697472529999</v>
      </c>
      <c r="I312" t="s">
        <v>7521</v>
      </c>
    </row>
    <row r="313" spans="1:9" x14ac:dyDescent="0.25">
      <c r="A313" t="s">
        <v>7524</v>
      </c>
      <c r="C313" s="3" t="str">
        <f>HYPERLINK("http://amigo.geneontology.org/amigo/term/GO:0016629","GO:0016629")</f>
        <v>GO:0016629</v>
      </c>
      <c r="D313" t="s">
        <v>7525</v>
      </c>
      <c r="E313">
        <v>3</v>
      </c>
      <c r="F313">
        <v>1</v>
      </c>
      <c r="G313">
        <v>4.3339783908949998E-2</v>
      </c>
      <c r="H313">
        <v>0.60675697472529999</v>
      </c>
      <c r="I313" t="s">
        <v>7268</v>
      </c>
    </row>
    <row r="314" spans="1:9" x14ac:dyDescent="0.25">
      <c r="A314" t="s">
        <v>7526</v>
      </c>
      <c r="C314" s="3" t="str">
        <f>HYPERLINK("http://amigo.geneontology.org/amigo/term/GO:0010107","GO:0010107")</f>
        <v>GO:0010107</v>
      </c>
      <c r="D314" t="s">
        <v>7527</v>
      </c>
      <c r="E314">
        <v>3</v>
      </c>
      <c r="F314">
        <v>1</v>
      </c>
      <c r="G314">
        <v>4.3339783908949998E-2</v>
      </c>
      <c r="H314">
        <v>0.60675697472529999</v>
      </c>
      <c r="I314" t="s">
        <v>7528</v>
      </c>
    </row>
    <row r="315" spans="1:9" x14ac:dyDescent="0.25">
      <c r="A315" t="s">
        <v>7529</v>
      </c>
      <c r="C315" s="3" t="str">
        <f>HYPERLINK("http://amigo.geneontology.org/amigo/term/GO:0106019","GO:0106019")</f>
        <v>GO:0106019</v>
      </c>
      <c r="D315" t="s">
        <v>52</v>
      </c>
      <c r="E315">
        <v>3</v>
      </c>
      <c r="F315">
        <v>1</v>
      </c>
      <c r="G315">
        <v>4.3339783908949998E-2</v>
      </c>
      <c r="H315">
        <v>0.60675697472529999</v>
      </c>
      <c r="I315" t="s">
        <v>7530</v>
      </c>
    </row>
    <row r="316" spans="1:9" x14ac:dyDescent="0.25">
      <c r="A316" t="s">
        <v>7531</v>
      </c>
      <c r="C316" s="3" t="str">
        <f>HYPERLINK("http://amigo.geneontology.org/amigo/term/GO:0004439","GO:0004439")</f>
        <v>GO:0004439</v>
      </c>
      <c r="D316" t="s">
        <v>55</v>
      </c>
      <c r="E316">
        <v>3</v>
      </c>
      <c r="F316">
        <v>1</v>
      </c>
      <c r="G316">
        <v>4.3339783908949998E-2</v>
      </c>
      <c r="H316">
        <v>0.60675697472529999</v>
      </c>
      <c r="I316" t="s">
        <v>7530</v>
      </c>
    </row>
    <row r="317" spans="1:9" x14ac:dyDescent="0.25">
      <c r="A317" t="s">
        <v>7532</v>
      </c>
      <c r="C317" s="3" t="str">
        <f>HYPERLINK("http://amigo.geneontology.org/amigo/term/GO:0034594","GO:0034594")</f>
        <v>GO:0034594</v>
      </c>
      <c r="D317" t="s">
        <v>60</v>
      </c>
      <c r="E317">
        <v>3</v>
      </c>
      <c r="F317">
        <v>1</v>
      </c>
      <c r="G317">
        <v>4.3339783908949998E-2</v>
      </c>
      <c r="H317">
        <v>0.60675697472529999</v>
      </c>
      <c r="I317" t="s">
        <v>7530</v>
      </c>
    </row>
    <row r="318" spans="1:9" x14ac:dyDescent="0.25">
      <c r="A318" t="s">
        <v>7533</v>
      </c>
      <c r="C318" s="3" t="str">
        <f>HYPERLINK("http://amigo.geneontology.org/amigo/term/GO:0034485","GO:0034485")</f>
        <v>GO:0034485</v>
      </c>
      <c r="D318" t="s">
        <v>62</v>
      </c>
      <c r="E318">
        <v>3</v>
      </c>
      <c r="F318">
        <v>1</v>
      </c>
      <c r="G318">
        <v>4.3339783908949998E-2</v>
      </c>
      <c r="H318">
        <v>0.60675697472529999</v>
      </c>
      <c r="I318" t="s">
        <v>7530</v>
      </c>
    </row>
    <row r="319" spans="1:9" x14ac:dyDescent="0.25">
      <c r="A319" t="s">
        <v>7534</v>
      </c>
      <c r="C319" s="3" t="str">
        <f>HYPERLINK("http://amigo.geneontology.org/amigo/term/GO:0046030","GO:0046030")</f>
        <v>GO:0046030</v>
      </c>
      <c r="D319" t="s">
        <v>57</v>
      </c>
      <c r="E319">
        <v>3</v>
      </c>
      <c r="F319">
        <v>1</v>
      </c>
      <c r="G319">
        <v>4.3339783908949998E-2</v>
      </c>
      <c r="H319">
        <v>0.60675697472529999</v>
      </c>
      <c r="I319" t="s">
        <v>7530</v>
      </c>
    </row>
    <row r="320" spans="1:9" x14ac:dyDescent="0.25">
      <c r="A320" t="s">
        <v>7535</v>
      </c>
      <c r="C320" s="3" t="str">
        <f>HYPERLINK("http://amigo.geneontology.org/amigo/term/GO:0004445","GO:0004445")</f>
        <v>GO:0004445</v>
      </c>
      <c r="D320" t="s">
        <v>59</v>
      </c>
      <c r="E320">
        <v>3</v>
      </c>
      <c r="F320">
        <v>1</v>
      </c>
      <c r="G320">
        <v>4.3339783908949998E-2</v>
      </c>
      <c r="H320">
        <v>0.60675697472529999</v>
      </c>
      <c r="I320" t="s">
        <v>7530</v>
      </c>
    </row>
    <row r="321" spans="1:9" x14ac:dyDescent="0.25">
      <c r="A321" t="s">
        <v>7536</v>
      </c>
      <c r="C321" s="3" t="str">
        <f>HYPERLINK("http://amigo.geneontology.org/amigo/term/GO:0052658","GO:0052658")</f>
        <v>GO:0052658</v>
      </c>
      <c r="D321" t="s">
        <v>64</v>
      </c>
      <c r="E321">
        <v>3</v>
      </c>
      <c r="F321">
        <v>1</v>
      </c>
      <c r="G321">
        <v>4.3339783908949998E-2</v>
      </c>
      <c r="H321">
        <v>0.60675697472529999</v>
      </c>
      <c r="I321" t="s">
        <v>7530</v>
      </c>
    </row>
    <row r="322" spans="1:9" x14ac:dyDescent="0.25">
      <c r="A322" t="s">
        <v>7537</v>
      </c>
      <c r="C322" s="3" t="str">
        <f>HYPERLINK("http://amigo.geneontology.org/amigo/term/GO:0052743","GO:0052743")</f>
        <v>GO:0052743</v>
      </c>
      <c r="D322" t="s">
        <v>66</v>
      </c>
      <c r="E322">
        <v>3</v>
      </c>
      <c r="F322">
        <v>1</v>
      </c>
      <c r="G322">
        <v>4.3339783908949998E-2</v>
      </c>
      <c r="H322">
        <v>0.60675697472529999</v>
      </c>
      <c r="I322" t="s">
        <v>7530</v>
      </c>
    </row>
    <row r="323" spans="1:9" x14ac:dyDescent="0.25">
      <c r="A323" t="s">
        <v>7538</v>
      </c>
      <c r="C323" s="3" t="str">
        <f>HYPERLINK("http://amigo.geneontology.org/amigo/term/GO:0052659","GO:0052659")</f>
        <v>GO:0052659</v>
      </c>
      <c r="D323" t="s">
        <v>68</v>
      </c>
      <c r="E323">
        <v>3</v>
      </c>
      <c r="F323">
        <v>1</v>
      </c>
      <c r="G323">
        <v>4.3339783908949998E-2</v>
      </c>
      <c r="H323">
        <v>0.60675697472529999</v>
      </c>
      <c r="I323" t="s">
        <v>7530</v>
      </c>
    </row>
    <row r="324" spans="1:9" x14ac:dyDescent="0.25">
      <c r="A324" t="s">
        <v>7539</v>
      </c>
      <c r="C324" s="3" t="str">
        <f>HYPERLINK("http://amigo.geneontology.org/amigo/term/GO:0046864","GO:0046864")</f>
        <v>GO:0046864</v>
      </c>
      <c r="D324" t="s">
        <v>7540</v>
      </c>
      <c r="E324">
        <v>3</v>
      </c>
      <c r="F324">
        <v>1</v>
      </c>
      <c r="G324">
        <v>4.3339783908949998E-2</v>
      </c>
      <c r="H324">
        <v>0.65009675863424998</v>
      </c>
      <c r="I324" t="s">
        <v>7541</v>
      </c>
    </row>
    <row r="325" spans="1:9" x14ac:dyDescent="0.25">
      <c r="A325" t="s">
        <v>7542</v>
      </c>
      <c r="C325" s="3" t="str">
        <f>HYPERLINK("http://amigo.geneontology.org/amigo/term/GO:0046865","GO:0046865")</f>
        <v>GO:0046865</v>
      </c>
      <c r="D325" t="s">
        <v>7543</v>
      </c>
      <c r="E325">
        <v>3</v>
      </c>
      <c r="F325">
        <v>1</v>
      </c>
      <c r="G325">
        <v>4.3339783908949998E-2</v>
      </c>
      <c r="H325">
        <v>0.65009675863424998</v>
      </c>
      <c r="I325" t="s">
        <v>7541</v>
      </c>
    </row>
    <row r="326" spans="1:9" x14ac:dyDescent="0.25">
      <c r="A326" t="s">
        <v>7544</v>
      </c>
      <c r="C326" s="3" t="str">
        <f>HYPERLINK("http://amigo.geneontology.org/amigo/term/GO:0080168","GO:0080168")</f>
        <v>GO:0080168</v>
      </c>
      <c r="D326" t="s">
        <v>7545</v>
      </c>
      <c r="E326">
        <v>3</v>
      </c>
      <c r="F326">
        <v>1</v>
      </c>
      <c r="G326">
        <v>4.3339783908949998E-2</v>
      </c>
      <c r="H326">
        <v>0.65009675863424998</v>
      </c>
      <c r="I326" t="s">
        <v>7541</v>
      </c>
    </row>
    <row r="327" spans="1:9" x14ac:dyDescent="0.25">
      <c r="A327" t="s">
        <v>7546</v>
      </c>
      <c r="C327" s="3" t="str">
        <f>HYPERLINK("http://amigo.geneontology.org/amigo/term/GO:0008936","GO:0008936")</f>
        <v>GO:0008936</v>
      </c>
      <c r="D327" t="s">
        <v>7547</v>
      </c>
      <c r="E327">
        <v>3</v>
      </c>
      <c r="F327">
        <v>1</v>
      </c>
      <c r="G327">
        <v>4.3339783908949998E-2</v>
      </c>
      <c r="H327">
        <v>0.65009675863424998</v>
      </c>
      <c r="I327" t="s">
        <v>7548</v>
      </c>
    </row>
    <row r="328" spans="1:9" x14ac:dyDescent="0.25">
      <c r="A328" t="s">
        <v>7549</v>
      </c>
      <c r="C328" s="3" t="str">
        <f>HYPERLINK("http://amigo.geneontology.org/amigo/term/GO:0005402","GO:0005402")</f>
        <v>GO:0005402</v>
      </c>
      <c r="D328" t="s">
        <v>7550</v>
      </c>
      <c r="E328">
        <v>23</v>
      </c>
      <c r="F328">
        <v>2</v>
      </c>
      <c r="G328">
        <v>4.4332294428993897E-2</v>
      </c>
      <c r="H328">
        <v>0.62065212200591502</v>
      </c>
      <c r="I328" t="s">
        <v>7139</v>
      </c>
    </row>
    <row r="329" spans="1:9" x14ac:dyDescent="0.25">
      <c r="A329" t="s">
        <v>7551</v>
      </c>
      <c r="C329" s="3" t="str">
        <f>HYPERLINK("http://amigo.geneontology.org/amigo/term/GO:0005351","GO:0005351")</f>
        <v>GO:0005351</v>
      </c>
      <c r="D329" t="s">
        <v>7552</v>
      </c>
      <c r="E329">
        <v>23</v>
      </c>
      <c r="F329">
        <v>2</v>
      </c>
      <c r="G329">
        <v>4.4332294428993897E-2</v>
      </c>
      <c r="H329">
        <v>0.62065212200591502</v>
      </c>
      <c r="I329" t="s">
        <v>7139</v>
      </c>
    </row>
    <row r="330" spans="1:9" x14ac:dyDescent="0.25">
      <c r="A330" t="s">
        <v>7553</v>
      </c>
      <c r="C330" s="3" t="str">
        <f>HYPERLINK("http://amigo.geneontology.org/amigo/term/GO:0030151","GO:0030151")</f>
        <v>GO:0030151</v>
      </c>
      <c r="D330" t="s">
        <v>7554</v>
      </c>
      <c r="E330">
        <v>23</v>
      </c>
      <c r="F330">
        <v>2</v>
      </c>
      <c r="G330">
        <v>4.4332294428993897E-2</v>
      </c>
      <c r="H330">
        <v>0.62065212200591502</v>
      </c>
      <c r="I330" t="s">
        <v>7555</v>
      </c>
    </row>
    <row r="331" spans="1:9" x14ac:dyDescent="0.25">
      <c r="A331" t="s">
        <v>7556</v>
      </c>
      <c r="C331" s="3" t="str">
        <f>HYPERLINK("http://amigo.geneontology.org/amigo/term/GO:0000038","GO:0000038")</f>
        <v>GO:0000038</v>
      </c>
      <c r="D331" t="s">
        <v>7557</v>
      </c>
      <c r="E331">
        <v>23</v>
      </c>
      <c r="F331">
        <v>2</v>
      </c>
      <c r="G331">
        <v>4.4332294428993897E-2</v>
      </c>
      <c r="H331">
        <v>0.62065212200591502</v>
      </c>
      <c r="I331" t="s">
        <v>7558</v>
      </c>
    </row>
    <row r="332" spans="1:9" x14ac:dyDescent="0.25">
      <c r="A332" t="s">
        <v>7559</v>
      </c>
      <c r="C332" s="3" t="str">
        <f>HYPERLINK("http://amigo.geneontology.org/amigo/term/GO:0071407","GO:0071407")</f>
        <v>GO:0071407</v>
      </c>
      <c r="D332" t="s">
        <v>7560</v>
      </c>
      <c r="E332">
        <v>131</v>
      </c>
      <c r="F332">
        <v>5</v>
      </c>
      <c r="G332">
        <v>4.43453427081347E-2</v>
      </c>
      <c r="H332">
        <v>0.62083479791388696</v>
      </c>
      <c r="I332" t="s">
        <v>7561</v>
      </c>
    </row>
    <row r="333" spans="1:9" x14ac:dyDescent="0.25">
      <c r="A333" t="s">
        <v>7562</v>
      </c>
      <c r="C333" s="3" t="str">
        <f>HYPERLINK("http://amigo.geneontology.org/amigo/term/GO:0015893","GO:0015893")</f>
        <v>GO:0015893</v>
      </c>
      <c r="D333" t="s">
        <v>7563</v>
      </c>
      <c r="E333">
        <v>267</v>
      </c>
      <c r="F333">
        <v>8</v>
      </c>
      <c r="G333">
        <v>4.4632855256667298E-2</v>
      </c>
      <c r="H333">
        <v>0.624859973593342</v>
      </c>
      <c r="I333" t="s">
        <v>7564</v>
      </c>
    </row>
    <row r="334" spans="1:9" x14ac:dyDescent="0.25">
      <c r="A334" t="s">
        <v>7565</v>
      </c>
      <c r="C334" s="3" t="str">
        <f>HYPERLINK("http://amigo.geneontology.org/amigo/term/GO:0016887","GO:0016887")</f>
        <v>GO:0016887</v>
      </c>
      <c r="D334" t="s">
        <v>7566</v>
      </c>
      <c r="E334">
        <v>1067</v>
      </c>
      <c r="F334">
        <v>23</v>
      </c>
      <c r="G334">
        <v>4.5460664579849402E-2</v>
      </c>
      <c r="H334">
        <v>0.59098863953804304</v>
      </c>
      <c r="I334" t="s">
        <v>7567</v>
      </c>
    </row>
    <row r="335" spans="1:9" x14ac:dyDescent="0.25">
      <c r="A335" t="s">
        <v>7568</v>
      </c>
      <c r="C335" s="3" t="str">
        <f>HYPERLINK("http://amigo.geneontology.org/amigo/term/GO:0004611","GO:0004611")</f>
        <v>GO:0004611</v>
      </c>
      <c r="D335" t="s">
        <v>1505</v>
      </c>
      <c r="E335">
        <v>24</v>
      </c>
      <c r="F335">
        <v>2</v>
      </c>
      <c r="G335">
        <v>4.7902999980930401E-2</v>
      </c>
      <c r="H335">
        <v>0.62273899975209601</v>
      </c>
      <c r="I335" t="s">
        <v>7261</v>
      </c>
    </row>
    <row r="336" spans="1:9" x14ac:dyDescent="0.25">
      <c r="A336" t="s">
        <v>7569</v>
      </c>
      <c r="C336" s="3" t="str">
        <f>HYPERLINK("http://amigo.geneontology.org/amigo/term/GO:0008361","GO:0008361")</f>
        <v>GO:0008361</v>
      </c>
      <c r="D336" t="s">
        <v>7570</v>
      </c>
      <c r="E336">
        <v>24</v>
      </c>
      <c r="F336">
        <v>2</v>
      </c>
      <c r="G336">
        <v>4.7902999980930401E-2</v>
      </c>
      <c r="H336">
        <v>0.62273899975209601</v>
      </c>
      <c r="I336" t="s">
        <v>7148</v>
      </c>
    </row>
    <row r="337" spans="1:9" x14ac:dyDescent="0.25">
      <c r="A337" t="s">
        <v>7571</v>
      </c>
      <c r="C337" s="3" t="str">
        <f>HYPERLINK("http://amigo.geneontology.org/amigo/term/GO:0048439","GO:0048439")</f>
        <v>GO:0048439</v>
      </c>
      <c r="D337" t="s">
        <v>7572</v>
      </c>
      <c r="E337">
        <v>24</v>
      </c>
      <c r="F337">
        <v>2</v>
      </c>
      <c r="G337">
        <v>4.7902999980930401E-2</v>
      </c>
      <c r="H337">
        <v>0.62273899975209601</v>
      </c>
      <c r="I337" t="s">
        <v>7573</v>
      </c>
    </row>
    <row r="338" spans="1:9" x14ac:dyDescent="0.25">
      <c r="A338" t="s">
        <v>7574</v>
      </c>
      <c r="C338" s="3" t="str">
        <f>HYPERLINK("http://amigo.geneontology.org/amigo/term/GO:0071446","GO:0071446")</f>
        <v>GO:0071446</v>
      </c>
      <c r="D338" t="s">
        <v>7575</v>
      </c>
      <c r="E338">
        <v>93</v>
      </c>
      <c r="F338">
        <v>4</v>
      </c>
      <c r="G338">
        <v>4.8271583052072901E-2</v>
      </c>
      <c r="H338">
        <v>0.62753057967694803</v>
      </c>
      <c r="I338" t="s">
        <v>7267</v>
      </c>
    </row>
    <row r="339" spans="1:9" x14ac:dyDescent="0.25">
      <c r="A339" t="s">
        <v>7576</v>
      </c>
      <c r="C339" s="3" t="str">
        <f>HYPERLINK("http://amigo.geneontology.org/amigo/term/GO:0009863","GO:0009863")</f>
        <v>GO:0009863</v>
      </c>
      <c r="D339" t="s">
        <v>7577</v>
      </c>
      <c r="E339">
        <v>93</v>
      </c>
      <c r="F339">
        <v>4</v>
      </c>
      <c r="G339">
        <v>4.8271583052072901E-2</v>
      </c>
      <c r="H339">
        <v>0.62753057967694803</v>
      </c>
      <c r="I339" t="s">
        <v>7267</v>
      </c>
    </row>
    <row r="340" spans="1:9" x14ac:dyDescent="0.25">
      <c r="A340" t="s">
        <v>7578</v>
      </c>
      <c r="C340" s="3" t="str">
        <f>HYPERLINK("http://amigo.geneontology.org/amigo/term/GO:0016830","GO:0016830")</f>
        <v>GO:0016830</v>
      </c>
      <c r="D340" t="s">
        <v>411</v>
      </c>
      <c r="E340">
        <v>321</v>
      </c>
      <c r="F340">
        <v>9</v>
      </c>
      <c r="G340">
        <v>4.8901314118015703E-2</v>
      </c>
      <c r="H340">
        <v>0.63571708353420497</v>
      </c>
      <c r="I340" t="s">
        <v>7579</v>
      </c>
    </row>
    <row r="341" spans="1:9" x14ac:dyDescent="0.25">
      <c r="A341" t="s">
        <v>7580</v>
      </c>
      <c r="C341" s="3" t="str">
        <f>HYPERLINK("http://amigo.geneontology.org/amigo/term/GO:0005992","GO:0005992")</f>
        <v>GO:0005992</v>
      </c>
      <c r="D341" t="s">
        <v>6217</v>
      </c>
      <c r="E341">
        <v>56</v>
      </c>
      <c r="F341">
        <v>3</v>
      </c>
      <c r="G341">
        <v>4.9126078387900403E-2</v>
      </c>
      <c r="H341">
        <v>0.63863901904270604</v>
      </c>
      <c r="I341" t="s">
        <v>7581</v>
      </c>
    </row>
    <row r="342" spans="1:9" x14ac:dyDescent="0.25">
      <c r="A342" t="s">
        <v>7582</v>
      </c>
      <c r="C342" s="3" t="str">
        <f>HYPERLINK("http://amigo.geneontology.org/amigo/term/GO:0044425","GO:0044425")</f>
        <v>GO:0044425</v>
      </c>
      <c r="D342" t="s">
        <v>215</v>
      </c>
      <c r="E342">
        <v>8465</v>
      </c>
      <c r="F342">
        <v>142</v>
      </c>
      <c r="G342">
        <v>4.9692969580632497E-2</v>
      </c>
      <c r="H342">
        <v>0.64600860454822195</v>
      </c>
      <c r="I342" t="s">
        <v>7583</v>
      </c>
    </row>
    <row r="343" spans="1:9" x14ac:dyDescent="0.25">
      <c r="A343" t="s">
        <v>7584</v>
      </c>
    </row>
    <row r="344" spans="1:9" x14ac:dyDescent="0.25">
      <c r="A344" t="s">
        <v>7585</v>
      </c>
    </row>
    <row r="345" spans="1:9" x14ac:dyDescent="0.25">
      <c r="A345" t="s">
        <v>7586</v>
      </c>
    </row>
    <row r="346" spans="1:9" x14ac:dyDescent="0.25">
      <c r="A346" t="s">
        <v>7587</v>
      </c>
    </row>
    <row r="347" spans="1:9" x14ac:dyDescent="0.25">
      <c r="A347" t="s">
        <v>7588</v>
      </c>
    </row>
    <row r="348" spans="1:9" x14ac:dyDescent="0.25">
      <c r="A348" t="s">
        <v>7589</v>
      </c>
    </row>
    <row r="349" spans="1:9" x14ac:dyDescent="0.25">
      <c r="A349" t="s">
        <v>7590</v>
      </c>
    </row>
    <row r="350" spans="1:9" x14ac:dyDescent="0.25">
      <c r="A350" t="s">
        <v>7591</v>
      </c>
    </row>
    <row r="351" spans="1:9" x14ac:dyDescent="0.25">
      <c r="A351" t="s">
        <v>7592</v>
      </c>
    </row>
    <row r="352" spans="1:9" x14ac:dyDescent="0.25">
      <c r="A352" t="s">
        <v>7593</v>
      </c>
    </row>
    <row r="353" spans="1:1" x14ac:dyDescent="0.25">
      <c r="A353" t="s">
        <v>7594</v>
      </c>
    </row>
    <row r="354" spans="1:1" x14ac:dyDescent="0.25">
      <c r="A354" t="s">
        <v>7595</v>
      </c>
    </row>
    <row r="355" spans="1:1" x14ac:dyDescent="0.25">
      <c r="A355" t="s">
        <v>7596</v>
      </c>
    </row>
    <row r="356" spans="1:1" x14ac:dyDescent="0.25">
      <c r="A356" t="s">
        <v>7597</v>
      </c>
    </row>
    <row r="357" spans="1:1" x14ac:dyDescent="0.25">
      <c r="A357" t="s">
        <v>7598</v>
      </c>
    </row>
    <row r="358" spans="1:1" x14ac:dyDescent="0.25">
      <c r="A358" t="s">
        <v>7599</v>
      </c>
    </row>
    <row r="359" spans="1:1" x14ac:dyDescent="0.25">
      <c r="A359" t="s">
        <v>7600</v>
      </c>
    </row>
    <row r="360" spans="1:1" x14ac:dyDescent="0.25">
      <c r="A360" t="s">
        <v>7601</v>
      </c>
    </row>
    <row r="361" spans="1:1" x14ac:dyDescent="0.25">
      <c r="A361" t="s">
        <v>7602</v>
      </c>
    </row>
    <row r="362" spans="1:1" x14ac:dyDescent="0.25">
      <c r="A362" t="s">
        <v>7603</v>
      </c>
    </row>
    <row r="363" spans="1:1" x14ac:dyDescent="0.25">
      <c r="A363" t="s">
        <v>7604</v>
      </c>
    </row>
    <row r="364" spans="1:1" x14ac:dyDescent="0.25">
      <c r="A364" t="s">
        <v>7605</v>
      </c>
    </row>
    <row r="365" spans="1:1" x14ac:dyDescent="0.25">
      <c r="A365" t="s">
        <v>7606</v>
      </c>
    </row>
    <row r="366" spans="1:1" x14ac:dyDescent="0.25">
      <c r="A366" t="s">
        <v>7607</v>
      </c>
    </row>
    <row r="367" spans="1:1" x14ac:dyDescent="0.25">
      <c r="A367" t="s">
        <v>7608</v>
      </c>
    </row>
    <row r="368" spans="1:1" x14ac:dyDescent="0.25">
      <c r="A368" t="s">
        <v>7609</v>
      </c>
    </row>
    <row r="369" spans="1:1" x14ac:dyDescent="0.25">
      <c r="A369" t="s">
        <v>7610</v>
      </c>
    </row>
    <row r="370" spans="1:1" x14ac:dyDescent="0.25">
      <c r="A370" t="s">
        <v>7611</v>
      </c>
    </row>
    <row r="371" spans="1:1" x14ac:dyDescent="0.25">
      <c r="A371" t="s">
        <v>7612</v>
      </c>
    </row>
    <row r="372" spans="1:1" x14ac:dyDescent="0.25">
      <c r="A372" t="s">
        <v>7613</v>
      </c>
    </row>
    <row r="373" spans="1:1" x14ac:dyDescent="0.25">
      <c r="A373" t="s">
        <v>7614</v>
      </c>
    </row>
    <row r="374" spans="1:1" x14ac:dyDescent="0.25">
      <c r="A374" t="s">
        <v>7615</v>
      </c>
    </row>
    <row r="375" spans="1:1" x14ac:dyDescent="0.25">
      <c r="A375" t="s">
        <v>7616</v>
      </c>
    </row>
    <row r="376" spans="1:1" x14ac:dyDescent="0.25">
      <c r="A376" t="s">
        <v>7617</v>
      </c>
    </row>
    <row r="377" spans="1:1" x14ac:dyDescent="0.25">
      <c r="A377" t="s">
        <v>7618</v>
      </c>
    </row>
    <row r="378" spans="1:1" x14ac:dyDescent="0.25">
      <c r="A378" t="s">
        <v>7619</v>
      </c>
    </row>
    <row r="379" spans="1:1" x14ac:dyDescent="0.25">
      <c r="A379" t="s">
        <v>7620</v>
      </c>
    </row>
    <row r="380" spans="1:1" x14ac:dyDescent="0.25">
      <c r="A380" t="s">
        <v>7621</v>
      </c>
    </row>
    <row r="381" spans="1:1" x14ac:dyDescent="0.25">
      <c r="A381" t="s">
        <v>7622</v>
      </c>
    </row>
    <row r="382" spans="1:1" x14ac:dyDescent="0.25">
      <c r="A382" t="s">
        <v>7623</v>
      </c>
    </row>
    <row r="383" spans="1:1" x14ac:dyDescent="0.25">
      <c r="A383" t="s">
        <v>7624</v>
      </c>
    </row>
    <row r="384" spans="1:1" x14ac:dyDescent="0.25">
      <c r="A384" t="s">
        <v>7625</v>
      </c>
    </row>
    <row r="385" spans="1:1" x14ac:dyDescent="0.25">
      <c r="A385" t="s">
        <v>7626</v>
      </c>
    </row>
    <row r="386" spans="1:1" x14ac:dyDescent="0.25">
      <c r="A386" t="s">
        <v>7627</v>
      </c>
    </row>
    <row r="387" spans="1:1" x14ac:dyDescent="0.25">
      <c r="A387" t="s">
        <v>7628</v>
      </c>
    </row>
    <row r="388" spans="1:1" x14ac:dyDescent="0.25">
      <c r="A388" t="s">
        <v>7629</v>
      </c>
    </row>
    <row r="389" spans="1:1" x14ac:dyDescent="0.25">
      <c r="A389" t="s">
        <v>7630</v>
      </c>
    </row>
    <row r="390" spans="1:1" x14ac:dyDescent="0.25">
      <c r="A390" t="s">
        <v>7631</v>
      </c>
    </row>
    <row r="391" spans="1:1" x14ac:dyDescent="0.25">
      <c r="A391" t="s">
        <v>7632</v>
      </c>
    </row>
    <row r="392" spans="1:1" x14ac:dyDescent="0.25">
      <c r="A392" t="s">
        <v>7633</v>
      </c>
    </row>
    <row r="393" spans="1:1" x14ac:dyDescent="0.25">
      <c r="A393" t="s">
        <v>7634</v>
      </c>
    </row>
    <row r="394" spans="1:1" x14ac:dyDescent="0.25">
      <c r="A394" t="s">
        <v>7635</v>
      </c>
    </row>
    <row r="395" spans="1:1" x14ac:dyDescent="0.25">
      <c r="A395" t="s">
        <v>7636</v>
      </c>
    </row>
    <row r="396" spans="1:1" x14ac:dyDescent="0.25">
      <c r="A396" t="s">
        <v>7637</v>
      </c>
    </row>
    <row r="397" spans="1:1" x14ac:dyDescent="0.25">
      <c r="A397" t="s">
        <v>7638</v>
      </c>
    </row>
    <row r="398" spans="1:1" x14ac:dyDescent="0.25">
      <c r="A398" t="s">
        <v>7639</v>
      </c>
    </row>
    <row r="399" spans="1:1" x14ac:dyDescent="0.25">
      <c r="A399" t="s">
        <v>7640</v>
      </c>
    </row>
    <row r="400" spans="1:1" x14ac:dyDescent="0.25">
      <c r="A400" t="s">
        <v>7641</v>
      </c>
    </row>
    <row r="401" spans="1:1" x14ac:dyDescent="0.25">
      <c r="A401" t="s">
        <v>7642</v>
      </c>
    </row>
    <row r="402" spans="1:1" x14ac:dyDescent="0.25">
      <c r="A402" t="s">
        <v>7643</v>
      </c>
    </row>
    <row r="403" spans="1:1" x14ac:dyDescent="0.25">
      <c r="A403" t="s">
        <v>7644</v>
      </c>
    </row>
    <row r="404" spans="1:1" x14ac:dyDescent="0.25">
      <c r="A404" t="s">
        <v>7645</v>
      </c>
    </row>
    <row r="405" spans="1:1" x14ac:dyDescent="0.25">
      <c r="A405" t="s">
        <v>7646</v>
      </c>
    </row>
    <row r="406" spans="1:1" x14ac:dyDescent="0.25">
      <c r="A406" t="s">
        <v>7647</v>
      </c>
    </row>
    <row r="407" spans="1:1" x14ac:dyDescent="0.25">
      <c r="A407" t="s">
        <v>7648</v>
      </c>
    </row>
    <row r="408" spans="1:1" x14ac:dyDescent="0.25">
      <c r="A408" t="s">
        <v>7649</v>
      </c>
    </row>
    <row r="409" spans="1:1" x14ac:dyDescent="0.25">
      <c r="A409" t="s">
        <v>7650</v>
      </c>
    </row>
    <row r="410" spans="1:1" x14ac:dyDescent="0.25">
      <c r="A410" t="s">
        <v>7651</v>
      </c>
    </row>
    <row r="411" spans="1:1" x14ac:dyDescent="0.25">
      <c r="A411" t="s">
        <v>7652</v>
      </c>
    </row>
    <row r="412" spans="1:1" x14ac:dyDescent="0.25">
      <c r="A412" t="s">
        <v>7653</v>
      </c>
    </row>
    <row r="413" spans="1:1" x14ac:dyDescent="0.25">
      <c r="A413" t="s">
        <v>7654</v>
      </c>
    </row>
    <row r="414" spans="1:1" x14ac:dyDescent="0.25">
      <c r="A414" t="s">
        <v>7655</v>
      </c>
    </row>
    <row r="415" spans="1:1" x14ac:dyDescent="0.25">
      <c r="A415" t="s">
        <v>7656</v>
      </c>
    </row>
    <row r="416" spans="1:1" x14ac:dyDescent="0.25">
      <c r="A416" t="s">
        <v>7657</v>
      </c>
    </row>
    <row r="417" spans="1:1" x14ac:dyDescent="0.25">
      <c r="A417" t="s">
        <v>7658</v>
      </c>
    </row>
    <row r="418" spans="1:1" x14ac:dyDescent="0.25">
      <c r="A418" t="s">
        <v>7659</v>
      </c>
    </row>
    <row r="419" spans="1:1" x14ac:dyDescent="0.25">
      <c r="A419" t="s">
        <v>7660</v>
      </c>
    </row>
    <row r="420" spans="1:1" x14ac:dyDescent="0.25">
      <c r="A420" t="s">
        <v>7661</v>
      </c>
    </row>
    <row r="421" spans="1:1" x14ac:dyDescent="0.25">
      <c r="A421" t="s">
        <v>7662</v>
      </c>
    </row>
    <row r="422" spans="1:1" x14ac:dyDescent="0.25">
      <c r="A422" t="s">
        <v>7663</v>
      </c>
    </row>
    <row r="423" spans="1:1" x14ac:dyDescent="0.25">
      <c r="A423" t="s">
        <v>7664</v>
      </c>
    </row>
    <row r="424" spans="1:1" x14ac:dyDescent="0.25">
      <c r="A424" t="s">
        <v>7665</v>
      </c>
    </row>
    <row r="425" spans="1:1" x14ac:dyDescent="0.25">
      <c r="A425" t="s">
        <v>7666</v>
      </c>
    </row>
    <row r="426" spans="1:1" x14ac:dyDescent="0.25">
      <c r="A426" t="s">
        <v>7667</v>
      </c>
    </row>
    <row r="427" spans="1:1" x14ac:dyDescent="0.25">
      <c r="A427" t="s">
        <v>7668</v>
      </c>
    </row>
    <row r="428" spans="1:1" x14ac:dyDescent="0.25">
      <c r="A428" t="s">
        <v>7669</v>
      </c>
    </row>
    <row r="429" spans="1:1" x14ac:dyDescent="0.25">
      <c r="A429" t="s">
        <v>7670</v>
      </c>
    </row>
    <row r="430" spans="1:1" x14ac:dyDescent="0.25">
      <c r="A430" t="s">
        <v>7671</v>
      </c>
    </row>
    <row r="431" spans="1:1" x14ac:dyDescent="0.25">
      <c r="A431" t="s">
        <v>7672</v>
      </c>
    </row>
    <row r="432" spans="1:1" x14ac:dyDescent="0.25">
      <c r="A432" t="s">
        <v>7673</v>
      </c>
    </row>
    <row r="433" spans="1:1" x14ac:dyDescent="0.25">
      <c r="A433" t="s">
        <v>7674</v>
      </c>
    </row>
    <row r="434" spans="1:1" x14ac:dyDescent="0.25">
      <c r="A434" t="s">
        <v>7675</v>
      </c>
    </row>
    <row r="435" spans="1:1" x14ac:dyDescent="0.25">
      <c r="A435" t="s">
        <v>7676</v>
      </c>
    </row>
    <row r="436" spans="1:1" x14ac:dyDescent="0.25">
      <c r="A436" t="s">
        <v>7677</v>
      </c>
    </row>
    <row r="437" spans="1:1" x14ac:dyDescent="0.25">
      <c r="A437" t="s">
        <v>7678</v>
      </c>
    </row>
    <row r="438" spans="1:1" x14ac:dyDescent="0.25">
      <c r="A438" t="s">
        <v>7679</v>
      </c>
    </row>
    <row r="439" spans="1:1" x14ac:dyDescent="0.25">
      <c r="A439" t="s">
        <v>7680</v>
      </c>
    </row>
    <row r="440" spans="1:1" x14ac:dyDescent="0.25">
      <c r="A440" t="s">
        <v>7681</v>
      </c>
    </row>
    <row r="441" spans="1:1" x14ac:dyDescent="0.25">
      <c r="A441" t="s">
        <v>7682</v>
      </c>
    </row>
    <row r="442" spans="1:1" x14ac:dyDescent="0.25">
      <c r="A442" t="s">
        <v>7683</v>
      </c>
    </row>
    <row r="443" spans="1:1" x14ac:dyDescent="0.25">
      <c r="A443" t="s">
        <v>7684</v>
      </c>
    </row>
    <row r="444" spans="1:1" x14ac:dyDescent="0.25">
      <c r="A444" t="s">
        <v>7685</v>
      </c>
    </row>
    <row r="445" spans="1:1" x14ac:dyDescent="0.25">
      <c r="A445" t="s">
        <v>7686</v>
      </c>
    </row>
    <row r="446" spans="1:1" x14ac:dyDescent="0.25">
      <c r="A446" t="s">
        <v>7687</v>
      </c>
    </row>
    <row r="447" spans="1:1" x14ac:dyDescent="0.25">
      <c r="A447" t="s">
        <v>7688</v>
      </c>
    </row>
    <row r="448" spans="1:1" x14ac:dyDescent="0.25">
      <c r="A448" t="s">
        <v>7689</v>
      </c>
    </row>
    <row r="449" spans="1:1" x14ac:dyDescent="0.25">
      <c r="A449" t="s">
        <v>7690</v>
      </c>
    </row>
    <row r="450" spans="1:1" x14ac:dyDescent="0.25">
      <c r="A450" t="s">
        <v>7691</v>
      </c>
    </row>
    <row r="451" spans="1:1" x14ac:dyDescent="0.25">
      <c r="A451" t="s">
        <v>7692</v>
      </c>
    </row>
    <row r="452" spans="1:1" x14ac:dyDescent="0.25">
      <c r="A452" t="s">
        <v>7693</v>
      </c>
    </row>
    <row r="453" spans="1:1" x14ac:dyDescent="0.25">
      <c r="A453" t="s">
        <v>7694</v>
      </c>
    </row>
    <row r="454" spans="1:1" x14ac:dyDescent="0.25">
      <c r="A454" t="s">
        <v>7695</v>
      </c>
    </row>
    <row r="455" spans="1:1" x14ac:dyDescent="0.25">
      <c r="A455" t="s">
        <v>7696</v>
      </c>
    </row>
    <row r="456" spans="1:1" x14ac:dyDescent="0.25">
      <c r="A456" t="s">
        <v>7697</v>
      </c>
    </row>
    <row r="457" spans="1:1" x14ac:dyDescent="0.25">
      <c r="A457" t="s">
        <v>7698</v>
      </c>
    </row>
    <row r="458" spans="1:1" x14ac:dyDescent="0.25">
      <c r="A458" t="s">
        <v>7699</v>
      </c>
    </row>
    <row r="459" spans="1:1" x14ac:dyDescent="0.25">
      <c r="A459" t="s">
        <v>7700</v>
      </c>
    </row>
    <row r="460" spans="1:1" x14ac:dyDescent="0.25">
      <c r="A460" t="s">
        <v>7701</v>
      </c>
    </row>
    <row r="461" spans="1:1" x14ac:dyDescent="0.25">
      <c r="A461" t="s">
        <v>7702</v>
      </c>
    </row>
    <row r="462" spans="1:1" x14ac:dyDescent="0.25">
      <c r="A462" t="s">
        <v>7703</v>
      </c>
    </row>
    <row r="463" spans="1:1" x14ac:dyDescent="0.25">
      <c r="A463" t="s">
        <v>7704</v>
      </c>
    </row>
    <row r="464" spans="1:1" x14ac:dyDescent="0.25">
      <c r="A464" t="s">
        <v>7705</v>
      </c>
    </row>
    <row r="465" spans="1:1" x14ac:dyDescent="0.25">
      <c r="A465" t="s">
        <v>7706</v>
      </c>
    </row>
    <row r="466" spans="1:1" x14ac:dyDescent="0.25">
      <c r="A466" t="s">
        <v>7707</v>
      </c>
    </row>
    <row r="467" spans="1:1" x14ac:dyDescent="0.25">
      <c r="A467" t="s">
        <v>7708</v>
      </c>
    </row>
    <row r="468" spans="1:1" x14ac:dyDescent="0.25">
      <c r="A468" t="s">
        <v>7709</v>
      </c>
    </row>
    <row r="469" spans="1:1" x14ac:dyDescent="0.25">
      <c r="A469" t="s">
        <v>7710</v>
      </c>
    </row>
    <row r="470" spans="1:1" x14ac:dyDescent="0.25">
      <c r="A470" t="s">
        <v>7711</v>
      </c>
    </row>
    <row r="471" spans="1:1" x14ac:dyDescent="0.25">
      <c r="A471" t="s">
        <v>7712</v>
      </c>
    </row>
    <row r="472" spans="1:1" x14ac:dyDescent="0.25">
      <c r="A472" t="s">
        <v>7713</v>
      </c>
    </row>
    <row r="473" spans="1:1" x14ac:dyDescent="0.25">
      <c r="A473" t="s">
        <v>7714</v>
      </c>
    </row>
    <row r="474" spans="1:1" x14ac:dyDescent="0.25">
      <c r="A474" t="s">
        <v>7715</v>
      </c>
    </row>
    <row r="475" spans="1:1" x14ac:dyDescent="0.25">
      <c r="A475" t="s">
        <v>7716</v>
      </c>
    </row>
    <row r="476" spans="1:1" x14ac:dyDescent="0.25">
      <c r="A476" t="s">
        <v>7717</v>
      </c>
    </row>
    <row r="477" spans="1:1" x14ac:dyDescent="0.25">
      <c r="A477" t="s">
        <v>7718</v>
      </c>
    </row>
    <row r="478" spans="1:1" x14ac:dyDescent="0.25">
      <c r="A478" t="s">
        <v>7719</v>
      </c>
    </row>
    <row r="479" spans="1:1" x14ac:dyDescent="0.25">
      <c r="A479" t="s">
        <v>7720</v>
      </c>
    </row>
    <row r="480" spans="1:1" x14ac:dyDescent="0.25">
      <c r="A480" t="s">
        <v>7721</v>
      </c>
    </row>
    <row r="481" spans="1:1" x14ac:dyDescent="0.25">
      <c r="A481" t="s">
        <v>7722</v>
      </c>
    </row>
    <row r="482" spans="1:1" x14ac:dyDescent="0.25">
      <c r="A482" t="s">
        <v>7723</v>
      </c>
    </row>
    <row r="483" spans="1:1" x14ac:dyDescent="0.25">
      <c r="A483" t="s">
        <v>7724</v>
      </c>
    </row>
    <row r="484" spans="1:1" x14ac:dyDescent="0.25">
      <c r="A484" t="s">
        <v>7725</v>
      </c>
    </row>
    <row r="485" spans="1:1" x14ac:dyDescent="0.25">
      <c r="A485" t="s">
        <v>7726</v>
      </c>
    </row>
    <row r="486" spans="1:1" x14ac:dyDescent="0.25">
      <c r="A486" t="s">
        <v>7727</v>
      </c>
    </row>
    <row r="487" spans="1:1" x14ac:dyDescent="0.25">
      <c r="A487" t="s">
        <v>7728</v>
      </c>
    </row>
    <row r="488" spans="1:1" x14ac:dyDescent="0.25">
      <c r="A488" t="s">
        <v>7729</v>
      </c>
    </row>
    <row r="489" spans="1:1" x14ac:dyDescent="0.25">
      <c r="A489" t="s">
        <v>7730</v>
      </c>
    </row>
    <row r="490" spans="1:1" x14ac:dyDescent="0.25">
      <c r="A490" t="s">
        <v>7731</v>
      </c>
    </row>
    <row r="491" spans="1:1" x14ac:dyDescent="0.25">
      <c r="A491" t="s">
        <v>7732</v>
      </c>
    </row>
    <row r="492" spans="1:1" x14ac:dyDescent="0.25">
      <c r="A492" t="s">
        <v>7733</v>
      </c>
    </row>
    <row r="493" spans="1:1" x14ac:dyDescent="0.25">
      <c r="A493" t="s">
        <v>7734</v>
      </c>
    </row>
    <row r="494" spans="1:1" x14ac:dyDescent="0.25">
      <c r="A494" t="s">
        <v>7735</v>
      </c>
    </row>
    <row r="495" spans="1:1" x14ac:dyDescent="0.25">
      <c r="A495" t="s">
        <v>7736</v>
      </c>
    </row>
    <row r="496" spans="1:1" x14ac:dyDescent="0.25">
      <c r="A496" t="s">
        <v>7530</v>
      </c>
    </row>
    <row r="497" spans="1:1" x14ac:dyDescent="0.25">
      <c r="A497" t="s">
        <v>7737</v>
      </c>
    </row>
    <row r="498" spans="1:1" x14ac:dyDescent="0.25">
      <c r="A498" t="s">
        <v>7738</v>
      </c>
    </row>
    <row r="499" spans="1:1" x14ac:dyDescent="0.25">
      <c r="A499" t="s">
        <v>7541</v>
      </c>
    </row>
    <row r="500" spans="1:1" x14ac:dyDescent="0.25">
      <c r="A500" t="s">
        <v>7739</v>
      </c>
    </row>
    <row r="501" spans="1:1" x14ac:dyDescent="0.25">
      <c r="A501" t="s">
        <v>7740</v>
      </c>
    </row>
    <row r="502" spans="1:1" x14ac:dyDescent="0.25">
      <c r="A502" t="s">
        <v>7741</v>
      </c>
    </row>
    <row r="503" spans="1:1" x14ac:dyDescent="0.25">
      <c r="A503" t="s">
        <v>7742</v>
      </c>
    </row>
    <row r="504" spans="1:1" x14ac:dyDescent="0.25">
      <c r="A504" t="s">
        <v>7743</v>
      </c>
    </row>
    <row r="505" spans="1:1" x14ac:dyDescent="0.25">
      <c r="A505" t="s">
        <v>7744</v>
      </c>
    </row>
    <row r="506" spans="1:1" x14ac:dyDescent="0.25">
      <c r="A506" t="s">
        <v>7745</v>
      </c>
    </row>
    <row r="507" spans="1:1" x14ac:dyDescent="0.25">
      <c r="A507" t="s">
        <v>7746</v>
      </c>
    </row>
    <row r="508" spans="1:1" x14ac:dyDescent="0.25">
      <c r="A508" t="s">
        <v>7747</v>
      </c>
    </row>
    <row r="509" spans="1:1" x14ac:dyDescent="0.25">
      <c r="A509" t="s">
        <v>7748</v>
      </c>
    </row>
    <row r="510" spans="1:1" x14ac:dyDescent="0.25">
      <c r="A510" t="s">
        <v>7749</v>
      </c>
    </row>
    <row r="511" spans="1:1" x14ac:dyDescent="0.25">
      <c r="A511" t="s">
        <v>7750</v>
      </c>
    </row>
    <row r="512" spans="1:1" x14ac:dyDescent="0.25">
      <c r="A512" t="s">
        <v>7751</v>
      </c>
    </row>
    <row r="513" spans="1:1" x14ac:dyDescent="0.25">
      <c r="A513" t="s">
        <v>7752</v>
      </c>
    </row>
    <row r="514" spans="1:1" x14ac:dyDescent="0.25">
      <c r="A514" t="s">
        <v>7753</v>
      </c>
    </row>
    <row r="515" spans="1:1" x14ac:dyDescent="0.25">
      <c r="A515" t="s">
        <v>7754</v>
      </c>
    </row>
    <row r="516" spans="1:1" x14ac:dyDescent="0.25">
      <c r="A516" t="s">
        <v>7755</v>
      </c>
    </row>
    <row r="517" spans="1:1" x14ac:dyDescent="0.25">
      <c r="A517" t="s">
        <v>7756</v>
      </c>
    </row>
    <row r="518" spans="1:1" x14ac:dyDescent="0.25">
      <c r="A518" t="s">
        <v>7757</v>
      </c>
    </row>
    <row r="519" spans="1:1" x14ac:dyDescent="0.25">
      <c r="A519" t="s">
        <v>7758</v>
      </c>
    </row>
    <row r="520" spans="1:1" x14ac:dyDescent="0.25">
      <c r="A520" t="s">
        <v>7759</v>
      </c>
    </row>
    <row r="521" spans="1:1" x14ac:dyDescent="0.25">
      <c r="A521" t="s">
        <v>7760</v>
      </c>
    </row>
    <row r="522" spans="1:1" x14ac:dyDescent="0.25">
      <c r="A522" t="s">
        <v>7761</v>
      </c>
    </row>
    <row r="523" spans="1:1" x14ac:dyDescent="0.25">
      <c r="A523" t="s">
        <v>7762</v>
      </c>
    </row>
    <row r="524" spans="1:1" x14ac:dyDescent="0.25">
      <c r="A524" t="s">
        <v>7763</v>
      </c>
    </row>
    <row r="525" spans="1:1" x14ac:dyDescent="0.25">
      <c r="A525" t="s">
        <v>7764</v>
      </c>
    </row>
    <row r="526" spans="1:1" x14ac:dyDescent="0.25">
      <c r="A526" t="s">
        <v>7765</v>
      </c>
    </row>
    <row r="527" spans="1:1" x14ac:dyDescent="0.25">
      <c r="A527" t="s">
        <v>7766</v>
      </c>
    </row>
    <row r="528" spans="1:1" x14ac:dyDescent="0.25">
      <c r="A528" t="s">
        <v>7767</v>
      </c>
    </row>
    <row r="529" spans="1:1" x14ac:dyDescent="0.25">
      <c r="A529" t="s">
        <v>7768</v>
      </c>
    </row>
    <row r="530" spans="1:1" x14ac:dyDescent="0.25">
      <c r="A530" t="s">
        <v>7769</v>
      </c>
    </row>
    <row r="531" spans="1:1" x14ac:dyDescent="0.25">
      <c r="A531" t="s">
        <v>7770</v>
      </c>
    </row>
    <row r="532" spans="1:1" x14ac:dyDescent="0.25">
      <c r="A532" t="s">
        <v>7771</v>
      </c>
    </row>
    <row r="533" spans="1:1" x14ac:dyDescent="0.25">
      <c r="A533" t="s">
        <v>7772</v>
      </c>
    </row>
    <row r="534" spans="1:1" x14ac:dyDescent="0.25">
      <c r="A534" t="s">
        <v>7773</v>
      </c>
    </row>
    <row r="535" spans="1:1" x14ac:dyDescent="0.25">
      <c r="A535" t="s">
        <v>7774</v>
      </c>
    </row>
    <row r="536" spans="1:1" x14ac:dyDescent="0.25">
      <c r="A536" t="s">
        <v>7775</v>
      </c>
    </row>
    <row r="537" spans="1:1" x14ac:dyDescent="0.25">
      <c r="A537" t="s">
        <v>7776</v>
      </c>
    </row>
    <row r="538" spans="1:1" x14ac:dyDescent="0.25">
      <c r="A538" t="s">
        <v>7777</v>
      </c>
    </row>
    <row r="539" spans="1:1" x14ac:dyDescent="0.25">
      <c r="A539" t="s">
        <v>7778</v>
      </c>
    </row>
    <row r="540" spans="1:1" x14ac:dyDescent="0.25">
      <c r="A540" t="s">
        <v>7779</v>
      </c>
    </row>
    <row r="541" spans="1:1" x14ac:dyDescent="0.25">
      <c r="A541" t="s">
        <v>7780</v>
      </c>
    </row>
    <row r="542" spans="1:1" x14ac:dyDescent="0.25">
      <c r="A542" t="s">
        <v>7781</v>
      </c>
    </row>
    <row r="543" spans="1:1" x14ac:dyDescent="0.25">
      <c r="A543" t="s">
        <v>7782</v>
      </c>
    </row>
    <row r="544" spans="1:1" x14ac:dyDescent="0.25">
      <c r="A544" t="s">
        <v>7783</v>
      </c>
    </row>
    <row r="545" spans="1:1" x14ac:dyDescent="0.25">
      <c r="A545" t="s">
        <v>7784</v>
      </c>
    </row>
    <row r="546" spans="1:1" x14ac:dyDescent="0.25">
      <c r="A546" t="s">
        <v>7785</v>
      </c>
    </row>
    <row r="547" spans="1:1" x14ac:dyDescent="0.25">
      <c r="A547" t="s">
        <v>7786</v>
      </c>
    </row>
    <row r="548" spans="1:1" x14ac:dyDescent="0.25">
      <c r="A548" t="s">
        <v>7787</v>
      </c>
    </row>
    <row r="549" spans="1:1" x14ac:dyDescent="0.25">
      <c r="A549" t="s">
        <v>7788</v>
      </c>
    </row>
    <row r="550" spans="1:1" x14ac:dyDescent="0.25">
      <c r="A550" t="s">
        <v>7789</v>
      </c>
    </row>
    <row r="551" spans="1:1" x14ac:dyDescent="0.25">
      <c r="A551" t="s">
        <v>7790</v>
      </c>
    </row>
    <row r="552" spans="1:1" x14ac:dyDescent="0.25">
      <c r="A552" t="s">
        <v>7791</v>
      </c>
    </row>
    <row r="553" spans="1:1" x14ac:dyDescent="0.25">
      <c r="A553" t="s">
        <v>7792</v>
      </c>
    </row>
    <row r="554" spans="1:1" x14ac:dyDescent="0.25">
      <c r="A554" t="s">
        <v>7793</v>
      </c>
    </row>
    <row r="555" spans="1:1" x14ac:dyDescent="0.25">
      <c r="A555" t="s">
        <v>7794</v>
      </c>
    </row>
    <row r="556" spans="1:1" x14ac:dyDescent="0.25">
      <c r="A556" t="s">
        <v>7795</v>
      </c>
    </row>
    <row r="557" spans="1:1" x14ac:dyDescent="0.25">
      <c r="A557" t="s">
        <v>7796</v>
      </c>
    </row>
    <row r="558" spans="1:1" x14ac:dyDescent="0.25">
      <c r="A558" t="s">
        <v>7797</v>
      </c>
    </row>
    <row r="559" spans="1:1" x14ac:dyDescent="0.25">
      <c r="A559" t="s">
        <v>7798</v>
      </c>
    </row>
    <row r="560" spans="1:1" x14ac:dyDescent="0.25">
      <c r="A560" t="s">
        <v>7799</v>
      </c>
    </row>
    <row r="561" spans="1:1" x14ac:dyDescent="0.25">
      <c r="A561" t="s">
        <v>7800</v>
      </c>
    </row>
    <row r="562" spans="1:1" x14ac:dyDescent="0.25">
      <c r="A562" t="s">
        <v>7801</v>
      </c>
    </row>
    <row r="563" spans="1:1" x14ac:dyDescent="0.25">
      <c r="A563" t="s">
        <v>7802</v>
      </c>
    </row>
    <row r="564" spans="1:1" x14ac:dyDescent="0.25">
      <c r="A564" t="s">
        <v>7803</v>
      </c>
    </row>
    <row r="565" spans="1:1" x14ac:dyDescent="0.25">
      <c r="A565" t="s">
        <v>7804</v>
      </c>
    </row>
    <row r="566" spans="1:1" x14ac:dyDescent="0.25">
      <c r="A566" t="s">
        <v>7805</v>
      </c>
    </row>
    <row r="567" spans="1:1" x14ac:dyDescent="0.25">
      <c r="A567" t="s">
        <v>7806</v>
      </c>
    </row>
    <row r="568" spans="1:1" x14ac:dyDescent="0.25">
      <c r="A568" t="s">
        <v>7807</v>
      </c>
    </row>
    <row r="569" spans="1:1" x14ac:dyDescent="0.25">
      <c r="A569" t="s">
        <v>7808</v>
      </c>
    </row>
    <row r="570" spans="1:1" x14ac:dyDescent="0.25">
      <c r="A570" t="s">
        <v>7809</v>
      </c>
    </row>
    <row r="571" spans="1:1" x14ac:dyDescent="0.25">
      <c r="A571" t="s">
        <v>7810</v>
      </c>
    </row>
    <row r="572" spans="1:1" x14ac:dyDescent="0.25">
      <c r="A572" t="s">
        <v>7811</v>
      </c>
    </row>
    <row r="573" spans="1:1" x14ac:dyDescent="0.25">
      <c r="A573" t="s">
        <v>7812</v>
      </c>
    </row>
    <row r="574" spans="1:1" x14ac:dyDescent="0.25">
      <c r="A574" t="s">
        <v>7813</v>
      </c>
    </row>
    <row r="575" spans="1:1" x14ac:dyDescent="0.25">
      <c r="A575" t="s">
        <v>7814</v>
      </c>
    </row>
    <row r="576" spans="1:1" x14ac:dyDescent="0.25">
      <c r="A576" t="s">
        <v>7815</v>
      </c>
    </row>
    <row r="577" spans="1:1" x14ac:dyDescent="0.25">
      <c r="A577" t="s">
        <v>7816</v>
      </c>
    </row>
    <row r="578" spans="1:1" x14ac:dyDescent="0.25">
      <c r="A578" t="s">
        <v>7817</v>
      </c>
    </row>
    <row r="579" spans="1:1" x14ac:dyDescent="0.25">
      <c r="A579" t="s">
        <v>7818</v>
      </c>
    </row>
    <row r="580" spans="1:1" x14ac:dyDescent="0.25">
      <c r="A580" t="s">
        <v>7819</v>
      </c>
    </row>
    <row r="581" spans="1:1" x14ac:dyDescent="0.25">
      <c r="A581" t="s">
        <v>7820</v>
      </c>
    </row>
    <row r="582" spans="1:1" x14ac:dyDescent="0.25">
      <c r="A582" t="s">
        <v>7821</v>
      </c>
    </row>
    <row r="583" spans="1:1" x14ac:dyDescent="0.25">
      <c r="A583" t="s">
        <v>7822</v>
      </c>
    </row>
    <row r="584" spans="1:1" x14ac:dyDescent="0.25">
      <c r="A584" t="s">
        <v>7823</v>
      </c>
    </row>
    <row r="585" spans="1:1" x14ac:dyDescent="0.25">
      <c r="A585" t="s">
        <v>7824</v>
      </c>
    </row>
    <row r="586" spans="1:1" x14ac:dyDescent="0.25">
      <c r="A586" t="s">
        <v>7825</v>
      </c>
    </row>
    <row r="587" spans="1:1" x14ac:dyDescent="0.25">
      <c r="A587" t="s">
        <v>7826</v>
      </c>
    </row>
    <row r="588" spans="1:1" x14ac:dyDescent="0.25">
      <c r="A588" t="s">
        <v>7827</v>
      </c>
    </row>
    <row r="589" spans="1:1" x14ac:dyDescent="0.25">
      <c r="A589" t="s">
        <v>7828</v>
      </c>
    </row>
    <row r="590" spans="1:1" x14ac:dyDescent="0.25">
      <c r="A590" t="s">
        <v>7829</v>
      </c>
    </row>
    <row r="591" spans="1:1" x14ac:dyDescent="0.25">
      <c r="A591" t="s">
        <v>7830</v>
      </c>
    </row>
    <row r="592" spans="1:1" x14ac:dyDescent="0.25">
      <c r="A592" t="s">
        <v>7831</v>
      </c>
    </row>
    <row r="593" spans="1:1" x14ac:dyDescent="0.25">
      <c r="A593" t="s">
        <v>7832</v>
      </c>
    </row>
    <row r="594" spans="1:1" x14ac:dyDescent="0.25">
      <c r="A594" t="s">
        <v>7833</v>
      </c>
    </row>
    <row r="595" spans="1:1" x14ac:dyDescent="0.25">
      <c r="A595" t="s">
        <v>7834</v>
      </c>
    </row>
    <row r="596" spans="1:1" x14ac:dyDescent="0.25">
      <c r="A596" t="s">
        <v>7835</v>
      </c>
    </row>
    <row r="597" spans="1:1" x14ac:dyDescent="0.25">
      <c r="A597" t="s">
        <v>7836</v>
      </c>
    </row>
    <row r="598" spans="1:1" x14ac:dyDescent="0.25">
      <c r="A598" t="s">
        <v>7837</v>
      </c>
    </row>
    <row r="599" spans="1:1" x14ac:dyDescent="0.25">
      <c r="A599" t="s">
        <v>7838</v>
      </c>
    </row>
    <row r="600" spans="1:1" x14ac:dyDescent="0.25">
      <c r="A600" t="s">
        <v>7839</v>
      </c>
    </row>
    <row r="601" spans="1:1" x14ac:dyDescent="0.25">
      <c r="A601" t="s">
        <v>7840</v>
      </c>
    </row>
    <row r="602" spans="1:1" x14ac:dyDescent="0.25">
      <c r="A602" t="s">
        <v>7841</v>
      </c>
    </row>
    <row r="603" spans="1:1" x14ac:dyDescent="0.25">
      <c r="A603" t="s">
        <v>7842</v>
      </c>
    </row>
    <row r="604" spans="1:1" x14ac:dyDescent="0.25">
      <c r="A604" t="s">
        <v>7843</v>
      </c>
    </row>
    <row r="605" spans="1:1" x14ac:dyDescent="0.25">
      <c r="A605" t="s">
        <v>7844</v>
      </c>
    </row>
    <row r="606" spans="1:1" x14ac:dyDescent="0.25">
      <c r="A606" t="s">
        <v>7845</v>
      </c>
    </row>
    <row r="607" spans="1:1" x14ac:dyDescent="0.25">
      <c r="A607" t="s">
        <v>7846</v>
      </c>
    </row>
    <row r="608" spans="1:1" x14ac:dyDescent="0.25">
      <c r="A608" t="s">
        <v>7847</v>
      </c>
    </row>
    <row r="609" spans="1:1" x14ac:dyDescent="0.25">
      <c r="A609" t="s">
        <v>7848</v>
      </c>
    </row>
    <row r="610" spans="1:1" x14ac:dyDescent="0.25">
      <c r="A610" t="s">
        <v>7849</v>
      </c>
    </row>
    <row r="611" spans="1:1" x14ac:dyDescent="0.25">
      <c r="A611" t="s">
        <v>7850</v>
      </c>
    </row>
    <row r="612" spans="1:1" x14ac:dyDescent="0.25">
      <c r="A612" t="s">
        <v>7851</v>
      </c>
    </row>
    <row r="613" spans="1:1" x14ac:dyDescent="0.25">
      <c r="A613" t="s">
        <v>7852</v>
      </c>
    </row>
    <row r="614" spans="1:1" x14ac:dyDescent="0.25">
      <c r="A614" t="s">
        <v>7853</v>
      </c>
    </row>
    <row r="615" spans="1:1" x14ac:dyDescent="0.25">
      <c r="A615" t="s">
        <v>7854</v>
      </c>
    </row>
    <row r="616" spans="1:1" x14ac:dyDescent="0.25">
      <c r="A616" t="s">
        <v>7855</v>
      </c>
    </row>
    <row r="617" spans="1:1" x14ac:dyDescent="0.25">
      <c r="A617" t="s">
        <v>7856</v>
      </c>
    </row>
    <row r="618" spans="1:1" x14ac:dyDescent="0.25">
      <c r="A618" t="s">
        <v>7857</v>
      </c>
    </row>
    <row r="619" spans="1:1" x14ac:dyDescent="0.25">
      <c r="A619" t="s">
        <v>7858</v>
      </c>
    </row>
    <row r="620" spans="1:1" x14ac:dyDescent="0.25">
      <c r="A620" t="s">
        <v>7859</v>
      </c>
    </row>
    <row r="621" spans="1:1" x14ac:dyDescent="0.25">
      <c r="A621" t="s">
        <v>7860</v>
      </c>
    </row>
    <row r="622" spans="1:1" x14ac:dyDescent="0.25">
      <c r="A622" t="s">
        <v>7861</v>
      </c>
    </row>
    <row r="623" spans="1:1" x14ac:dyDescent="0.25">
      <c r="A623" t="s">
        <v>7862</v>
      </c>
    </row>
    <row r="624" spans="1:1" x14ac:dyDescent="0.25">
      <c r="A624" t="s">
        <v>7863</v>
      </c>
    </row>
    <row r="625" spans="1:1" x14ac:dyDescent="0.25">
      <c r="A625" t="s">
        <v>7864</v>
      </c>
    </row>
    <row r="626" spans="1:1" x14ac:dyDescent="0.25">
      <c r="A626" t="s">
        <v>7865</v>
      </c>
    </row>
    <row r="627" spans="1:1" x14ac:dyDescent="0.25">
      <c r="A627" t="s">
        <v>7866</v>
      </c>
    </row>
    <row r="628" spans="1:1" x14ac:dyDescent="0.25">
      <c r="A628" t="s">
        <v>7867</v>
      </c>
    </row>
    <row r="629" spans="1:1" x14ac:dyDescent="0.25">
      <c r="A629" t="s">
        <v>7868</v>
      </c>
    </row>
    <row r="630" spans="1:1" x14ac:dyDescent="0.25">
      <c r="A630" t="s">
        <v>7869</v>
      </c>
    </row>
    <row r="631" spans="1:1" x14ac:dyDescent="0.25">
      <c r="A631" t="s">
        <v>7870</v>
      </c>
    </row>
    <row r="632" spans="1:1" x14ac:dyDescent="0.25">
      <c r="A632" t="s">
        <v>7871</v>
      </c>
    </row>
    <row r="633" spans="1:1" x14ac:dyDescent="0.25">
      <c r="A633" t="s">
        <v>7872</v>
      </c>
    </row>
    <row r="634" spans="1:1" x14ac:dyDescent="0.25">
      <c r="A634" t="s">
        <v>7873</v>
      </c>
    </row>
    <row r="635" spans="1:1" x14ac:dyDescent="0.25">
      <c r="A635" t="s">
        <v>7874</v>
      </c>
    </row>
    <row r="636" spans="1:1" x14ac:dyDescent="0.25">
      <c r="A636" t="s">
        <v>7875</v>
      </c>
    </row>
    <row r="637" spans="1:1" x14ac:dyDescent="0.25">
      <c r="A637" t="s">
        <v>7876</v>
      </c>
    </row>
    <row r="638" spans="1:1" x14ac:dyDescent="0.25">
      <c r="A638" t="s">
        <v>7877</v>
      </c>
    </row>
    <row r="639" spans="1:1" x14ac:dyDescent="0.25">
      <c r="A639" t="s">
        <v>7878</v>
      </c>
    </row>
    <row r="640" spans="1:1" x14ac:dyDescent="0.25">
      <c r="A640" t="s">
        <v>7879</v>
      </c>
    </row>
    <row r="641" spans="1:1" x14ac:dyDescent="0.25">
      <c r="A641" t="s">
        <v>7880</v>
      </c>
    </row>
    <row r="642" spans="1:1" x14ac:dyDescent="0.25">
      <c r="A642" t="s">
        <v>7881</v>
      </c>
    </row>
    <row r="643" spans="1:1" x14ac:dyDescent="0.25">
      <c r="A643" t="s">
        <v>7882</v>
      </c>
    </row>
    <row r="644" spans="1:1" x14ac:dyDescent="0.25">
      <c r="A644" t="s">
        <v>7883</v>
      </c>
    </row>
    <row r="645" spans="1:1" x14ac:dyDescent="0.25">
      <c r="A645" t="s">
        <v>7884</v>
      </c>
    </row>
    <row r="646" spans="1:1" x14ac:dyDescent="0.25">
      <c r="A646" t="s">
        <v>7885</v>
      </c>
    </row>
    <row r="647" spans="1:1" x14ac:dyDescent="0.25">
      <c r="A647" t="s">
        <v>7886</v>
      </c>
    </row>
    <row r="648" spans="1:1" x14ac:dyDescent="0.25">
      <c r="A648" t="s">
        <v>7887</v>
      </c>
    </row>
    <row r="649" spans="1:1" x14ac:dyDescent="0.25">
      <c r="A649" t="s">
        <v>7888</v>
      </c>
    </row>
    <row r="650" spans="1:1" x14ac:dyDescent="0.25">
      <c r="A650" t="s">
        <v>7889</v>
      </c>
    </row>
    <row r="651" spans="1:1" x14ac:dyDescent="0.25">
      <c r="A651" t="s">
        <v>7890</v>
      </c>
    </row>
    <row r="652" spans="1:1" x14ac:dyDescent="0.25">
      <c r="A652" t="s">
        <v>7891</v>
      </c>
    </row>
    <row r="653" spans="1:1" x14ac:dyDescent="0.25">
      <c r="A653" t="s">
        <v>7892</v>
      </c>
    </row>
    <row r="654" spans="1:1" x14ac:dyDescent="0.25">
      <c r="A654" t="s">
        <v>7893</v>
      </c>
    </row>
    <row r="655" spans="1:1" x14ac:dyDescent="0.25">
      <c r="A655" t="s">
        <v>7894</v>
      </c>
    </row>
    <row r="656" spans="1:1" x14ac:dyDescent="0.25">
      <c r="A656" t="s">
        <v>7895</v>
      </c>
    </row>
    <row r="657" spans="1:1" x14ac:dyDescent="0.25">
      <c r="A657" t="s">
        <v>7896</v>
      </c>
    </row>
    <row r="658" spans="1:1" x14ac:dyDescent="0.25">
      <c r="A658" t="s">
        <v>7897</v>
      </c>
    </row>
    <row r="659" spans="1:1" x14ac:dyDescent="0.25">
      <c r="A659" t="s">
        <v>7898</v>
      </c>
    </row>
    <row r="660" spans="1:1" x14ac:dyDescent="0.25">
      <c r="A660" t="s">
        <v>7899</v>
      </c>
    </row>
    <row r="661" spans="1:1" x14ac:dyDescent="0.25">
      <c r="A661" t="s">
        <v>7900</v>
      </c>
    </row>
    <row r="662" spans="1:1" x14ac:dyDescent="0.25">
      <c r="A662" t="s">
        <v>7901</v>
      </c>
    </row>
    <row r="663" spans="1:1" x14ac:dyDescent="0.25">
      <c r="A663" t="s">
        <v>7902</v>
      </c>
    </row>
    <row r="664" spans="1:1" x14ac:dyDescent="0.25">
      <c r="A664" t="s">
        <v>7903</v>
      </c>
    </row>
    <row r="665" spans="1:1" x14ac:dyDescent="0.25">
      <c r="A665" t="s">
        <v>7904</v>
      </c>
    </row>
    <row r="666" spans="1:1" x14ac:dyDescent="0.25">
      <c r="A666" t="s">
        <v>7905</v>
      </c>
    </row>
    <row r="667" spans="1:1" x14ac:dyDescent="0.25">
      <c r="A667" t="s">
        <v>7906</v>
      </c>
    </row>
    <row r="668" spans="1:1" x14ac:dyDescent="0.25">
      <c r="A668" t="s">
        <v>7907</v>
      </c>
    </row>
    <row r="669" spans="1:1" x14ac:dyDescent="0.25">
      <c r="A669" t="s">
        <v>7908</v>
      </c>
    </row>
    <row r="670" spans="1:1" x14ac:dyDescent="0.25">
      <c r="A670" t="s">
        <v>7909</v>
      </c>
    </row>
    <row r="671" spans="1:1" x14ac:dyDescent="0.25">
      <c r="A671" t="s">
        <v>7910</v>
      </c>
    </row>
    <row r="672" spans="1:1" x14ac:dyDescent="0.25">
      <c r="A672" t="s">
        <v>7911</v>
      </c>
    </row>
    <row r="673" spans="1:1" x14ac:dyDescent="0.25">
      <c r="A673" t="s">
        <v>7912</v>
      </c>
    </row>
    <row r="674" spans="1:1" x14ac:dyDescent="0.25">
      <c r="A674" t="s">
        <v>7913</v>
      </c>
    </row>
    <row r="675" spans="1:1" x14ac:dyDescent="0.25">
      <c r="A675" t="s">
        <v>7914</v>
      </c>
    </row>
    <row r="676" spans="1:1" x14ac:dyDescent="0.25">
      <c r="A676" t="s">
        <v>7915</v>
      </c>
    </row>
    <row r="677" spans="1:1" x14ac:dyDescent="0.25">
      <c r="A677" t="s">
        <v>7916</v>
      </c>
    </row>
    <row r="678" spans="1:1" x14ac:dyDescent="0.25">
      <c r="A678" t="s">
        <v>7917</v>
      </c>
    </row>
    <row r="679" spans="1:1" x14ac:dyDescent="0.25">
      <c r="A679" t="s">
        <v>7918</v>
      </c>
    </row>
    <row r="680" spans="1:1" x14ac:dyDescent="0.25">
      <c r="A680" t="s">
        <v>7919</v>
      </c>
    </row>
    <row r="681" spans="1:1" x14ac:dyDescent="0.25">
      <c r="A681" t="s">
        <v>7920</v>
      </c>
    </row>
    <row r="682" spans="1:1" x14ac:dyDescent="0.25">
      <c r="A682" t="s">
        <v>7921</v>
      </c>
    </row>
    <row r="683" spans="1:1" x14ac:dyDescent="0.25">
      <c r="A683" t="s">
        <v>7922</v>
      </c>
    </row>
    <row r="684" spans="1:1" x14ac:dyDescent="0.25">
      <c r="A684" t="s">
        <v>7923</v>
      </c>
    </row>
    <row r="685" spans="1:1" x14ac:dyDescent="0.25">
      <c r="A685" t="s">
        <v>7924</v>
      </c>
    </row>
    <row r="686" spans="1:1" x14ac:dyDescent="0.25">
      <c r="A686" t="s">
        <v>7925</v>
      </c>
    </row>
    <row r="687" spans="1:1" x14ac:dyDescent="0.25">
      <c r="A687" t="s">
        <v>7926</v>
      </c>
    </row>
    <row r="688" spans="1:1" x14ac:dyDescent="0.25">
      <c r="A688" t="s">
        <v>7927</v>
      </c>
    </row>
    <row r="689" spans="1:1" x14ac:dyDescent="0.25">
      <c r="A689" t="s">
        <v>7928</v>
      </c>
    </row>
    <row r="690" spans="1:1" x14ac:dyDescent="0.25">
      <c r="A690" t="s">
        <v>7929</v>
      </c>
    </row>
    <row r="691" spans="1:1" x14ac:dyDescent="0.25">
      <c r="A691" t="s">
        <v>7930</v>
      </c>
    </row>
    <row r="692" spans="1:1" x14ac:dyDescent="0.25">
      <c r="A692" t="s">
        <v>7931</v>
      </c>
    </row>
    <row r="693" spans="1:1" x14ac:dyDescent="0.25">
      <c r="A693" t="s">
        <v>7932</v>
      </c>
    </row>
    <row r="694" spans="1:1" x14ac:dyDescent="0.25">
      <c r="A694" t="s">
        <v>7933</v>
      </c>
    </row>
    <row r="695" spans="1:1" x14ac:dyDescent="0.25">
      <c r="A695" t="s">
        <v>7934</v>
      </c>
    </row>
    <row r="696" spans="1:1" x14ac:dyDescent="0.25">
      <c r="A696" t="s">
        <v>7935</v>
      </c>
    </row>
    <row r="697" spans="1:1" x14ac:dyDescent="0.25">
      <c r="A697" t="s">
        <v>7936</v>
      </c>
    </row>
    <row r="698" spans="1:1" x14ac:dyDescent="0.25">
      <c r="A698" t="s">
        <v>7937</v>
      </c>
    </row>
    <row r="699" spans="1:1" x14ac:dyDescent="0.25">
      <c r="A699" t="s">
        <v>7938</v>
      </c>
    </row>
    <row r="700" spans="1:1" x14ac:dyDescent="0.25">
      <c r="A700" t="s">
        <v>7939</v>
      </c>
    </row>
    <row r="701" spans="1:1" x14ac:dyDescent="0.25">
      <c r="A701" t="s">
        <v>7940</v>
      </c>
    </row>
    <row r="702" spans="1:1" x14ac:dyDescent="0.25">
      <c r="A702" t="s">
        <v>7941</v>
      </c>
    </row>
    <row r="703" spans="1:1" x14ac:dyDescent="0.25">
      <c r="A703" t="s">
        <v>7942</v>
      </c>
    </row>
    <row r="704" spans="1:1" x14ac:dyDescent="0.25">
      <c r="A704" t="s">
        <v>7943</v>
      </c>
    </row>
    <row r="705" spans="1:1" x14ac:dyDescent="0.25">
      <c r="A705" t="s">
        <v>7944</v>
      </c>
    </row>
    <row r="706" spans="1:1" x14ac:dyDescent="0.25">
      <c r="A706" t="s">
        <v>7945</v>
      </c>
    </row>
    <row r="707" spans="1:1" x14ac:dyDescent="0.25">
      <c r="A707" t="s">
        <v>7946</v>
      </c>
    </row>
    <row r="708" spans="1:1" x14ac:dyDescent="0.25">
      <c r="A708" t="s">
        <v>7947</v>
      </c>
    </row>
    <row r="709" spans="1:1" x14ac:dyDescent="0.25">
      <c r="A709" t="s">
        <v>7948</v>
      </c>
    </row>
    <row r="710" spans="1:1" x14ac:dyDescent="0.25">
      <c r="A710" t="s">
        <v>7949</v>
      </c>
    </row>
    <row r="711" spans="1:1" x14ac:dyDescent="0.25">
      <c r="A711" t="s">
        <v>7950</v>
      </c>
    </row>
    <row r="712" spans="1:1" x14ac:dyDescent="0.25">
      <c r="A712" t="s">
        <v>7951</v>
      </c>
    </row>
    <row r="713" spans="1:1" x14ac:dyDescent="0.25">
      <c r="A713" t="s">
        <v>7952</v>
      </c>
    </row>
    <row r="714" spans="1:1" x14ac:dyDescent="0.25">
      <c r="A714" t="s">
        <v>7953</v>
      </c>
    </row>
    <row r="715" spans="1:1" x14ac:dyDescent="0.25">
      <c r="A715" t="s">
        <v>7954</v>
      </c>
    </row>
    <row r="716" spans="1:1" x14ac:dyDescent="0.25">
      <c r="A716" t="s">
        <v>7955</v>
      </c>
    </row>
    <row r="717" spans="1:1" x14ac:dyDescent="0.25">
      <c r="A717" t="s">
        <v>7956</v>
      </c>
    </row>
    <row r="718" spans="1:1" x14ac:dyDescent="0.25">
      <c r="A718" t="s">
        <v>7957</v>
      </c>
    </row>
    <row r="719" spans="1:1" x14ac:dyDescent="0.25">
      <c r="A719" t="s">
        <v>7958</v>
      </c>
    </row>
    <row r="720" spans="1:1" x14ac:dyDescent="0.25">
      <c r="A720" t="s">
        <v>7959</v>
      </c>
    </row>
    <row r="721" spans="1:1" x14ac:dyDescent="0.25">
      <c r="A721" t="s">
        <v>7960</v>
      </c>
    </row>
    <row r="722" spans="1:1" x14ac:dyDescent="0.25">
      <c r="A722" t="s">
        <v>7961</v>
      </c>
    </row>
    <row r="723" spans="1:1" x14ac:dyDescent="0.25">
      <c r="A723" t="s">
        <v>7962</v>
      </c>
    </row>
    <row r="724" spans="1:1" x14ac:dyDescent="0.25">
      <c r="A724" t="s">
        <v>7963</v>
      </c>
    </row>
    <row r="725" spans="1:1" x14ac:dyDescent="0.25">
      <c r="A725" t="s">
        <v>7964</v>
      </c>
    </row>
    <row r="726" spans="1:1" x14ac:dyDescent="0.25">
      <c r="A726" t="s">
        <v>7965</v>
      </c>
    </row>
    <row r="727" spans="1:1" x14ac:dyDescent="0.25">
      <c r="A727" t="s">
        <v>7966</v>
      </c>
    </row>
    <row r="728" spans="1:1" x14ac:dyDescent="0.25">
      <c r="A728" t="s">
        <v>7967</v>
      </c>
    </row>
    <row r="729" spans="1:1" x14ac:dyDescent="0.25">
      <c r="A729" t="s">
        <v>7968</v>
      </c>
    </row>
    <row r="730" spans="1:1" x14ac:dyDescent="0.25">
      <c r="A730" t="s">
        <v>7969</v>
      </c>
    </row>
    <row r="731" spans="1:1" x14ac:dyDescent="0.25">
      <c r="A731" t="s">
        <v>7362</v>
      </c>
    </row>
    <row r="732" spans="1:1" x14ac:dyDescent="0.25">
      <c r="A732" t="s">
        <v>7970</v>
      </c>
    </row>
    <row r="733" spans="1:1" x14ac:dyDescent="0.25">
      <c r="A733" t="s">
        <v>7971</v>
      </c>
    </row>
    <row r="734" spans="1:1" x14ac:dyDescent="0.25">
      <c r="A734" t="s">
        <v>7972</v>
      </c>
    </row>
    <row r="735" spans="1:1" x14ac:dyDescent="0.25">
      <c r="A735" t="s">
        <v>7973</v>
      </c>
    </row>
    <row r="736" spans="1:1" x14ac:dyDescent="0.25">
      <c r="A736" t="s">
        <v>7974</v>
      </c>
    </row>
    <row r="737" spans="1:1" x14ac:dyDescent="0.25">
      <c r="A737" t="s">
        <v>7975</v>
      </c>
    </row>
    <row r="738" spans="1:1" x14ac:dyDescent="0.25">
      <c r="A738" t="s">
        <v>7976</v>
      </c>
    </row>
    <row r="739" spans="1:1" x14ac:dyDescent="0.25">
      <c r="A739" t="s">
        <v>7977</v>
      </c>
    </row>
    <row r="740" spans="1:1" x14ac:dyDescent="0.25">
      <c r="A740" t="s">
        <v>7978</v>
      </c>
    </row>
    <row r="741" spans="1:1" x14ac:dyDescent="0.25">
      <c r="A741" t="s">
        <v>7979</v>
      </c>
    </row>
    <row r="742" spans="1:1" x14ac:dyDescent="0.25">
      <c r="A742" t="s">
        <v>7980</v>
      </c>
    </row>
    <row r="743" spans="1:1" x14ac:dyDescent="0.25">
      <c r="A743" t="s">
        <v>7981</v>
      </c>
    </row>
    <row r="744" spans="1:1" x14ac:dyDescent="0.25">
      <c r="A744" t="s">
        <v>7982</v>
      </c>
    </row>
    <row r="745" spans="1:1" x14ac:dyDescent="0.25">
      <c r="A745" t="s">
        <v>7983</v>
      </c>
    </row>
    <row r="746" spans="1:1" x14ac:dyDescent="0.25">
      <c r="A746" t="s">
        <v>7984</v>
      </c>
    </row>
    <row r="747" spans="1:1" x14ac:dyDescent="0.25">
      <c r="A747" t="s">
        <v>7985</v>
      </c>
    </row>
    <row r="748" spans="1:1" x14ac:dyDescent="0.25">
      <c r="A748" t="s">
        <v>7445</v>
      </c>
    </row>
    <row r="749" spans="1:1" x14ac:dyDescent="0.25">
      <c r="A749" t="s">
        <v>7986</v>
      </c>
    </row>
    <row r="750" spans="1:1" x14ac:dyDescent="0.25">
      <c r="A750" t="s">
        <v>7987</v>
      </c>
    </row>
    <row r="751" spans="1:1" x14ac:dyDescent="0.25">
      <c r="A751" t="s">
        <v>7988</v>
      </c>
    </row>
    <row r="752" spans="1:1" x14ac:dyDescent="0.25">
      <c r="A752" t="s">
        <v>7989</v>
      </c>
    </row>
    <row r="753" spans="1:1" x14ac:dyDescent="0.25">
      <c r="A753" t="s">
        <v>7990</v>
      </c>
    </row>
    <row r="754" spans="1:1" x14ac:dyDescent="0.25">
      <c r="A754" t="s">
        <v>7991</v>
      </c>
    </row>
    <row r="755" spans="1:1" x14ac:dyDescent="0.25">
      <c r="A755" t="s">
        <v>7992</v>
      </c>
    </row>
    <row r="756" spans="1:1" x14ac:dyDescent="0.25">
      <c r="A756" t="s">
        <v>7993</v>
      </c>
    </row>
    <row r="757" spans="1:1" x14ac:dyDescent="0.25">
      <c r="A757" t="s">
        <v>7994</v>
      </c>
    </row>
    <row r="758" spans="1:1" x14ac:dyDescent="0.25">
      <c r="A758" t="s">
        <v>7995</v>
      </c>
    </row>
    <row r="759" spans="1:1" x14ac:dyDescent="0.25">
      <c r="A759" t="s">
        <v>7996</v>
      </c>
    </row>
    <row r="760" spans="1:1" x14ac:dyDescent="0.25">
      <c r="A760" t="s">
        <v>7997</v>
      </c>
    </row>
    <row r="761" spans="1:1" x14ac:dyDescent="0.25">
      <c r="A761" t="s">
        <v>7998</v>
      </c>
    </row>
    <row r="762" spans="1:1" x14ac:dyDescent="0.25">
      <c r="A762" t="s">
        <v>7999</v>
      </c>
    </row>
    <row r="763" spans="1:1" x14ac:dyDescent="0.25">
      <c r="A763" t="s">
        <v>8000</v>
      </c>
    </row>
    <row r="764" spans="1:1" x14ac:dyDescent="0.25">
      <c r="A764" t="s">
        <v>8001</v>
      </c>
    </row>
    <row r="765" spans="1:1" x14ac:dyDescent="0.25">
      <c r="A765" t="s">
        <v>8002</v>
      </c>
    </row>
    <row r="766" spans="1:1" x14ac:dyDescent="0.25">
      <c r="A766" t="s">
        <v>8003</v>
      </c>
    </row>
    <row r="767" spans="1:1" x14ac:dyDescent="0.25">
      <c r="A767" t="s">
        <v>8004</v>
      </c>
    </row>
    <row r="768" spans="1:1" x14ac:dyDescent="0.25">
      <c r="A768" t="s">
        <v>8005</v>
      </c>
    </row>
    <row r="769" spans="1:1" x14ac:dyDescent="0.25">
      <c r="A769" t="s">
        <v>8006</v>
      </c>
    </row>
    <row r="770" spans="1:1" x14ac:dyDescent="0.25">
      <c r="A770" t="s">
        <v>8007</v>
      </c>
    </row>
    <row r="771" spans="1:1" x14ac:dyDescent="0.25">
      <c r="A771" t="s">
        <v>8008</v>
      </c>
    </row>
    <row r="772" spans="1:1" x14ac:dyDescent="0.25">
      <c r="A772" t="s">
        <v>8009</v>
      </c>
    </row>
    <row r="773" spans="1:1" x14ac:dyDescent="0.25">
      <c r="A773" t="s">
        <v>8010</v>
      </c>
    </row>
    <row r="774" spans="1:1" x14ac:dyDescent="0.25">
      <c r="A774" t="s">
        <v>8011</v>
      </c>
    </row>
    <row r="775" spans="1:1" x14ac:dyDescent="0.25">
      <c r="A775" t="s">
        <v>8012</v>
      </c>
    </row>
    <row r="776" spans="1:1" x14ac:dyDescent="0.25">
      <c r="A776" t="s">
        <v>8013</v>
      </c>
    </row>
    <row r="777" spans="1:1" x14ac:dyDescent="0.25">
      <c r="A777" t="s">
        <v>8014</v>
      </c>
    </row>
    <row r="778" spans="1:1" x14ac:dyDescent="0.25">
      <c r="A778" t="s">
        <v>8015</v>
      </c>
    </row>
    <row r="779" spans="1:1" x14ac:dyDescent="0.25">
      <c r="A779" t="s">
        <v>8016</v>
      </c>
    </row>
    <row r="780" spans="1:1" x14ac:dyDescent="0.25">
      <c r="A780" t="s">
        <v>8017</v>
      </c>
    </row>
    <row r="781" spans="1:1" x14ac:dyDescent="0.25">
      <c r="A781" t="s">
        <v>8018</v>
      </c>
    </row>
    <row r="782" spans="1:1" x14ac:dyDescent="0.25">
      <c r="A782" t="s">
        <v>8019</v>
      </c>
    </row>
    <row r="783" spans="1:1" x14ac:dyDescent="0.25">
      <c r="A783" t="s">
        <v>8020</v>
      </c>
    </row>
    <row r="784" spans="1:1" x14ac:dyDescent="0.25">
      <c r="A784" t="s">
        <v>8021</v>
      </c>
    </row>
    <row r="785" spans="1:1" x14ac:dyDescent="0.25">
      <c r="A785" t="s">
        <v>8022</v>
      </c>
    </row>
    <row r="786" spans="1:1" x14ac:dyDescent="0.25">
      <c r="A786" t="s">
        <v>8023</v>
      </c>
    </row>
    <row r="787" spans="1:1" x14ac:dyDescent="0.25">
      <c r="A787" t="s">
        <v>8024</v>
      </c>
    </row>
    <row r="788" spans="1:1" x14ac:dyDescent="0.25">
      <c r="A788" t="s">
        <v>8025</v>
      </c>
    </row>
    <row r="789" spans="1:1" x14ac:dyDescent="0.25">
      <c r="A789" t="s">
        <v>8026</v>
      </c>
    </row>
    <row r="790" spans="1:1" x14ac:dyDescent="0.25">
      <c r="A790" t="s">
        <v>8027</v>
      </c>
    </row>
    <row r="791" spans="1:1" x14ac:dyDescent="0.25">
      <c r="A791" t="s">
        <v>8028</v>
      </c>
    </row>
    <row r="792" spans="1:1" x14ac:dyDescent="0.25">
      <c r="A792" t="s">
        <v>8029</v>
      </c>
    </row>
    <row r="793" spans="1:1" x14ac:dyDescent="0.25">
      <c r="A793" t="s">
        <v>8030</v>
      </c>
    </row>
    <row r="794" spans="1:1" x14ac:dyDescent="0.25">
      <c r="A794" t="s">
        <v>8031</v>
      </c>
    </row>
    <row r="795" spans="1:1" x14ac:dyDescent="0.25">
      <c r="A795" t="s">
        <v>8032</v>
      </c>
    </row>
    <row r="796" spans="1:1" x14ac:dyDescent="0.25">
      <c r="A796" t="s">
        <v>8033</v>
      </c>
    </row>
    <row r="797" spans="1:1" x14ac:dyDescent="0.25">
      <c r="A797" t="s">
        <v>8034</v>
      </c>
    </row>
    <row r="798" spans="1:1" x14ac:dyDescent="0.25">
      <c r="A798" t="s">
        <v>8035</v>
      </c>
    </row>
    <row r="799" spans="1:1" x14ac:dyDescent="0.25">
      <c r="A799" t="s">
        <v>8036</v>
      </c>
    </row>
    <row r="800" spans="1:1" x14ac:dyDescent="0.25">
      <c r="A800" t="s">
        <v>8037</v>
      </c>
    </row>
    <row r="801" spans="1:1" x14ac:dyDescent="0.25">
      <c r="A801" t="s">
        <v>8038</v>
      </c>
    </row>
    <row r="802" spans="1:1" x14ac:dyDescent="0.25">
      <c r="A802" t="s">
        <v>8039</v>
      </c>
    </row>
    <row r="803" spans="1:1" x14ac:dyDescent="0.25">
      <c r="A803" t="s">
        <v>8040</v>
      </c>
    </row>
    <row r="804" spans="1:1" x14ac:dyDescent="0.25">
      <c r="A804" t="s">
        <v>8041</v>
      </c>
    </row>
    <row r="805" spans="1:1" x14ac:dyDescent="0.25">
      <c r="A805" t="s">
        <v>8042</v>
      </c>
    </row>
    <row r="806" spans="1:1" x14ac:dyDescent="0.25">
      <c r="A806" t="s">
        <v>8043</v>
      </c>
    </row>
    <row r="807" spans="1:1" x14ac:dyDescent="0.25">
      <c r="A807" t="s">
        <v>8044</v>
      </c>
    </row>
    <row r="808" spans="1:1" x14ac:dyDescent="0.25">
      <c r="A808" t="s">
        <v>8045</v>
      </c>
    </row>
    <row r="809" spans="1:1" x14ac:dyDescent="0.25">
      <c r="A809" t="s">
        <v>8046</v>
      </c>
    </row>
    <row r="810" spans="1:1" x14ac:dyDescent="0.25">
      <c r="A810" t="s">
        <v>8047</v>
      </c>
    </row>
    <row r="811" spans="1:1" x14ac:dyDescent="0.25">
      <c r="A811" t="s">
        <v>8048</v>
      </c>
    </row>
    <row r="812" spans="1:1" x14ac:dyDescent="0.25">
      <c r="A812" t="s">
        <v>8049</v>
      </c>
    </row>
    <row r="813" spans="1:1" x14ac:dyDescent="0.25">
      <c r="A813" t="s">
        <v>8050</v>
      </c>
    </row>
    <row r="814" spans="1:1" x14ac:dyDescent="0.25">
      <c r="A814" t="s">
        <v>8051</v>
      </c>
    </row>
    <row r="815" spans="1:1" x14ac:dyDescent="0.25">
      <c r="A815" t="s">
        <v>8052</v>
      </c>
    </row>
    <row r="816" spans="1:1" x14ac:dyDescent="0.25">
      <c r="A816" t="s">
        <v>8053</v>
      </c>
    </row>
    <row r="817" spans="1:1" x14ac:dyDescent="0.25">
      <c r="A817" t="s">
        <v>8054</v>
      </c>
    </row>
    <row r="818" spans="1:1" x14ac:dyDescent="0.25">
      <c r="A818" t="s">
        <v>8055</v>
      </c>
    </row>
    <row r="819" spans="1:1" x14ac:dyDescent="0.25">
      <c r="A819" t="s">
        <v>8056</v>
      </c>
    </row>
    <row r="820" spans="1:1" x14ac:dyDescent="0.25">
      <c r="A820" t="s">
        <v>8057</v>
      </c>
    </row>
    <row r="821" spans="1:1" x14ac:dyDescent="0.25">
      <c r="A821" t="s">
        <v>8058</v>
      </c>
    </row>
    <row r="822" spans="1:1" x14ac:dyDescent="0.25">
      <c r="A822" t="s">
        <v>8059</v>
      </c>
    </row>
    <row r="823" spans="1:1" x14ac:dyDescent="0.25">
      <c r="A823" t="s">
        <v>8060</v>
      </c>
    </row>
    <row r="824" spans="1:1" x14ac:dyDescent="0.25">
      <c r="A824" t="s">
        <v>8061</v>
      </c>
    </row>
    <row r="825" spans="1:1" x14ac:dyDescent="0.25">
      <c r="A825" t="s">
        <v>8062</v>
      </c>
    </row>
    <row r="826" spans="1:1" x14ac:dyDescent="0.25">
      <c r="A826" t="s">
        <v>8063</v>
      </c>
    </row>
    <row r="827" spans="1:1" x14ac:dyDescent="0.25">
      <c r="A827" t="s">
        <v>8064</v>
      </c>
    </row>
    <row r="828" spans="1:1" x14ac:dyDescent="0.25">
      <c r="A828" t="s">
        <v>8065</v>
      </c>
    </row>
    <row r="829" spans="1:1" x14ac:dyDescent="0.25">
      <c r="A829" t="s">
        <v>8066</v>
      </c>
    </row>
    <row r="830" spans="1:1" x14ac:dyDescent="0.25">
      <c r="A830" t="s">
        <v>8067</v>
      </c>
    </row>
    <row r="831" spans="1:1" x14ac:dyDescent="0.25">
      <c r="A831" t="s">
        <v>8068</v>
      </c>
    </row>
    <row r="832" spans="1:1" x14ac:dyDescent="0.25">
      <c r="A832" t="s">
        <v>8069</v>
      </c>
    </row>
    <row r="833" spans="1:1" x14ac:dyDescent="0.25">
      <c r="A833" t="s">
        <v>8070</v>
      </c>
    </row>
    <row r="834" spans="1:1" x14ac:dyDescent="0.25">
      <c r="A834" t="s">
        <v>8071</v>
      </c>
    </row>
    <row r="835" spans="1:1" x14ac:dyDescent="0.25">
      <c r="A835" t="s">
        <v>8072</v>
      </c>
    </row>
    <row r="836" spans="1:1" x14ac:dyDescent="0.25">
      <c r="A836" t="s">
        <v>8073</v>
      </c>
    </row>
    <row r="837" spans="1:1" x14ac:dyDescent="0.25">
      <c r="A837" t="s">
        <v>8074</v>
      </c>
    </row>
    <row r="838" spans="1:1" x14ac:dyDescent="0.25">
      <c r="A838" t="s">
        <v>8075</v>
      </c>
    </row>
    <row r="839" spans="1:1" x14ac:dyDescent="0.25">
      <c r="A839" t="s">
        <v>8076</v>
      </c>
    </row>
    <row r="840" spans="1:1" x14ac:dyDescent="0.25">
      <c r="A840" t="s">
        <v>8077</v>
      </c>
    </row>
    <row r="841" spans="1:1" x14ac:dyDescent="0.25">
      <c r="A841" t="s">
        <v>8078</v>
      </c>
    </row>
    <row r="842" spans="1:1" x14ac:dyDescent="0.25">
      <c r="A842" t="s">
        <v>8079</v>
      </c>
    </row>
    <row r="843" spans="1:1" x14ac:dyDescent="0.25">
      <c r="A843" t="s">
        <v>8080</v>
      </c>
    </row>
    <row r="844" spans="1:1" x14ac:dyDescent="0.25">
      <c r="A844" t="s">
        <v>8081</v>
      </c>
    </row>
    <row r="845" spans="1:1" x14ac:dyDescent="0.25">
      <c r="A845" t="s">
        <v>8082</v>
      </c>
    </row>
    <row r="846" spans="1:1" x14ac:dyDescent="0.25">
      <c r="A846" t="s">
        <v>8083</v>
      </c>
    </row>
    <row r="847" spans="1:1" x14ac:dyDescent="0.25">
      <c r="A847" t="s">
        <v>8084</v>
      </c>
    </row>
    <row r="848" spans="1:1" x14ac:dyDescent="0.25">
      <c r="A848" t="s">
        <v>8085</v>
      </c>
    </row>
    <row r="849" spans="1:1" x14ac:dyDescent="0.25">
      <c r="A849" t="s">
        <v>8086</v>
      </c>
    </row>
    <row r="850" spans="1:1" x14ac:dyDescent="0.25">
      <c r="A850" t="s">
        <v>8087</v>
      </c>
    </row>
    <row r="851" spans="1:1" x14ac:dyDescent="0.25">
      <c r="A851" t="s">
        <v>8088</v>
      </c>
    </row>
    <row r="852" spans="1:1" x14ac:dyDescent="0.25">
      <c r="A852" t="s">
        <v>8089</v>
      </c>
    </row>
    <row r="853" spans="1:1" x14ac:dyDescent="0.25">
      <c r="A853" t="s">
        <v>8090</v>
      </c>
    </row>
    <row r="854" spans="1:1" x14ac:dyDescent="0.25">
      <c r="A854" t="s">
        <v>8091</v>
      </c>
    </row>
    <row r="855" spans="1:1" x14ac:dyDescent="0.25">
      <c r="A855" t="s">
        <v>8092</v>
      </c>
    </row>
    <row r="856" spans="1:1" x14ac:dyDescent="0.25">
      <c r="A856" t="s">
        <v>8093</v>
      </c>
    </row>
    <row r="857" spans="1:1" x14ac:dyDescent="0.25">
      <c r="A857" t="s">
        <v>8094</v>
      </c>
    </row>
    <row r="858" spans="1:1" x14ac:dyDescent="0.25">
      <c r="A858" t="s">
        <v>8095</v>
      </c>
    </row>
    <row r="859" spans="1:1" x14ac:dyDescent="0.25">
      <c r="A859" t="s">
        <v>8096</v>
      </c>
    </row>
    <row r="860" spans="1:1" x14ac:dyDescent="0.25">
      <c r="A860" t="s">
        <v>8097</v>
      </c>
    </row>
    <row r="861" spans="1:1" x14ac:dyDescent="0.25">
      <c r="A861" t="s">
        <v>8098</v>
      </c>
    </row>
    <row r="862" spans="1:1" x14ac:dyDescent="0.25">
      <c r="A862" t="s">
        <v>8099</v>
      </c>
    </row>
    <row r="863" spans="1:1" x14ac:dyDescent="0.25">
      <c r="A863" t="s">
        <v>8100</v>
      </c>
    </row>
    <row r="864" spans="1:1" x14ac:dyDescent="0.25">
      <c r="A864" t="s">
        <v>8101</v>
      </c>
    </row>
    <row r="865" spans="1:1" x14ac:dyDescent="0.25">
      <c r="A865" t="s">
        <v>8102</v>
      </c>
    </row>
    <row r="866" spans="1:1" x14ac:dyDescent="0.25">
      <c r="A866" t="s">
        <v>8103</v>
      </c>
    </row>
    <row r="867" spans="1:1" x14ac:dyDescent="0.25">
      <c r="A867" t="s">
        <v>8104</v>
      </c>
    </row>
    <row r="868" spans="1:1" x14ac:dyDescent="0.25">
      <c r="A868" t="s">
        <v>8105</v>
      </c>
    </row>
    <row r="869" spans="1:1" x14ac:dyDescent="0.25">
      <c r="A869" t="s">
        <v>8106</v>
      </c>
    </row>
    <row r="870" spans="1:1" x14ac:dyDescent="0.25">
      <c r="A870" t="s">
        <v>8107</v>
      </c>
    </row>
    <row r="871" spans="1:1" x14ac:dyDescent="0.25">
      <c r="A871" t="s">
        <v>8108</v>
      </c>
    </row>
    <row r="872" spans="1:1" x14ac:dyDescent="0.25">
      <c r="A872" t="s">
        <v>8109</v>
      </c>
    </row>
    <row r="873" spans="1:1" x14ac:dyDescent="0.25">
      <c r="A873" t="s">
        <v>8110</v>
      </c>
    </row>
    <row r="874" spans="1:1" x14ac:dyDescent="0.25">
      <c r="A874" t="s">
        <v>8111</v>
      </c>
    </row>
    <row r="875" spans="1:1" x14ac:dyDescent="0.25">
      <c r="A875" t="s">
        <v>8112</v>
      </c>
    </row>
    <row r="876" spans="1:1" x14ac:dyDescent="0.25">
      <c r="A876" t="s">
        <v>8113</v>
      </c>
    </row>
    <row r="877" spans="1:1" x14ac:dyDescent="0.25">
      <c r="A877" t="s">
        <v>8114</v>
      </c>
    </row>
    <row r="878" spans="1:1" x14ac:dyDescent="0.25">
      <c r="A878" t="s">
        <v>8115</v>
      </c>
    </row>
    <row r="879" spans="1:1" x14ac:dyDescent="0.25">
      <c r="A879" t="s">
        <v>8116</v>
      </c>
    </row>
    <row r="880" spans="1:1" x14ac:dyDescent="0.25">
      <c r="A880" t="s">
        <v>8117</v>
      </c>
    </row>
    <row r="881" spans="1:1" x14ac:dyDescent="0.25">
      <c r="A881" t="s">
        <v>8118</v>
      </c>
    </row>
    <row r="882" spans="1:1" x14ac:dyDescent="0.25">
      <c r="A882" t="s">
        <v>8119</v>
      </c>
    </row>
    <row r="883" spans="1:1" x14ac:dyDescent="0.25">
      <c r="A883" t="s">
        <v>8120</v>
      </c>
    </row>
    <row r="884" spans="1:1" x14ac:dyDescent="0.25">
      <c r="A884" t="s">
        <v>8121</v>
      </c>
    </row>
    <row r="885" spans="1:1" x14ac:dyDescent="0.25">
      <c r="A885" t="s">
        <v>8122</v>
      </c>
    </row>
    <row r="886" spans="1:1" x14ac:dyDescent="0.25">
      <c r="A886" t="s">
        <v>8123</v>
      </c>
    </row>
    <row r="887" spans="1:1" x14ac:dyDescent="0.25">
      <c r="A887" t="s">
        <v>8124</v>
      </c>
    </row>
    <row r="888" spans="1:1" x14ac:dyDescent="0.25">
      <c r="A888" t="s">
        <v>8125</v>
      </c>
    </row>
    <row r="889" spans="1:1" x14ac:dyDescent="0.25">
      <c r="A889" t="s">
        <v>8126</v>
      </c>
    </row>
    <row r="890" spans="1:1" x14ac:dyDescent="0.25">
      <c r="A890" t="s">
        <v>8127</v>
      </c>
    </row>
    <row r="891" spans="1:1" x14ac:dyDescent="0.25">
      <c r="A891" t="s">
        <v>8128</v>
      </c>
    </row>
    <row r="892" spans="1:1" x14ac:dyDescent="0.25">
      <c r="A892" t="s">
        <v>8129</v>
      </c>
    </row>
    <row r="893" spans="1:1" x14ac:dyDescent="0.25">
      <c r="A893" t="s">
        <v>8130</v>
      </c>
    </row>
    <row r="894" spans="1:1" x14ac:dyDescent="0.25">
      <c r="A894" t="s">
        <v>8131</v>
      </c>
    </row>
    <row r="895" spans="1:1" x14ac:dyDescent="0.25">
      <c r="A895" t="s">
        <v>8132</v>
      </c>
    </row>
    <row r="896" spans="1:1" x14ac:dyDescent="0.25">
      <c r="A896" t="s">
        <v>8133</v>
      </c>
    </row>
    <row r="897" spans="1:1" x14ac:dyDescent="0.25">
      <c r="A897" t="s">
        <v>8134</v>
      </c>
    </row>
    <row r="898" spans="1:1" x14ac:dyDescent="0.25">
      <c r="A898" t="s">
        <v>8135</v>
      </c>
    </row>
    <row r="899" spans="1:1" x14ac:dyDescent="0.25">
      <c r="A899" t="s">
        <v>8136</v>
      </c>
    </row>
    <row r="900" spans="1:1" x14ac:dyDescent="0.25">
      <c r="A900" t="s">
        <v>8137</v>
      </c>
    </row>
    <row r="901" spans="1:1" x14ac:dyDescent="0.25">
      <c r="A901" t="s">
        <v>8138</v>
      </c>
    </row>
    <row r="902" spans="1:1" x14ac:dyDescent="0.25">
      <c r="A902" t="s">
        <v>8139</v>
      </c>
    </row>
    <row r="903" spans="1:1" x14ac:dyDescent="0.25">
      <c r="A903" t="s">
        <v>8140</v>
      </c>
    </row>
    <row r="904" spans="1:1" x14ac:dyDescent="0.25">
      <c r="A904" t="s">
        <v>8141</v>
      </c>
    </row>
    <row r="905" spans="1:1" x14ac:dyDescent="0.25">
      <c r="A905" t="s">
        <v>8142</v>
      </c>
    </row>
    <row r="906" spans="1:1" x14ac:dyDescent="0.25">
      <c r="A906" t="s">
        <v>8143</v>
      </c>
    </row>
    <row r="907" spans="1:1" x14ac:dyDescent="0.25">
      <c r="A907" t="s">
        <v>8144</v>
      </c>
    </row>
    <row r="908" spans="1:1" x14ac:dyDescent="0.25">
      <c r="A908" t="s">
        <v>8145</v>
      </c>
    </row>
    <row r="909" spans="1:1" x14ac:dyDescent="0.25">
      <c r="A909" t="s">
        <v>8146</v>
      </c>
    </row>
    <row r="910" spans="1:1" x14ac:dyDescent="0.25">
      <c r="A910" t="s">
        <v>8147</v>
      </c>
    </row>
    <row r="911" spans="1:1" x14ac:dyDescent="0.25">
      <c r="A911" t="s">
        <v>8148</v>
      </c>
    </row>
    <row r="912" spans="1:1" x14ac:dyDescent="0.25">
      <c r="A912" t="s">
        <v>8149</v>
      </c>
    </row>
    <row r="913" spans="1:1" x14ac:dyDescent="0.25">
      <c r="A913" t="s">
        <v>8150</v>
      </c>
    </row>
    <row r="914" spans="1:1" x14ac:dyDescent="0.25">
      <c r="A914" t="s">
        <v>8151</v>
      </c>
    </row>
    <row r="915" spans="1:1" x14ac:dyDescent="0.25">
      <c r="A915" t="s">
        <v>8152</v>
      </c>
    </row>
    <row r="916" spans="1:1" x14ac:dyDescent="0.25">
      <c r="A916" t="s">
        <v>8153</v>
      </c>
    </row>
    <row r="917" spans="1:1" x14ac:dyDescent="0.25">
      <c r="A917" t="s">
        <v>8154</v>
      </c>
    </row>
    <row r="918" spans="1:1" x14ac:dyDescent="0.25">
      <c r="A918" t="s">
        <v>8155</v>
      </c>
    </row>
    <row r="919" spans="1:1" x14ac:dyDescent="0.25">
      <c r="A919" t="s">
        <v>8156</v>
      </c>
    </row>
    <row r="920" spans="1:1" x14ac:dyDescent="0.25">
      <c r="A920" t="s">
        <v>8157</v>
      </c>
    </row>
    <row r="921" spans="1:1" x14ac:dyDescent="0.25">
      <c r="A921" t="s">
        <v>8158</v>
      </c>
    </row>
    <row r="922" spans="1:1" x14ac:dyDescent="0.25">
      <c r="A922" t="s">
        <v>8159</v>
      </c>
    </row>
    <row r="923" spans="1:1" x14ac:dyDescent="0.25">
      <c r="A923" t="s">
        <v>8160</v>
      </c>
    </row>
    <row r="924" spans="1:1" x14ac:dyDescent="0.25">
      <c r="A924" t="s">
        <v>8161</v>
      </c>
    </row>
    <row r="925" spans="1:1" x14ac:dyDescent="0.25">
      <c r="A925" t="s">
        <v>8162</v>
      </c>
    </row>
    <row r="926" spans="1:1" x14ac:dyDescent="0.25">
      <c r="A926" t="s">
        <v>8163</v>
      </c>
    </row>
    <row r="927" spans="1:1" x14ac:dyDescent="0.25">
      <c r="A927" t="s">
        <v>8164</v>
      </c>
    </row>
    <row r="928" spans="1:1" x14ac:dyDescent="0.25">
      <c r="A928" t="s">
        <v>8165</v>
      </c>
    </row>
    <row r="929" spans="1:1" x14ac:dyDescent="0.25">
      <c r="A929" t="s">
        <v>8166</v>
      </c>
    </row>
    <row r="930" spans="1:1" x14ac:dyDescent="0.25">
      <c r="A930" t="s">
        <v>8167</v>
      </c>
    </row>
    <row r="931" spans="1:1" x14ac:dyDescent="0.25">
      <c r="A931" t="s">
        <v>8168</v>
      </c>
    </row>
    <row r="932" spans="1:1" x14ac:dyDescent="0.25">
      <c r="A932" t="s">
        <v>8169</v>
      </c>
    </row>
    <row r="933" spans="1:1" x14ac:dyDescent="0.25">
      <c r="A933" t="s">
        <v>8170</v>
      </c>
    </row>
    <row r="934" spans="1:1" x14ac:dyDescent="0.25">
      <c r="A934" t="s">
        <v>8171</v>
      </c>
    </row>
    <row r="935" spans="1:1" x14ac:dyDescent="0.25">
      <c r="A935" t="s">
        <v>8172</v>
      </c>
    </row>
    <row r="936" spans="1:1" x14ac:dyDescent="0.25">
      <c r="A936" t="s">
        <v>8173</v>
      </c>
    </row>
    <row r="937" spans="1:1" x14ac:dyDescent="0.25">
      <c r="A937" t="s">
        <v>8174</v>
      </c>
    </row>
    <row r="938" spans="1:1" x14ac:dyDescent="0.25">
      <c r="A938" t="s">
        <v>8175</v>
      </c>
    </row>
    <row r="939" spans="1:1" x14ac:dyDescent="0.25">
      <c r="A939" t="s">
        <v>8176</v>
      </c>
    </row>
    <row r="940" spans="1:1" x14ac:dyDescent="0.25">
      <c r="A940" t="s">
        <v>8177</v>
      </c>
    </row>
    <row r="941" spans="1:1" x14ac:dyDescent="0.25">
      <c r="A941" t="s">
        <v>7521</v>
      </c>
    </row>
    <row r="942" spans="1:1" x14ac:dyDescent="0.25">
      <c r="A942" t="s">
        <v>8178</v>
      </c>
    </row>
    <row r="943" spans="1:1" x14ac:dyDescent="0.25">
      <c r="A943" t="s">
        <v>8179</v>
      </c>
    </row>
    <row r="944" spans="1:1" x14ac:dyDescent="0.25">
      <c r="A944" t="s">
        <v>8180</v>
      </c>
    </row>
    <row r="945" spans="1:1" x14ac:dyDescent="0.25">
      <c r="A945" t="s">
        <v>8181</v>
      </c>
    </row>
    <row r="946" spans="1:1" x14ac:dyDescent="0.25">
      <c r="A946" t="s">
        <v>8182</v>
      </c>
    </row>
    <row r="947" spans="1:1" x14ac:dyDescent="0.25">
      <c r="A947" t="s">
        <v>8183</v>
      </c>
    </row>
    <row r="948" spans="1:1" x14ac:dyDescent="0.25">
      <c r="A948" t="s">
        <v>8184</v>
      </c>
    </row>
    <row r="949" spans="1:1" x14ac:dyDescent="0.25">
      <c r="A949" t="s">
        <v>8185</v>
      </c>
    </row>
    <row r="950" spans="1:1" x14ac:dyDescent="0.25">
      <c r="A950" t="s">
        <v>8186</v>
      </c>
    </row>
    <row r="951" spans="1:1" x14ac:dyDescent="0.25">
      <c r="A951" t="s">
        <v>8187</v>
      </c>
    </row>
    <row r="952" spans="1:1" x14ac:dyDescent="0.25">
      <c r="A952" t="s">
        <v>8188</v>
      </c>
    </row>
    <row r="953" spans="1:1" x14ac:dyDescent="0.25">
      <c r="A953" t="s">
        <v>8189</v>
      </c>
    </row>
    <row r="954" spans="1:1" x14ac:dyDescent="0.25">
      <c r="A954" t="s">
        <v>8190</v>
      </c>
    </row>
    <row r="955" spans="1:1" x14ac:dyDescent="0.25">
      <c r="A955" t="s">
        <v>8191</v>
      </c>
    </row>
    <row r="956" spans="1:1" x14ac:dyDescent="0.25">
      <c r="A956" t="s">
        <v>8192</v>
      </c>
    </row>
    <row r="957" spans="1:1" x14ac:dyDescent="0.25">
      <c r="A957" t="s">
        <v>8193</v>
      </c>
    </row>
    <row r="958" spans="1:1" x14ac:dyDescent="0.25">
      <c r="A958" t="s">
        <v>8194</v>
      </c>
    </row>
    <row r="959" spans="1:1" x14ac:dyDescent="0.25">
      <c r="A959" t="s">
        <v>8195</v>
      </c>
    </row>
    <row r="960" spans="1:1" x14ac:dyDescent="0.25">
      <c r="A960" t="s">
        <v>8196</v>
      </c>
    </row>
    <row r="961" spans="1:1" x14ac:dyDescent="0.25">
      <c r="A961" t="s">
        <v>8197</v>
      </c>
    </row>
    <row r="962" spans="1:1" x14ac:dyDescent="0.25">
      <c r="A962" t="s">
        <v>8198</v>
      </c>
    </row>
    <row r="963" spans="1:1" x14ac:dyDescent="0.25">
      <c r="A963" t="s">
        <v>8199</v>
      </c>
    </row>
    <row r="964" spans="1:1" x14ac:dyDescent="0.25">
      <c r="A964" t="s">
        <v>8200</v>
      </c>
    </row>
    <row r="965" spans="1:1" x14ac:dyDescent="0.25">
      <c r="A965" t="s">
        <v>8201</v>
      </c>
    </row>
    <row r="966" spans="1:1" x14ac:dyDescent="0.25">
      <c r="A966" t="s">
        <v>8202</v>
      </c>
    </row>
    <row r="967" spans="1:1" x14ac:dyDescent="0.25">
      <c r="A967" t="s">
        <v>8203</v>
      </c>
    </row>
    <row r="968" spans="1:1" x14ac:dyDescent="0.25">
      <c r="A968" t="s">
        <v>8204</v>
      </c>
    </row>
    <row r="969" spans="1:1" x14ac:dyDescent="0.25">
      <c r="A969" t="s">
        <v>8205</v>
      </c>
    </row>
    <row r="970" spans="1:1" x14ac:dyDescent="0.25">
      <c r="A970" t="s">
        <v>8206</v>
      </c>
    </row>
    <row r="971" spans="1:1" x14ac:dyDescent="0.25">
      <c r="A971" t="s">
        <v>8207</v>
      </c>
    </row>
    <row r="972" spans="1:1" x14ac:dyDescent="0.25">
      <c r="A972" t="s">
        <v>8208</v>
      </c>
    </row>
    <row r="973" spans="1:1" x14ac:dyDescent="0.25">
      <c r="A973" t="s">
        <v>8209</v>
      </c>
    </row>
    <row r="974" spans="1:1" x14ac:dyDescent="0.25">
      <c r="A974" t="s">
        <v>8210</v>
      </c>
    </row>
    <row r="975" spans="1:1" x14ac:dyDescent="0.25">
      <c r="A975" t="s">
        <v>8211</v>
      </c>
    </row>
    <row r="976" spans="1:1" x14ac:dyDescent="0.25">
      <c r="A976" t="s">
        <v>8212</v>
      </c>
    </row>
    <row r="977" spans="1:1" x14ac:dyDescent="0.25">
      <c r="A977" t="s">
        <v>8213</v>
      </c>
    </row>
    <row r="978" spans="1:1" x14ac:dyDescent="0.25">
      <c r="A978" t="s">
        <v>8214</v>
      </c>
    </row>
    <row r="979" spans="1:1" x14ac:dyDescent="0.25">
      <c r="A979" t="s">
        <v>8215</v>
      </c>
    </row>
    <row r="980" spans="1:1" x14ac:dyDescent="0.25">
      <c r="A980" t="s">
        <v>8216</v>
      </c>
    </row>
    <row r="981" spans="1:1" x14ac:dyDescent="0.25">
      <c r="A981" t="s">
        <v>8217</v>
      </c>
    </row>
    <row r="982" spans="1:1" x14ac:dyDescent="0.25">
      <c r="A982" t="s">
        <v>8218</v>
      </c>
    </row>
    <row r="983" spans="1:1" x14ac:dyDescent="0.25">
      <c r="A983" t="s">
        <v>8219</v>
      </c>
    </row>
    <row r="984" spans="1:1" x14ac:dyDescent="0.25">
      <c r="A984" t="s">
        <v>8220</v>
      </c>
    </row>
    <row r="985" spans="1:1" x14ac:dyDescent="0.25">
      <c r="A985" t="s">
        <v>8221</v>
      </c>
    </row>
    <row r="986" spans="1:1" x14ac:dyDescent="0.25">
      <c r="A986" t="s">
        <v>8222</v>
      </c>
    </row>
    <row r="987" spans="1:1" x14ac:dyDescent="0.25">
      <c r="A987" t="s">
        <v>8223</v>
      </c>
    </row>
    <row r="988" spans="1:1" x14ac:dyDescent="0.25">
      <c r="A988" t="s">
        <v>8224</v>
      </c>
    </row>
    <row r="989" spans="1:1" x14ac:dyDescent="0.25">
      <c r="A989" t="s">
        <v>8225</v>
      </c>
    </row>
    <row r="990" spans="1:1" x14ac:dyDescent="0.25">
      <c r="A990" t="s">
        <v>8226</v>
      </c>
    </row>
    <row r="991" spans="1:1" x14ac:dyDescent="0.25">
      <c r="A991" t="s">
        <v>8227</v>
      </c>
    </row>
    <row r="992" spans="1:1" x14ac:dyDescent="0.25">
      <c r="A992" t="s">
        <v>8228</v>
      </c>
    </row>
    <row r="993" spans="1:1" x14ac:dyDescent="0.25">
      <c r="A993" t="s">
        <v>8229</v>
      </c>
    </row>
    <row r="994" spans="1:1" x14ac:dyDescent="0.25">
      <c r="A994" t="s">
        <v>8230</v>
      </c>
    </row>
    <row r="995" spans="1:1" x14ac:dyDescent="0.25">
      <c r="A995" t="s">
        <v>8231</v>
      </c>
    </row>
    <row r="996" spans="1:1" x14ac:dyDescent="0.25">
      <c r="A996" t="s">
        <v>8232</v>
      </c>
    </row>
    <row r="997" spans="1:1" x14ac:dyDescent="0.25">
      <c r="A997" t="s">
        <v>8233</v>
      </c>
    </row>
    <row r="998" spans="1:1" x14ac:dyDescent="0.25">
      <c r="A998" t="s">
        <v>8234</v>
      </c>
    </row>
    <row r="999" spans="1:1" x14ac:dyDescent="0.25">
      <c r="A999" t="s">
        <v>8235</v>
      </c>
    </row>
    <row r="1000" spans="1:1" x14ac:dyDescent="0.25">
      <c r="A1000" t="s">
        <v>8236</v>
      </c>
    </row>
    <row r="1001" spans="1:1" x14ac:dyDescent="0.25">
      <c r="A1001" t="s">
        <v>8237</v>
      </c>
    </row>
    <row r="1002" spans="1:1" x14ac:dyDescent="0.25">
      <c r="A1002" t="s">
        <v>8238</v>
      </c>
    </row>
    <row r="1003" spans="1:1" x14ac:dyDescent="0.25">
      <c r="A1003" t="s">
        <v>8239</v>
      </c>
    </row>
    <row r="1004" spans="1:1" x14ac:dyDescent="0.25">
      <c r="A1004" t="s">
        <v>8240</v>
      </c>
    </row>
    <row r="1005" spans="1:1" x14ac:dyDescent="0.25">
      <c r="A1005" t="s">
        <v>8241</v>
      </c>
    </row>
    <row r="1006" spans="1:1" x14ac:dyDescent="0.25">
      <c r="A1006" t="s">
        <v>8242</v>
      </c>
    </row>
    <row r="1007" spans="1:1" x14ac:dyDescent="0.25">
      <c r="A1007" t="s">
        <v>8243</v>
      </c>
    </row>
    <row r="1008" spans="1:1" x14ac:dyDescent="0.25">
      <c r="A1008" t="s">
        <v>8244</v>
      </c>
    </row>
    <row r="1009" spans="1:1" x14ac:dyDescent="0.25">
      <c r="A1009" t="s">
        <v>8245</v>
      </c>
    </row>
    <row r="1010" spans="1:1" x14ac:dyDescent="0.25">
      <c r="A1010" t="s">
        <v>8246</v>
      </c>
    </row>
    <row r="1011" spans="1:1" x14ac:dyDescent="0.25">
      <c r="A1011" t="s">
        <v>8247</v>
      </c>
    </row>
    <row r="1012" spans="1:1" x14ac:dyDescent="0.25">
      <c r="A1012" t="s">
        <v>8248</v>
      </c>
    </row>
    <row r="1013" spans="1:1" x14ac:dyDescent="0.25">
      <c r="A1013" t="s">
        <v>8249</v>
      </c>
    </row>
    <row r="1014" spans="1:1" x14ac:dyDescent="0.25">
      <c r="A1014" t="s">
        <v>8250</v>
      </c>
    </row>
    <row r="1015" spans="1:1" x14ac:dyDescent="0.25">
      <c r="A1015" t="s">
        <v>8251</v>
      </c>
    </row>
    <row r="1016" spans="1:1" x14ac:dyDescent="0.25">
      <c r="A1016" t="s">
        <v>8252</v>
      </c>
    </row>
    <row r="1017" spans="1:1" x14ac:dyDescent="0.25">
      <c r="A1017" t="s">
        <v>8253</v>
      </c>
    </row>
    <row r="1018" spans="1:1" x14ac:dyDescent="0.25">
      <c r="A1018" t="s">
        <v>8254</v>
      </c>
    </row>
    <row r="1019" spans="1:1" x14ac:dyDescent="0.25">
      <c r="A1019" t="s">
        <v>8255</v>
      </c>
    </row>
    <row r="1020" spans="1:1" x14ac:dyDescent="0.25">
      <c r="A1020" t="s">
        <v>8256</v>
      </c>
    </row>
    <row r="1021" spans="1:1" x14ac:dyDescent="0.25">
      <c r="A1021" t="s">
        <v>8257</v>
      </c>
    </row>
    <row r="1022" spans="1:1" x14ac:dyDescent="0.25">
      <c r="A1022" t="s">
        <v>8258</v>
      </c>
    </row>
    <row r="1023" spans="1:1" x14ac:dyDescent="0.25">
      <c r="A1023" t="s">
        <v>8259</v>
      </c>
    </row>
    <row r="1024" spans="1:1" x14ac:dyDescent="0.25">
      <c r="A1024" t="s">
        <v>8260</v>
      </c>
    </row>
    <row r="1025" spans="1:1" x14ac:dyDescent="0.25">
      <c r="A1025" t="s">
        <v>8261</v>
      </c>
    </row>
    <row r="1026" spans="1:1" x14ac:dyDescent="0.25">
      <c r="A1026" t="s">
        <v>8262</v>
      </c>
    </row>
    <row r="1027" spans="1:1" x14ac:dyDescent="0.25">
      <c r="A1027" t="s">
        <v>8263</v>
      </c>
    </row>
    <row r="1028" spans="1:1" x14ac:dyDescent="0.25">
      <c r="A1028" t="s">
        <v>8264</v>
      </c>
    </row>
    <row r="1029" spans="1:1" x14ac:dyDescent="0.25">
      <c r="A1029" t="s">
        <v>8265</v>
      </c>
    </row>
    <row r="1030" spans="1:1" x14ac:dyDescent="0.25">
      <c r="A1030" t="s">
        <v>8266</v>
      </c>
    </row>
    <row r="1031" spans="1:1" x14ac:dyDescent="0.25">
      <c r="A1031" t="s">
        <v>8267</v>
      </c>
    </row>
    <row r="1032" spans="1:1" x14ac:dyDescent="0.25">
      <c r="A1032" t="s">
        <v>8268</v>
      </c>
    </row>
    <row r="1033" spans="1:1" x14ac:dyDescent="0.25">
      <c r="A1033" t="s">
        <v>8269</v>
      </c>
    </row>
    <row r="1034" spans="1:1" x14ac:dyDescent="0.25">
      <c r="A1034" t="s">
        <v>8270</v>
      </c>
    </row>
    <row r="1035" spans="1:1" x14ac:dyDescent="0.25">
      <c r="A1035" t="s">
        <v>8271</v>
      </c>
    </row>
    <row r="1036" spans="1:1" x14ac:dyDescent="0.25">
      <c r="A1036" t="s">
        <v>8272</v>
      </c>
    </row>
    <row r="1037" spans="1:1" x14ac:dyDescent="0.25">
      <c r="A1037" t="s">
        <v>8273</v>
      </c>
    </row>
    <row r="1038" spans="1:1" x14ac:dyDescent="0.25">
      <c r="A1038" t="s">
        <v>8274</v>
      </c>
    </row>
    <row r="1039" spans="1:1" x14ac:dyDescent="0.25">
      <c r="A1039" t="s">
        <v>8275</v>
      </c>
    </row>
    <row r="1040" spans="1:1" x14ac:dyDescent="0.25">
      <c r="A1040" t="s">
        <v>8276</v>
      </c>
    </row>
    <row r="1041" spans="1:1" x14ac:dyDescent="0.25">
      <c r="A1041" t="s">
        <v>8277</v>
      </c>
    </row>
    <row r="1042" spans="1:1" x14ac:dyDescent="0.25">
      <c r="A1042" t="s">
        <v>8278</v>
      </c>
    </row>
    <row r="1043" spans="1:1" x14ac:dyDescent="0.25">
      <c r="A1043" t="s">
        <v>8279</v>
      </c>
    </row>
    <row r="1044" spans="1:1" x14ac:dyDescent="0.25">
      <c r="A1044" t="s">
        <v>8280</v>
      </c>
    </row>
    <row r="1045" spans="1:1" x14ac:dyDescent="0.25">
      <c r="A1045" t="s">
        <v>8281</v>
      </c>
    </row>
    <row r="1046" spans="1:1" x14ac:dyDescent="0.25">
      <c r="A1046" t="s">
        <v>8282</v>
      </c>
    </row>
    <row r="1047" spans="1:1" x14ac:dyDescent="0.25">
      <c r="A1047" t="s">
        <v>8283</v>
      </c>
    </row>
    <row r="1048" spans="1:1" x14ac:dyDescent="0.25">
      <c r="A1048" t="s">
        <v>8284</v>
      </c>
    </row>
    <row r="1049" spans="1:1" x14ac:dyDescent="0.25">
      <c r="A1049" t="s">
        <v>8285</v>
      </c>
    </row>
    <row r="1050" spans="1:1" x14ac:dyDescent="0.25">
      <c r="A1050" t="s">
        <v>8286</v>
      </c>
    </row>
    <row r="1051" spans="1:1" x14ac:dyDescent="0.25">
      <c r="A1051" t="s">
        <v>8287</v>
      </c>
    </row>
    <row r="1052" spans="1:1" x14ac:dyDescent="0.25">
      <c r="A1052" t="s">
        <v>8288</v>
      </c>
    </row>
    <row r="1053" spans="1:1" x14ac:dyDescent="0.25">
      <c r="A1053" t="s">
        <v>8289</v>
      </c>
    </row>
    <row r="1054" spans="1:1" x14ac:dyDescent="0.25">
      <c r="A1054" t="s">
        <v>8290</v>
      </c>
    </row>
    <row r="1055" spans="1:1" x14ac:dyDescent="0.25">
      <c r="A1055" t="s">
        <v>8291</v>
      </c>
    </row>
    <row r="1056" spans="1:1" x14ac:dyDescent="0.25">
      <c r="A1056" t="s">
        <v>8292</v>
      </c>
    </row>
    <row r="1057" spans="1:1" x14ac:dyDescent="0.25">
      <c r="A1057" t="s">
        <v>8293</v>
      </c>
    </row>
    <row r="1058" spans="1:1" x14ac:dyDescent="0.25">
      <c r="A1058" t="s">
        <v>8294</v>
      </c>
    </row>
    <row r="1059" spans="1:1" x14ac:dyDescent="0.25">
      <c r="A1059" t="s">
        <v>8295</v>
      </c>
    </row>
    <row r="1060" spans="1:1" x14ac:dyDescent="0.25">
      <c r="A1060" t="s">
        <v>8296</v>
      </c>
    </row>
    <row r="1061" spans="1:1" x14ac:dyDescent="0.25">
      <c r="A1061" t="s">
        <v>8297</v>
      </c>
    </row>
    <row r="1062" spans="1:1" x14ac:dyDescent="0.25">
      <c r="A1062" t="s">
        <v>8298</v>
      </c>
    </row>
    <row r="1063" spans="1:1" x14ac:dyDescent="0.25">
      <c r="A1063" t="s">
        <v>8299</v>
      </c>
    </row>
    <row r="1064" spans="1:1" x14ac:dyDescent="0.25">
      <c r="A1064" t="s">
        <v>8300</v>
      </c>
    </row>
    <row r="1065" spans="1:1" x14ac:dyDescent="0.25">
      <c r="A1065" t="s">
        <v>8301</v>
      </c>
    </row>
    <row r="1066" spans="1:1" x14ac:dyDescent="0.25">
      <c r="A1066" t="s">
        <v>8302</v>
      </c>
    </row>
    <row r="1067" spans="1:1" x14ac:dyDescent="0.25">
      <c r="A1067" t="s">
        <v>8303</v>
      </c>
    </row>
    <row r="1068" spans="1:1" x14ac:dyDescent="0.25">
      <c r="A1068" t="s">
        <v>8304</v>
      </c>
    </row>
    <row r="1069" spans="1:1" x14ac:dyDescent="0.25">
      <c r="A1069" t="s">
        <v>8305</v>
      </c>
    </row>
    <row r="1070" spans="1:1" x14ac:dyDescent="0.25">
      <c r="A1070" t="s">
        <v>8306</v>
      </c>
    </row>
    <row r="1071" spans="1:1" x14ac:dyDescent="0.25">
      <c r="A1071" t="s">
        <v>8307</v>
      </c>
    </row>
    <row r="1072" spans="1:1" x14ac:dyDescent="0.25">
      <c r="A1072" t="s">
        <v>8308</v>
      </c>
    </row>
    <row r="1073" spans="1:1" x14ac:dyDescent="0.25">
      <c r="A1073" t="s">
        <v>8309</v>
      </c>
    </row>
    <row r="1074" spans="1:1" x14ac:dyDescent="0.25">
      <c r="A1074" t="s">
        <v>8310</v>
      </c>
    </row>
    <row r="1075" spans="1:1" x14ac:dyDescent="0.25">
      <c r="A1075" t="s">
        <v>8311</v>
      </c>
    </row>
    <row r="1076" spans="1:1" x14ac:dyDescent="0.25">
      <c r="A1076" t="s">
        <v>8312</v>
      </c>
    </row>
    <row r="1077" spans="1:1" x14ac:dyDescent="0.25">
      <c r="A1077" t="s">
        <v>8313</v>
      </c>
    </row>
    <row r="1078" spans="1:1" x14ac:dyDescent="0.25">
      <c r="A1078" t="s">
        <v>8314</v>
      </c>
    </row>
    <row r="1079" spans="1:1" x14ac:dyDescent="0.25">
      <c r="A1079" t="s">
        <v>8315</v>
      </c>
    </row>
    <row r="1080" spans="1:1" x14ac:dyDescent="0.25">
      <c r="A1080" t="s">
        <v>8316</v>
      </c>
    </row>
    <row r="1081" spans="1:1" x14ac:dyDescent="0.25">
      <c r="A1081" t="s">
        <v>8317</v>
      </c>
    </row>
    <row r="1082" spans="1:1" x14ac:dyDescent="0.25">
      <c r="A1082" t="s">
        <v>8318</v>
      </c>
    </row>
    <row r="1083" spans="1:1" x14ac:dyDescent="0.25">
      <c r="A1083" t="s">
        <v>8319</v>
      </c>
    </row>
    <row r="1084" spans="1:1" x14ac:dyDescent="0.25">
      <c r="A1084" t="s">
        <v>8320</v>
      </c>
    </row>
    <row r="1085" spans="1:1" x14ac:dyDescent="0.25">
      <c r="A1085" t="s">
        <v>8321</v>
      </c>
    </row>
    <row r="1086" spans="1:1" x14ac:dyDescent="0.25">
      <c r="A1086" t="s">
        <v>8322</v>
      </c>
    </row>
    <row r="1087" spans="1:1" x14ac:dyDescent="0.25">
      <c r="A1087" t="s">
        <v>8323</v>
      </c>
    </row>
    <row r="1088" spans="1:1" x14ac:dyDescent="0.25">
      <c r="A1088" t="s">
        <v>8324</v>
      </c>
    </row>
    <row r="1089" spans="1:1" x14ac:dyDescent="0.25">
      <c r="A1089" t="s">
        <v>8325</v>
      </c>
    </row>
    <row r="1090" spans="1:1" x14ac:dyDescent="0.25">
      <c r="A1090" t="s">
        <v>8326</v>
      </c>
    </row>
    <row r="1091" spans="1:1" x14ac:dyDescent="0.25">
      <c r="A1091" t="s">
        <v>8327</v>
      </c>
    </row>
    <row r="1092" spans="1:1" x14ac:dyDescent="0.25">
      <c r="A1092" t="s">
        <v>8328</v>
      </c>
    </row>
    <row r="1093" spans="1:1" x14ac:dyDescent="0.25">
      <c r="A1093" t="s">
        <v>8329</v>
      </c>
    </row>
    <row r="1094" spans="1:1" x14ac:dyDescent="0.25">
      <c r="A1094" t="s">
        <v>8330</v>
      </c>
    </row>
    <row r="1095" spans="1:1" x14ac:dyDescent="0.25">
      <c r="A1095" t="s">
        <v>8331</v>
      </c>
    </row>
    <row r="1096" spans="1:1" x14ac:dyDescent="0.25">
      <c r="A1096" t="s">
        <v>8332</v>
      </c>
    </row>
    <row r="1097" spans="1:1" x14ac:dyDescent="0.25">
      <c r="A1097" t="s">
        <v>8333</v>
      </c>
    </row>
    <row r="1098" spans="1:1" x14ac:dyDescent="0.25">
      <c r="A1098" t="s">
        <v>8334</v>
      </c>
    </row>
    <row r="1099" spans="1:1" x14ac:dyDescent="0.25">
      <c r="A1099" t="s">
        <v>8335</v>
      </c>
    </row>
    <row r="1100" spans="1:1" x14ac:dyDescent="0.25">
      <c r="A1100" t="s">
        <v>7528</v>
      </c>
    </row>
    <row r="1101" spans="1:1" x14ac:dyDescent="0.25">
      <c r="A1101" t="s">
        <v>8336</v>
      </c>
    </row>
    <row r="1102" spans="1:1" x14ac:dyDescent="0.25">
      <c r="A1102" t="s">
        <v>8337</v>
      </c>
    </row>
    <row r="1103" spans="1:1" x14ac:dyDescent="0.25">
      <c r="A1103" t="s">
        <v>8338</v>
      </c>
    </row>
    <row r="1104" spans="1:1" x14ac:dyDescent="0.25">
      <c r="A1104" t="s">
        <v>8339</v>
      </c>
    </row>
    <row r="1105" spans="1:1" x14ac:dyDescent="0.25">
      <c r="A1105" t="s">
        <v>8340</v>
      </c>
    </row>
    <row r="1106" spans="1:1" x14ac:dyDescent="0.25">
      <c r="A1106" t="s">
        <v>8341</v>
      </c>
    </row>
    <row r="1107" spans="1:1" x14ac:dyDescent="0.25">
      <c r="A1107" t="s">
        <v>8342</v>
      </c>
    </row>
    <row r="1108" spans="1:1" x14ac:dyDescent="0.25">
      <c r="A1108" t="s">
        <v>8343</v>
      </c>
    </row>
    <row r="1109" spans="1:1" x14ac:dyDescent="0.25">
      <c r="A1109" t="s">
        <v>8344</v>
      </c>
    </row>
    <row r="1110" spans="1:1" x14ac:dyDescent="0.25">
      <c r="A1110" t="s">
        <v>8345</v>
      </c>
    </row>
    <row r="1111" spans="1:1" x14ac:dyDescent="0.25">
      <c r="A1111" t="s">
        <v>8346</v>
      </c>
    </row>
    <row r="1112" spans="1:1" x14ac:dyDescent="0.25">
      <c r="A1112" t="s">
        <v>8347</v>
      </c>
    </row>
    <row r="1113" spans="1:1" x14ac:dyDescent="0.25">
      <c r="A1113" t="s">
        <v>8348</v>
      </c>
    </row>
    <row r="1114" spans="1:1" x14ac:dyDescent="0.25">
      <c r="A1114" t="s">
        <v>8349</v>
      </c>
    </row>
    <row r="1115" spans="1:1" x14ac:dyDescent="0.25">
      <c r="A1115" t="s">
        <v>8350</v>
      </c>
    </row>
    <row r="1116" spans="1:1" x14ac:dyDescent="0.25">
      <c r="A1116" t="s">
        <v>8351</v>
      </c>
    </row>
    <row r="1117" spans="1:1" x14ac:dyDescent="0.25">
      <c r="A1117" t="s">
        <v>8352</v>
      </c>
    </row>
    <row r="1118" spans="1:1" x14ac:dyDescent="0.25">
      <c r="A1118" t="s">
        <v>8353</v>
      </c>
    </row>
    <row r="1119" spans="1:1" x14ac:dyDescent="0.25">
      <c r="A1119" t="s">
        <v>8354</v>
      </c>
    </row>
    <row r="1120" spans="1:1" x14ac:dyDescent="0.25">
      <c r="A1120" t="s">
        <v>8355</v>
      </c>
    </row>
    <row r="1121" spans="1:1" x14ac:dyDescent="0.25">
      <c r="A1121" t="s">
        <v>8356</v>
      </c>
    </row>
    <row r="1122" spans="1:1" x14ac:dyDescent="0.25">
      <c r="A1122" t="s">
        <v>7354</v>
      </c>
    </row>
    <row r="1123" spans="1:1" x14ac:dyDescent="0.25">
      <c r="A1123" t="s">
        <v>8357</v>
      </c>
    </row>
    <row r="1124" spans="1:1" x14ac:dyDescent="0.25">
      <c r="A1124" t="s">
        <v>8358</v>
      </c>
    </row>
    <row r="1125" spans="1:1" x14ac:dyDescent="0.25">
      <c r="A1125" t="s">
        <v>8359</v>
      </c>
    </row>
    <row r="1126" spans="1:1" x14ac:dyDescent="0.25">
      <c r="A1126" t="s">
        <v>8360</v>
      </c>
    </row>
    <row r="1127" spans="1:1" x14ac:dyDescent="0.25">
      <c r="A1127" t="s">
        <v>8361</v>
      </c>
    </row>
    <row r="1128" spans="1:1" x14ac:dyDescent="0.25">
      <c r="A1128" t="s">
        <v>8362</v>
      </c>
    </row>
    <row r="1129" spans="1:1" x14ac:dyDescent="0.25">
      <c r="A1129" t="s">
        <v>8363</v>
      </c>
    </row>
    <row r="1130" spans="1:1" x14ac:dyDescent="0.25">
      <c r="A1130" t="s">
        <v>8364</v>
      </c>
    </row>
    <row r="1131" spans="1:1" x14ac:dyDescent="0.25">
      <c r="A1131" t="s">
        <v>8365</v>
      </c>
    </row>
    <row r="1132" spans="1:1" x14ac:dyDescent="0.25">
      <c r="A1132" t="s">
        <v>8366</v>
      </c>
    </row>
    <row r="1133" spans="1:1" x14ac:dyDescent="0.25">
      <c r="A1133" t="s">
        <v>8367</v>
      </c>
    </row>
    <row r="1134" spans="1:1" x14ac:dyDescent="0.25">
      <c r="A1134" t="s">
        <v>8368</v>
      </c>
    </row>
    <row r="1135" spans="1:1" x14ac:dyDescent="0.25">
      <c r="A1135" t="s">
        <v>8369</v>
      </c>
    </row>
    <row r="1136" spans="1:1" x14ac:dyDescent="0.25">
      <c r="A1136" t="s">
        <v>8370</v>
      </c>
    </row>
    <row r="1137" spans="1:1" x14ac:dyDescent="0.25">
      <c r="A1137" t="s">
        <v>8371</v>
      </c>
    </row>
    <row r="1138" spans="1:1" x14ac:dyDescent="0.25">
      <c r="A1138" t="s">
        <v>8372</v>
      </c>
    </row>
    <row r="1139" spans="1:1" x14ac:dyDescent="0.25">
      <c r="A1139" t="s">
        <v>8373</v>
      </c>
    </row>
    <row r="1140" spans="1:1" x14ac:dyDescent="0.25">
      <c r="A1140" t="s">
        <v>8374</v>
      </c>
    </row>
    <row r="1141" spans="1:1" x14ac:dyDescent="0.25">
      <c r="A1141" t="s">
        <v>8375</v>
      </c>
    </row>
    <row r="1142" spans="1:1" x14ac:dyDescent="0.25">
      <c r="A1142" t="s">
        <v>8376</v>
      </c>
    </row>
    <row r="1143" spans="1:1" x14ac:dyDescent="0.25">
      <c r="A1143" t="s">
        <v>8377</v>
      </c>
    </row>
    <row r="1144" spans="1:1" x14ac:dyDescent="0.25">
      <c r="A1144" t="s">
        <v>8378</v>
      </c>
    </row>
    <row r="1145" spans="1:1" x14ac:dyDescent="0.25">
      <c r="A1145" t="s">
        <v>8379</v>
      </c>
    </row>
    <row r="1146" spans="1:1" x14ac:dyDescent="0.25">
      <c r="A1146" t="s">
        <v>8380</v>
      </c>
    </row>
    <row r="1147" spans="1:1" x14ac:dyDescent="0.25">
      <c r="A1147" t="s">
        <v>8381</v>
      </c>
    </row>
    <row r="1148" spans="1:1" x14ac:dyDescent="0.25">
      <c r="A1148" t="s">
        <v>8382</v>
      </c>
    </row>
    <row r="1149" spans="1:1" x14ac:dyDescent="0.25">
      <c r="A1149" t="s">
        <v>8383</v>
      </c>
    </row>
    <row r="1150" spans="1:1" x14ac:dyDescent="0.25">
      <c r="A1150" t="s">
        <v>8384</v>
      </c>
    </row>
    <row r="1151" spans="1:1" x14ac:dyDescent="0.25">
      <c r="A1151" t="s">
        <v>8385</v>
      </c>
    </row>
    <row r="1152" spans="1:1" x14ac:dyDescent="0.25">
      <c r="A1152" t="s">
        <v>8386</v>
      </c>
    </row>
    <row r="1153" spans="1:1" x14ac:dyDescent="0.25">
      <c r="A1153" t="s">
        <v>8387</v>
      </c>
    </row>
    <row r="1154" spans="1:1" x14ac:dyDescent="0.25">
      <c r="A1154" t="s">
        <v>8388</v>
      </c>
    </row>
    <row r="1155" spans="1:1" x14ac:dyDescent="0.25">
      <c r="A1155" t="s">
        <v>8389</v>
      </c>
    </row>
    <row r="1156" spans="1:1" x14ac:dyDescent="0.25">
      <c r="A1156" t="s">
        <v>8390</v>
      </c>
    </row>
    <row r="1157" spans="1:1" x14ac:dyDescent="0.25">
      <c r="A1157" t="s">
        <v>8391</v>
      </c>
    </row>
    <row r="1158" spans="1:1" x14ac:dyDescent="0.25">
      <c r="A1158" t="s">
        <v>8392</v>
      </c>
    </row>
    <row r="1159" spans="1:1" x14ac:dyDescent="0.25">
      <c r="A1159" t="s">
        <v>8393</v>
      </c>
    </row>
    <row r="1160" spans="1:1" x14ac:dyDescent="0.25">
      <c r="A1160" t="s">
        <v>8394</v>
      </c>
    </row>
    <row r="1161" spans="1:1" x14ac:dyDescent="0.25">
      <c r="A1161" t="s">
        <v>8395</v>
      </c>
    </row>
    <row r="1162" spans="1:1" x14ac:dyDescent="0.25">
      <c r="A1162" t="s">
        <v>8396</v>
      </c>
    </row>
    <row r="1163" spans="1:1" x14ac:dyDescent="0.25">
      <c r="A1163" t="s">
        <v>8397</v>
      </c>
    </row>
    <row r="1164" spans="1:1" x14ac:dyDescent="0.25">
      <c r="A1164" t="s">
        <v>8398</v>
      </c>
    </row>
    <row r="1165" spans="1:1" x14ac:dyDescent="0.25">
      <c r="A1165" t="s">
        <v>8399</v>
      </c>
    </row>
    <row r="1166" spans="1:1" x14ac:dyDescent="0.25">
      <c r="A1166" t="s">
        <v>8400</v>
      </c>
    </row>
    <row r="1167" spans="1:1" x14ac:dyDescent="0.25">
      <c r="A1167" t="s">
        <v>8401</v>
      </c>
    </row>
    <row r="1168" spans="1:1" x14ac:dyDescent="0.25">
      <c r="A1168" t="s">
        <v>8402</v>
      </c>
    </row>
    <row r="1169" spans="1:1" x14ac:dyDescent="0.25">
      <c r="A1169" t="s">
        <v>8403</v>
      </c>
    </row>
    <row r="1170" spans="1:1" x14ac:dyDescent="0.25">
      <c r="A1170" t="s">
        <v>8404</v>
      </c>
    </row>
    <row r="1171" spans="1:1" x14ac:dyDescent="0.25">
      <c r="A1171" t="s">
        <v>8405</v>
      </c>
    </row>
    <row r="1172" spans="1:1" x14ac:dyDescent="0.25">
      <c r="A1172" t="s">
        <v>8406</v>
      </c>
    </row>
    <row r="1173" spans="1:1" x14ac:dyDescent="0.25">
      <c r="A1173" t="s">
        <v>8407</v>
      </c>
    </row>
    <row r="1174" spans="1:1" x14ac:dyDescent="0.25">
      <c r="A1174" t="s">
        <v>8408</v>
      </c>
    </row>
    <row r="1175" spans="1:1" x14ac:dyDescent="0.25">
      <c r="A1175" t="s">
        <v>8409</v>
      </c>
    </row>
    <row r="1176" spans="1:1" x14ac:dyDescent="0.25">
      <c r="A1176" t="s">
        <v>8410</v>
      </c>
    </row>
    <row r="1177" spans="1:1" x14ac:dyDescent="0.25">
      <c r="A1177" t="s">
        <v>8411</v>
      </c>
    </row>
    <row r="1178" spans="1:1" x14ac:dyDescent="0.25">
      <c r="A1178" t="s">
        <v>8412</v>
      </c>
    </row>
    <row r="1179" spans="1:1" x14ac:dyDescent="0.25">
      <c r="A1179" t="s">
        <v>8413</v>
      </c>
    </row>
    <row r="1180" spans="1:1" x14ac:dyDescent="0.25">
      <c r="A1180" t="s">
        <v>8414</v>
      </c>
    </row>
    <row r="1181" spans="1:1" x14ac:dyDescent="0.25">
      <c r="A1181" t="s">
        <v>8415</v>
      </c>
    </row>
    <row r="1182" spans="1:1" x14ac:dyDescent="0.25">
      <c r="A1182" t="s">
        <v>8416</v>
      </c>
    </row>
    <row r="1183" spans="1:1" x14ac:dyDescent="0.25">
      <c r="A1183" t="s">
        <v>8417</v>
      </c>
    </row>
    <row r="1184" spans="1:1" x14ac:dyDescent="0.25">
      <c r="A1184" t="s">
        <v>8418</v>
      </c>
    </row>
    <row r="1185" spans="1:1" x14ac:dyDescent="0.25">
      <c r="A1185" t="s">
        <v>8419</v>
      </c>
    </row>
    <row r="1186" spans="1:1" x14ac:dyDescent="0.25">
      <c r="A1186" t="s">
        <v>8420</v>
      </c>
    </row>
    <row r="1187" spans="1:1" x14ac:dyDescent="0.25">
      <c r="A1187" t="s">
        <v>8421</v>
      </c>
    </row>
    <row r="1188" spans="1:1" x14ac:dyDescent="0.25">
      <c r="A1188" t="s">
        <v>8422</v>
      </c>
    </row>
    <row r="1189" spans="1:1" x14ac:dyDescent="0.25">
      <c r="A1189" t="s">
        <v>8423</v>
      </c>
    </row>
    <row r="1190" spans="1:1" x14ac:dyDescent="0.25">
      <c r="A1190" t="s">
        <v>8424</v>
      </c>
    </row>
    <row r="1191" spans="1:1" x14ac:dyDescent="0.25">
      <c r="A1191" t="s">
        <v>8425</v>
      </c>
    </row>
    <row r="1192" spans="1:1" x14ac:dyDescent="0.25">
      <c r="A1192" t="s">
        <v>8426</v>
      </c>
    </row>
    <row r="1193" spans="1:1" x14ac:dyDescent="0.25">
      <c r="A1193" t="s">
        <v>8427</v>
      </c>
    </row>
    <row r="1194" spans="1:1" x14ac:dyDescent="0.25">
      <c r="A1194" t="s">
        <v>8428</v>
      </c>
    </row>
    <row r="1195" spans="1:1" x14ac:dyDescent="0.25">
      <c r="A1195" t="s">
        <v>8429</v>
      </c>
    </row>
    <row r="1196" spans="1:1" x14ac:dyDescent="0.25">
      <c r="A1196" t="s">
        <v>8430</v>
      </c>
    </row>
    <row r="1197" spans="1:1" x14ac:dyDescent="0.25">
      <c r="A1197" t="s">
        <v>8431</v>
      </c>
    </row>
    <row r="1198" spans="1:1" x14ac:dyDescent="0.25">
      <c r="A1198" t="s">
        <v>8432</v>
      </c>
    </row>
    <row r="1199" spans="1:1" x14ac:dyDescent="0.25">
      <c r="A1199" t="s">
        <v>8433</v>
      </c>
    </row>
    <row r="1200" spans="1:1" x14ac:dyDescent="0.25">
      <c r="A1200" t="s">
        <v>8434</v>
      </c>
    </row>
    <row r="1201" spans="1:1" x14ac:dyDescent="0.25">
      <c r="A1201" t="s">
        <v>8435</v>
      </c>
    </row>
    <row r="1202" spans="1:1" x14ac:dyDescent="0.25">
      <c r="A1202" t="s">
        <v>8436</v>
      </c>
    </row>
    <row r="1203" spans="1:1" x14ac:dyDescent="0.25">
      <c r="A1203" t="s">
        <v>8437</v>
      </c>
    </row>
    <row r="1204" spans="1:1" x14ac:dyDescent="0.25">
      <c r="A1204" t="s">
        <v>8438</v>
      </c>
    </row>
    <row r="1205" spans="1:1" x14ac:dyDescent="0.25">
      <c r="A1205" t="s">
        <v>8439</v>
      </c>
    </row>
    <row r="1206" spans="1:1" x14ac:dyDescent="0.25">
      <c r="A1206" t="s">
        <v>8440</v>
      </c>
    </row>
    <row r="1207" spans="1:1" x14ac:dyDescent="0.25">
      <c r="A1207" t="s">
        <v>8441</v>
      </c>
    </row>
    <row r="1208" spans="1:1" x14ac:dyDescent="0.25">
      <c r="A1208" t="s">
        <v>8442</v>
      </c>
    </row>
    <row r="1209" spans="1:1" x14ac:dyDescent="0.25">
      <c r="A1209" t="s">
        <v>8443</v>
      </c>
    </row>
    <row r="1210" spans="1:1" x14ac:dyDescent="0.25">
      <c r="A1210" t="s">
        <v>8444</v>
      </c>
    </row>
    <row r="1211" spans="1:1" x14ac:dyDescent="0.25">
      <c r="A1211" t="s">
        <v>8445</v>
      </c>
    </row>
    <row r="1212" spans="1:1" x14ac:dyDescent="0.25">
      <c r="A1212" t="s">
        <v>8446</v>
      </c>
    </row>
    <row r="1213" spans="1:1" x14ac:dyDescent="0.25">
      <c r="A1213" t="s">
        <v>8447</v>
      </c>
    </row>
    <row r="1214" spans="1:1" x14ac:dyDescent="0.25">
      <c r="A1214" t="s">
        <v>7357</v>
      </c>
    </row>
    <row r="1215" spans="1:1" x14ac:dyDescent="0.25">
      <c r="A1215" t="s">
        <v>8448</v>
      </c>
    </row>
    <row r="1216" spans="1:1" x14ac:dyDescent="0.25">
      <c r="A1216" t="s">
        <v>8449</v>
      </c>
    </row>
    <row r="1217" spans="1:1" x14ac:dyDescent="0.25">
      <c r="A1217" t="s">
        <v>8450</v>
      </c>
    </row>
    <row r="1218" spans="1:1" x14ac:dyDescent="0.25">
      <c r="A1218" t="s">
        <v>8451</v>
      </c>
    </row>
    <row r="1219" spans="1:1" x14ac:dyDescent="0.25">
      <c r="A1219" t="s">
        <v>8452</v>
      </c>
    </row>
    <row r="1220" spans="1:1" x14ac:dyDescent="0.25">
      <c r="A1220" t="s">
        <v>8453</v>
      </c>
    </row>
    <row r="1221" spans="1:1" x14ac:dyDescent="0.25">
      <c r="A1221" t="s">
        <v>8454</v>
      </c>
    </row>
    <row r="1222" spans="1:1" x14ac:dyDescent="0.25">
      <c r="A1222" t="s">
        <v>8455</v>
      </c>
    </row>
    <row r="1223" spans="1:1" x14ac:dyDescent="0.25">
      <c r="A1223" t="s">
        <v>8456</v>
      </c>
    </row>
    <row r="1224" spans="1:1" x14ac:dyDescent="0.25">
      <c r="A1224" t="s">
        <v>8457</v>
      </c>
    </row>
    <row r="1225" spans="1:1" x14ac:dyDescent="0.25">
      <c r="A1225" t="s">
        <v>8458</v>
      </c>
    </row>
    <row r="1226" spans="1:1" x14ac:dyDescent="0.25">
      <c r="A1226" t="s">
        <v>8459</v>
      </c>
    </row>
    <row r="1227" spans="1:1" x14ac:dyDescent="0.25">
      <c r="A1227" t="s">
        <v>8460</v>
      </c>
    </row>
    <row r="1228" spans="1:1" x14ac:dyDescent="0.25">
      <c r="A1228" t="s">
        <v>8461</v>
      </c>
    </row>
    <row r="1229" spans="1:1" x14ac:dyDescent="0.25">
      <c r="A1229" t="s">
        <v>8462</v>
      </c>
    </row>
    <row r="1230" spans="1:1" x14ac:dyDescent="0.25">
      <c r="A1230" t="s">
        <v>8463</v>
      </c>
    </row>
    <row r="1231" spans="1:1" x14ac:dyDescent="0.25">
      <c r="A1231" t="s">
        <v>8464</v>
      </c>
    </row>
    <row r="1232" spans="1:1" x14ac:dyDescent="0.25">
      <c r="A1232" t="s">
        <v>8465</v>
      </c>
    </row>
    <row r="1233" spans="1:1" x14ac:dyDescent="0.25">
      <c r="A1233" t="s">
        <v>8466</v>
      </c>
    </row>
    <row r="1234" spans="1:1" x14ac:dyDescent="0.25">
      <c r="A1234" t="s">
        <v>8467</v>
      </c>
    </row>
    <row r="1235" spans="1:1" x14ac:dyDescent="0.25">
      <c r="A1235" t="s">
        <v>8468</v>
      </c>
    </row>
    <row r="1236" spans="1:1" x14ac:dyDescent="0.25">
      <c r="A1236" t="s">
        <v>8469</v>
      </c>
    </row>
    <row r="1237" spans="1:1" x14ac:dyDescent="0.25">
      <c r="A1237" t="s">
        <v>8470</v>
      </c>
    </row>
    <row r="1238" spans="1:1" x14ac:dyDescent="0.25">
      <c r="A1238" t="s">
        <v>8471</v>
      </c>
    </row>
    <row r="1239" spans="1:1" x14ac:dyDescent="0.25">
      <c r="A1239" t="s">
        <v>8472</v>
      </c>
    </row>
    <row r="1240" spans="1:1" x14ac:dyDescent="0.25">
      <c r="A1240" t="s">
        <v>8473</v>
      </c>
    </row>
    <row r="1241" spans="1:1" x14ac:dyDescent="0.25">
      <c r="A1241" t="s">
        <v>8474</v>
      </c>
    </row>
    <row r="1242" spans="1:1" x14ac:dyDescent="0.25">
      <c r="A1242" t="s">
        <v>8475</v>
      </c>
    </row>
    <row r="1243" spans="1:1" x14ac:dyDescent="0.25">
      <c r="A1243" t="s">
        <v>8476</v>
      </c>
    </row>
    <row r="1244" spans="1:1" x14ac:dyDescent="0.25">
      <c r="A1244" t="s">
        <v>8477</v>
      </c>
    </row>
    <row r="1245" spans="1:1" x14ac:dyDescent="0.25">
      <c r="A1245" t="s">
        <v>8478</v>
      </c>
    </row>
    <row r="1246" spans="1:1" x14ac:dyDescent="0.25">
      <c r="A1246" t="s">
        <v>8479</v>
      </c>
    </row>
    <row r="1247" spans="1:1" x14ac:dyDescent="0.25">
      <c r="A1247" t="s">
        <v>8480</v>
      </c>
    </row>
    <row r="1248" spans="1:1" x14ac:dyDescent="0.25">
      <c r="A1248" t="s">
        <v>8481</v>
      </c>
    </row>
    <row r="1249" spans="1:1" x14ac:dyDescent="0.25">
      <c r="A1249" t="s">
        <v>8482</v>
      </c>
    </row>
    <row r="1250" spans="1:1" x14ac:dyDescent="0.25">
      <c r="A1250" t="s">
        <v>8483</v>
      </c>
    </row>
    <row r="1251" spans="1:1" x14ac:dyDescent="0.25">
      <c r="A1251" t="s">
        <v>8484</v>
      </c>
    </row>
    <row r="1252" spans="1:1" x14ac:dyDescent="0.25">
      <c r="A1252" t="s">
        <v>8485</v>
      </c>
    </row>
    <row r="1253" spans="1:1" x14ac:dyDescent="0.25">
      <c r="A1253" t="s">
        <v>8486</v>
      </c>
    </row>
    <row r="1254" spans="1:1" x14ac:dyDescent="0.25">
      <c r="A1254" t="s">
        <v>8487</v>
      </c>
    </row>
    <row r="1255" spans="1:1" x14ac:dyDescent="0.25">
      <c r="A1255" t="s">
        <v>8488</v>
      </c>
    </row>
    <row r="1256" spans="1:1" x14ac:dyDescent="0.25">
      <c r="A1256" t="s">
        <v>8489</v>
      </c>
    </row>
    <row r="1257" spans="1:1" x14ac:dyDescent="0.25">
      <c r="A1257" t="s">
        <v>8490</v>
      </c>
    </row>
    <row r="1258" spans="1:1" x14ac:dyDescent="0.25">
      <c r="A1258" t="s">
        <v>8491</v>
      </c>
    </row>
    <row r="1259" spans="1:1" x14ac:dyDescent="0.25">
      <c r="A1259" t="s">
        <v>8492</v>
      </c>
    </row>
    <row r="1260" spans="1:1" x14ac:dyDescent="0.25">
      <c r="A1260" t="s">
        <v>8493</v>
      </c>
    </row>
    <row r="1261" spans="1:1" x14ac:dyDescent="0.25">
      <c r="A1261" t="s">
        <v>8494</v>
      </c>
    </row>
    <row r="1262" spans="1:1" x14ac:dyDescent="0.25">
      <c r="A1262" t="s">
        <v>8495</v>
      </c>
    </row>
    <row r="1263" spans="1:1" x14ac:dyDescent="0.25">
      <c r="A1263" t="s">
        <v>8496</v>
      </c>
    </row>
    <row r="1264" spans="1:1" x14ac:dyDescent="0.25">
      <c r="A1264" t="s">
        <v>8497</v>
      </c>
    </row>
    <row r="1265" spans="1:1" x14ac:dyDescent="0.25">
      <c r="A1265" t="s">
        <v>8498</v>
      </c>
    </row>
    <row r="1266" spans="1:1" x14ac:dyDescent="0.25">
      <c r="A1266" t="s">
        <v>8499</v>
      </c>
    </row>
    <row r="1267" spans="1:1" x14ac:dyDescent="0.25">
      <c r="A1267" t="s">
        <v>8500</v>
      </c>
    </row>
    <row r="1268" spans="1:1" x14ac:dyDescent="0.25">
      <c r="A1268" t="s">
        <v>8501</v>
      </c>
    </row>
    <row r="1269" spans="1:1" x14ac:dyDescent="0.25">
      <c r="A1269" t="s">
        <v>8502</v>
      </c>
    </row>
    <row r="1270" spans="1:1" x14ac:dyDescent="0.25">
      <c r="A1270" t="s">
        <v>8503</v>
      </c>
    </row>
    <row r="1271" spans="1:1" x14ac:dyDescent="0.25">
      <c r="A1271" t="s">
        <v>8504</v>
      </c>
    </row>
    <row r="1272" spans="1:1" x14ac:dyDescent="0.25">
      <c r="A1272" t="s">
        <v>8505</v>
      </c>
    </row>
    <row r="1273" spans="1:1" x14ac:dyDescent="0.25">
      <c r="A1273" t="s">
        <v>8506</v>
      </c>
    </row>
    <row r="1274" spans="1:1" x14ac:dyDescent="0.25">
      <c r="A1274" t="s">
        <v>8507</v>
      </c>
    </row>
    <row r="1275" spans="1:1" x14ac:dyDescent="0.25">
      <c r="A1275" t="s">
        <v>8508</v>
      </c>
    </row>
    <row r="1276" spans="1:1" x14ac:dyDescent="0.25">
      <c r="A1276" t="s">
        <v>8509</v>
      </c>
    </row>
    <row r="1277" spans="1:1" x14ac:dyDescent="0.25">
      <c r="A1277" t="s">
        <v>8510</v>
      </c>
    </row>
    <row r="1278" spans="1:1" x14ac:dyDescent="0.25">
      <c r="A1278" t="s">
        <v>8511</v>
      </c>
    </row>
    <row r="1279" spans="1:1" x14ac:dyDescent="0.25">
      <c r="A1279" t="s">
        <v>8512</v>
      </c>
    </row>
    <row r="1280" spans="1:1" x14ac:dyDescent="0.25">
      <c r="A1280" t="s">
        <v>8513</v>
      </c>
    </row>
    <row r="1281" spans="1:1" x14ac:dyDescent="0.25">
      <c r="A1281" t="s">
        <v>8514</v>
      </c>
    </row>
    <row r="1282" spans="1:1" x14ac:dyDescent="0.25">
      <c r="A1282" t="s">
        <v>8515</v>
      </c>
    </row>
    <row r="1283" spans="1:1" x14ac:dyDescent="0.25">
      <c r="A1283" t="s">
        <v>8516</v>
      </c>
    </row>
    <row r="1284" spans="1:1" x14ac:dyDescent="0.25">
      <c r="A1284" t="s">
        <v>8517</v>
      </c>
    </row>
    <row r="1285" spans="1:1" x14ac:dyDescent="0.25">
      <c r="A1285" t="s">
        <v>8518</v>
      </c>
    </row>
    <row r="1286" spans="1:1" x14ac:dyDescent="0.25">
      <c r="A1286" t="s">
        <v>8519</v>
      </c>
    </row>
    <row r="1287" spans="1:1" x14ac:dyDescent="0.25">
      <c r="A1287" t="s">
        <v>8520</v>
      </c>
    </row>
    <row r="1288" spans="1:1" x14ac:dyDescent="0.25">
      <c r="A1288" t="s">
        <v>8521</v>
      </c>
    </row>
    <row r="1289" spans="1:1" x14ac:dyDescent="0.25">
      <c r="A1289" t="s">
        <v>8522</v>
      </c>
    </row>
    <row r="1290" spans="1:1" x14ac:dyDescent="0.25">
      <c r="A1290" t="s">
        <v>8523</v>
      </c>
    </row>
    <row r="1291" spans="1:1" x14ac:dyDescent="0.25">
      <c r="A1291" t="s">
        <v>8524</v>
      </c>
    </row>
    <row r="1292" spans="1:1" x14ac:dyDescent="0.25">
      <c r="A1292" t="s">
        <v>8525</v>
      </c>
    </row>
    <row r="1293" spans="1:1" x14ac:dyDescent="0.25">
      <c r="A1293" t="s">
        <v>8526</v>
      </c>
    </row>
    <row r="1294" spans="1:1" x14ac:dyDescent="0.25">
      <c r="A1294" t="s">
        <v>8527</v>
      </c>
    </row>
    <row r="1295" spans="1:1" x14ac:dyDescent="0.25">
      <c r="A1295" t="s">
        <v>8528</v>
      </c>
    </row>
    <row r="1296" spans="1:1" x14ac:dyDescent="0.25">
      <c r="A1296" t="s">
        <v>8529</v>
      </c>
    </row>
    <row r="1297" spans="1:1" x14ac:dyDescent="0.25">
      <c r="A1297" t="s">
        <v>8530</v>
      </c>
    </row>
    <row r="1298" spans="1:1" x14ac:dyDescent="0.25">
      <c r="A1298" t="s">
        <v>8531</v>
      </c>
    </row>
    <row r="1299" spans="1:1" x14ac:dyDescent="0.25">
      <c r="A1299" t="s">
        <v>8532</v>
      </c>
    </row>
    <row r="1300" spans="1:1" x14ac:dyDescent="0.25">
      <c r="A1300" t="s">
        <v>8533</v>
      </c>
    </row>
    <row r="1301" spans="1:1" x14ac:dyDescent="0.25">
      <c r="A1301" t="s">
        <v>8534</v>
      </c>
    </row>
    <row r="1302" spans="1:1" x14ac:dyDescent="0.25">
      <c r="A1302" t="s">
        <v>8535</v>
      </c>
    </row>
    <row r="1303" spans="1:1" x14ac:dyDescent="0.25">
      <c r="A1303" t="s">
        <v>8536</v>
      </c>
    </row>
    <row r="1304" spans="1:1" x14ac:dyDescent="0.25">
      <c r="A1304" t="s">
        <v>8537</v>
      </c>
    </row>
    <row r="1305" spans="1:1" x14ac:dyDescent="0.25">
      <c r="A1305" t="s">
        <v>8538</v>
      </c>
    </row>
    <row r="1306" spans="1:1" x14ac:dyDescent="0.25">
      <c r="A1306" t="s">
        <v>8539</v>
      </c>
    </row>
    <row r="1307" spans="1:1" x14ac:dyDescent="0.25">
      <c r="A1307" t="s">
        <v>8540</v>
      </c>
    </row>
    <row r="1308" spans="1:1" x14ac:dyDescent="0.25">
      <c r="A1308" t="s">
        <v>8541</v>
      </c>
    </row>
    <row r="1309" spans="1:1" x14ac:dyDescent="0.25">
      <c r="A1309" t="s">
        <v>8542</v>
      </c>
    </row>
    <row r="1310" spans="1:1" x14ac:dyDescent="0.25">
      <c r="A1310" t="s">
        <v>8543</v>
      </c>
    </row>
    <row r="1311" spans="1:1" x14ac:dyDescent="0.25">
      <c r="A1311" t="s">
        <v>8544</v>
      </c>
    </row>
    <row r="1312" spans="1:1" x14ac:dyDescent="0.25">
      <c r="A1312" t="s">
        <v>8545</v>
      </c>
    </row>
    <row r="1313" spans="1:1" x14ac:dyDescent="0.25">
      <c r="A1313" t="s">
        <v>8546</v>
      </c>
    </row>
    <row r="1314" spans="1:1" x14ac:dyDescent="0.25">
      <c r="A1314" t="s">
        <v>8547</v>
      </c>
    </row>
    <row r="1315" spans="1:1" x14ac:dyDescent="0.25">
      <c r="A1315" t="s">
        <v>8548</v>
      </c>
    </row>
    <row r="1316" spans="1:1" x14ac:dyDescent="0.25">
      <c r="A1316" t="s">
        <v>8549</v>
      </c>
    </row>
    <row r="1317" spans="1:1" x14ac:dyDescent="0.25">
      <c r="A1317" t="s">
        <v>8550</v>
      </c>
    </row>
    <row r="1318" spans="1:1" x14ac:dyDescent="0.25">
      <c r="A1318" t="s">
        <v>8551</v>
      </c>
    </row>
    <row r="1319" spans="1:1" x14ac:dyDescent="0.25">
      <c r="A1319" t="s">
        <v>8552</v>
      </c>
    </row>
    <row r="1320" spans="1:1" x14ac:dyDescent="0.25">
      <c r="A1320" t="s">
        <v>8553</v>
      </c>
    </row>
    <row r="1321" spans="1:1" x14ac:dyDescent="0.25">
      <c r="A1321" t="s">
        <v>8554</v>
      </c>
    </row>
    <row r="1322" spans="1:1" x14ac:dyDescent="0.25">
      <c r="A1322" t="s">
        <v>8555</v>
      </c>
    </row>
    <row r="1323" spans="1:1" x14ac:dyDescent="0.25">
      <c r="A1323" t="s">
        <v>8556</v>
      </c>
    </row>
    <row r="1324" spans="1:1" x14ac:dyDescent="0.25">
      <c r="A1324" t="s">
        <v>8557</v>
      </c>
    </row>
    <row r="1325" spans="1:1" x14ac:dyDescent="0.25">
      <c r="A1325" t="s">
        <v>8558</v>
      </c>
    </row>
    <row r="1326" spans="1:1" x14ac:dyDescent="0.25">
      <c r="A1326" t="s">
        <v>8559</v>
      </c>
    </row>
    <row r="1327" spans="1:1" x14ac:dyDescent="0.25">
      <c r="A1327" t="s">
        <v>8560</v>
      </c>
    </row>
    <row r="1328" spans="1:1" x14ac:dyDescent="0.25">
      <c r="A1328" t="s">
        <v>8561</v>
      </c>
    </row>
    <row r="1329" spans="1:1" x14ac:dyDescent="0.25">
      <c r="A1329" t="s">
        <v>8562</v>
      </c>
    </row>
    <row r="1330" spans="1:1" x14ac:dyDescent="0.25">
      <c r="A1330" t="s">
        <v>8563</v>
      </c>
    </row>
    <row r="1331" spans="1:1" x14ac:dyDescent="0.25">
      <c r="A1331" t="s">
        <v>8564</v>
      </c>
    </row>
    <row r="1332" spans="1:1" x14ac:dyDescent="0.25">
      <c r="A1332" t="s">
        <v>8565</v>
      </c>
    </row>
    <row r="1333" spans="1:1" x14ac:dyDescent="0.25">
      <c r="A1333" t="s">
        <v>8566</v>
      </c>
    </row>
    <row r="1334" spans="1:1" x14ac:dyDescent="0.25">
      <c r="A1334" t="s">
        <v>8567</v>
      </c>
    </row>
    <row r="1335" spans="1:1" x14ac:dyDescent="0.25">
      <c r="A1335" t="s">
        <v>8568</v>
      </c>
    </row>
    <row r="1336" spans="1:1" x14ac:dyDescent="0.25">
      <c r="A1336" t="s">
        <v>8569</v>
      </c>
    </row>
    <row r="1337" spans="1:1" x14ac:dyDescent="0.25">
      <c r="A1337" t="s">
        <v>8570</v>
      </c>
    </row>
    <row r="1338" spans="1:1" x14ac:dyDescent="0.25">
      <c r="A1338" t="s">
        <v>8571</v>
      </c>
    </row>
    <row r="1339" spans="1:1" x14ac:dyDescent="0.25">
      <c r="A1339" t="s">
        <v>8572</v>
      </c>
    </row>
    <row r="1340" spans="1:1" x14ac:dyDescent="0.25">
      <c r="A1340" t="s">
        <v>8573</v>
      </c>
    </row>
    <row r="1341" spans="1:1" x14ac:dyDescent="0.25">
      <c r="A1341" t="s">
        <v>8574</v>
      </c>
    </row>
    <row r="1342" spans="1:1" x14ac:dyDescent="0.25">
      <c r="A1342" t="s">
        <v>8575</v>
      </c>
    </row>
    <row r="1343" spans="1:1" x14ac:dyDescent="0.25">
      <c r="A1343" t="s">
        <v>8576</v>
      </c>
    </row>
    <row r="1344" spans="1:1" x14ac:dyDescent="0.25">
      <c r="A1344" t="s">
        <v>8577</v>
      </c>
    </row>
    <row r="1345" spans="1:1" x14ac:dyDescent="0.25">
      <c r="A1345" t="s">
        <v>8578</v>
      </c>
    </row>
    <row r="1346" spans="1:1" x14ac:dyDescent="0.25">
      <c r="A1346" t="s">
        <v>8579</v>
      </c>
    </row>
    <row r="1347" spans="1:1" x14ac:dyDescent="0.25">
      <c r="A1347" t="s">
        <v>8580</v>
      </c>
    </row>
    <row r="1348" spans="1:1" x14ac:dyDescent="0.25">
      <c r="A1348" t="s">
        <v>8581</v>
      </c>
    </row>
    <row r="1349" spans="1:1" x14ac:dyDescent="0.25">
      <c r="A1349" t="s">
        <v>8582</v>
      </c>
    </row>
    <row r="1350" spans="1:1" x14ac:dyDescent="0.25">
      <c r="A1350" t="s">
        <v>8583</v>
      </c>
    </row>
    <row r="1351" spans="1:1" x14ac:dyDescent="0.25">
      <c r="A1351" t="s">
        <v>8584</v>
      </c>
    </row>
    <row r="1352" spans="1:1" x14ac:dyDescent="0.25">
      <c r="A1352" t="s">
        <v>8585</v>
      </c>
    </row>
    <row r="1353" spans="1:1" x14ac:dyDescent="0.25">
      <c r="A1353" t="s">
        <v>8586</v>
      </c>
    </row>
    <row r="1354" spans="1:1" x14ac:dyDescent="0.25">
      <c r="A1354" t="s">
        <v>8587</v>
      </c>
    </row>
    <row r="1355" spans="1:1" x14ac:dyDescent="0.25">
      <c r="A1355" t="s">
        <v>8588</v>
      </c>
    </row>
    <row r="1356" spans="1:1" x14ac:dyDescent="0.25">
      <c r="A1356" t="s">
        <v>8589</v>
      </c>
    </row>
    <row r="1357" spans="1:1" x14ac:dyDescent="0.25">
      <c r="A1357" t="s">
        <v>8590</v>
      </c>
    </row>
    <row r="1358" spans="1:1" x14ac:dyDescent="0.25">
      <c r="A1358" t="s">
        <v>8591</v>
      </c>
    </row>
    <row r="1359" spans="1:1" x14ac:dyDescent="0.25">
      <c r="A1359" t="s">
        <v>8592</v>
      </c>
    </row>
    <row r="1360" spans="1:1" x14ac:dyDescent="0.25">
      <c r="A1360" t="s">
        <v>8593</v>
      </c>
    </row>
    <row r="1361" spans="1:1" x14ac:dyDescent="0.25">
      <c r="A1361" t="s">
        <v>8594</v>
      </c>
    </row>
    <row r="1362" spans="1:1" x14ac:dyDescent="0.25">
      <c r="A1362" t="s">
        <v>8595</v>
      </c>
    </row>
    <row r="1363" spans="1:1" x14ac:dyDescent="0.25">
      <c r="A1363" t="s">
        <v>8596</v>
      </c>
    </row>
    <row r="1364" spans="1:1" x14ac:dyDescent="0.25">
      <c r="A1364" t="s">
        <v>8597</v>
      </c>
    </row>
    <row r="1365" spans="1:1" x14ac:dyDescent="0.25">
      <c r="A1365" t="s">
        <v>8598</v>
      </c>
    </row>
    <row r="1366" spans="1:1" x14ac:dyDescent="0.25">
      <c r="A1366" t="s">
        <v>7548</v>
      </c>
    </row>
    <row r="1367" spans="1:1" x14ac:dyDescent="0.25">
      <c r="A1367" t="s">
        <v>8599</v>
      </c>
    </row>
    <row r="1368" spans="1:1" x14ac:dyDescent="0.25">
      <c r="A1368" t="s">
        <v>8600</v>
      </c>
    </row>
    <row r="1369" spans="1:1" x14ac:dyDescent="0.25">
      <c r="A1369" t="s">
        <v>8601</v>
      </c>
    </row>
    <row r="1370" spans="1:1" x14ac:dyDescent="0.25">
      <c r="A1370" t="s">
        <v>8602</v>
      </c>
    </row>
    <row r="1371" spans="1:1" x14ac:dyDescent="0.25">
      <c r="A1371" t="s">
        <v>8603</v>
      </c>
    </row>
    <row r="1372" spans="1:1" x14ac:dyDescent="0.25">
      <c r="A1372" t="s">
        <v>8604</v>
      </c>
    </row>
    <row r="1373" spans="1:1" x14ac:dyDescent="0.25">
      <c r="A1373" t="s">
        <v>8605</v>
      </c>
    </row>
    <row r="1374" spans="1:1" x14ac:dyDescent="0.25">
      <c r="A1374" t="s">
        <v>8606</v>
      </c>
    </row>
    <row r="1375" spans="1:1" x14ac:dyDescent="0.25">
      <c r="A1375" t="s">
        <v>8607</v>
      </c>
    </row>
    <row r="1376" spans="1:1" x14ac:dyDescent="0.25">
      <c r="A1376" t="s">
        <v>8608</v>
      </c>
    </row>
    <row r="1377" spans="1:1" x14ac:dyDescent="0.25">
      <c r="A1377" t="s">
        <v>8609</v>
      </c>
    </row>
    <row r="1378" spans="1:1" x14ac:dyDescent="0.25">
      <c r="A1378" t="s">
        <v>8610</v>
      </c>
    </row>
    <row r="1379" spans="1:1" x14ac:dyDescent="0.25">
      <c r="A1379" t="s">
        <v>8611</v>
      </c>
    </row>
    <row r="1380" spans="1:1" x14ac:dyDescent="0.25">
      <c r="A1380" t="s">
        <v>8612</v>
      </c>
    </row>
    <row r="1381" spans="1:1" x14ac:dyDescent="0.25">
      <c r="A1381" t="s">
        <v>8613</v>
      </c>
    </row>
    <row r="1382" spans="1:1" x14ac:dyDescent="0.25">
      <c r="A1382" t="s">
        <v>8614</v>
      </c>
    </row>
    <row r="1383" spans="1:1" x14ac:dyDescent="0.25">
      <c r="A1383" t="s">
        <v>8615</v>
      </c>
    </row>
    <row r="1384" spans="1:1" x14ac:dyDescent="0.25">
      <c r="A1384" t="s">
        <v>8616</v>
      </c>
    </row>
    <row r="1385" spans="1:1" x14ac:dyDescent="0.25">
      <c r="A1385" t="s">
        <v>8617</v>
      </c>
    </row>
    <row r="1386" spans="1:1" x14ac:dyDescent="0.25">
      <c r="A1386" t="s">
        <v>8618</v>
      </c>
    </row>
    <row r="1387" spans="1:1" x14ac:dyDescent="0.25">
      <c r="A1387" t="s">
        <v>8619</v>
      </c>
    </row>
    <row r="1388" spans="1:1" x14ac:dyDescent="0.25">
      <c r="A1388" t="s">
        <v>8620</v>
      </c>
    </row>
    <row r="1389" spans="1:1" x14ac:dyDescent="0.25">
      <c r="A1389" t="s">
        <v>8621</v>
      </c>
    </row>
    <row r="1390" spans="1:1" x14ac:dyDescent="0.25">
      <c r="A1390" t="s">
        <v>8622</v>
      </c>
    </row>
    <row r="1391" spans="1:1" x14ac:dyDescent="0.25">
      <c r="A1391" t="s">
        <v>8623</v>
      </c>
    </row>
    <row r="1392" spans="1:1" x14ac:dyDescent="0.25">
      <c r="A1392" t="s">
        <v>8624</v>
      </c>
    </row>
    <row r="1393" spans="1:1" x14ac:dyDescent="0.25">
      <c r="A1393" t="s">
        <v>8625</v>
      </c>
    </row>
    <row r="1394" spans="1:1" x14ac:dyDescent="0.25">
      <c r="A1394" t="s">
        <v>8626</v>
      </c>
    </row>
    <row r="1395" spans="1:1" x14ac:dyDescent="0.25">
      <c r="A1395" t="s">
        <v>8627</v>
      </c>
    </row>
    <row r="1396" spans="1:1" x14ac:dyDescent="0.25">
      <c r="A1396" t="s">
        <v>8628</v>
      </c>
    </row>
    <row r="1397" spans="1:1" x14ac:dyDescent="0.25">
      <c r="A1397" t="s">
        <v>8629</v>
      </c>
    </row>
    <row r="1398" spans="1:1" x14ac:dyDescent="0.25">
      <c r="A1398" t="s">
        <v>8630</v>
      </c>
    </row>
    <row r="1399" spans="1:1" x14ac:dyDescent="0.25">
      <c r="A1399" t="s">
        <v>8631</v>
      </c>
    </row>
    <row r="1400" spans="1:1" x14ac:dyDescent="0.25">
      <c r="A1400" t="s">
        <v>8632</v>
      </c>
    </row>
    <row r="1401" spans="1:1" x14ac:dyDescent="0.25">
      <c r="A1401" t="s">
        <v>8633</v>
      </c>
    </row>
    <row r="1402" spans="1:1" x14ac:dyDescent="0.25">
      <c r="A1402" t="s">
        <v>8634</v>
      </c>
    </row>
    <row r="1403" spans="1:1" x14ac:dyDescent="0.25">
      <c r="A1403" t="s">
        <v>8635</v>
      </c>
    </row>
    <row r="1404" spans="1:1" x14ac:dyDescent="0.25">
      <c r="A1404" t="s">
        <v>8636</v>
      </c>
    </row>
    <row r="1405" spans="1:1" x14ac:dyDescent="0.25">
      <c r="A1405" t="s">
        <v>8637</v>
      </c>
    </row>
    <row r="1406" spans="1:1" x14ac:dyDescent="0.25">
      <c r="A1406" t="s">
        <v>8638</v>
      </c>
    </row>
    <row r="1407" spans="1:1" x14ac:dyDescent="0.25">
      <c r="A1407" t="s">
        <v>8639</v>
      </c>
    </row>
    <row r="1408" spans="1:1" x14ac:dyDescent="0.25">
      <c r="A1408" t="s">
        <v>8640</v>
      </c>
    </row>
    <row r="1409" spans="1:1" x14ac:dyDescent="0.25">
      <c r="A1409" t="s">
        <v>8641</v>
      </c>
    </row>
    <row r="1410" spans="1:1" x14ac:dyDescent="0.25">
      <c r="A1410" t="s">
        <v>8642</v>
      </c>
    </row>
    <row r="1411" spans="1:1" x14ac:dyDescent="0.25">
      <c r="A1411" t="s">
        <v>8643</v>
      </c>
    </row>
    <row r="1412" spans="1:1" x14ac:dyDescent="0.25">
      <c r="A1412" t="s">
        <v>8644</v>
      </c>
    </row>
    <row r="1413" spans="1:1" x14ac:dyDescent="0.25">
      <c r="A1413" t="s">
        <v>8645</v>
      </c>
    </row>
    <row r="1414" spans="1:1" x14ac:dyDescent="0.25">
      <c r="A1414" t="s">
        <v>8646</v>
      </c>
    </row>
    <row r="1415" spans="1:1" x14ac:dyDescent="0.25">
      <c r="A1415" t="s">
        <v>8647</v>
      </c>
    </row>
    <row r="1416" spans="1:1" x14ac:dyDescent="0.25">
      <c r="A1416" t="s">
        <v>8648</v>
      </c>
    </row>
    <row r="1417" spans="1:1" x14ac:dyDescent="0.25">
      <c r="A1417" t="s">
        <v>8649</v>
      </c>
    </row>
    <row r="1418" spans="1:1" x14ac:dyDescent="0.25">
      <c r="A1418" t="s">
        <v>8650</v>
      </c>
    </row>
    <row r="1419" spans="1:1" x14ac:dyDescent="0.25">
      <c r="A1419" t="s">
        <v>8651</v>
      </c>
    </row>
    <row r="1420" spans="1:1" x14ac:dyDescent="0.25">
      <c r="A1420" t="s">
        <v>8652</v>
      </c>
    </row>
    <row r="1421" spans="1:1" x14ac:dyDescent="0.25">
      <c r="A1421" t="s">
        <v>8653</v>
      </c>
    </row>
    <row r="1422" spans="1:1" x14ac:dyDescent="0.25">
      <c r="A1422" t="s">
        <v>8654</v>
      </c>
    </row>
    <row r="1423" spans="1:1" x14ac:dyDescent="0.25">
      <c r="A1423" t="s">
        <v>8655</v>
      </c>
    </row>
    <row r="1424" spans="1:1" x14ac:dyDescent="0.25">
      <c r="A1424" t="s">
        <v>8656</v>
      </c>
    </row>
    <row r="1425" spans="1:1" x14ac:dyDescent="0.25">
      <c r="A1425" t="s">
        <v>8657</v>
      </c>
    </row>
    <row r="1426" spans="1:1" x14ac:dyDescent="0.25">
      <c r="A1426" t="s">
        <v>8658</v>
      </c>
    </row>
    <row r="1427" spans="1:1" x14ac:dyDescent="0.25">
      <c r="A1427" t="s">
        <v>8659</v>
      </c>
    </row>
    <row r="1428" spans="1:1" x14ac:dyDescent="0.25">
      <c r="A1428" t="s">
        <v>8660</v>
      </c>
    </row>
    <row r="1429" spans="1:1" x14ac:dyDescent="0.25">
      <c r="A1429" t="s">
        <v>8661</v>
      </c>
    </row>
    <row r="1430" spans="1:1" x14ac:dyDescent="0.25">
      <c r="A1430" t="s">
        <v>8662</v>
      </c>
    </row>
    <row r="1431" spans="1:1" x14ac:dyDescent="0.25">
      <c r="A1431" t="s">
        <v>8663</v>
      </c>
    </row>
    <row r="1432" spans="1:1" x14ac:dyDescent="0.25">
      <c r="A1432" t="s">
        <v>8664</v>
      </c>
    </row>
    <row r="1433" spans="1:1" x14ac:dyDescent="0.25">
      <c r="A1433" t="s">
        <v>8665</v>
      </c>
    </row>
    <row r="1434" spans="1:1" x14ac:dyDescent="0.25">
      <c r="A1434" t="s">
        <v>8666</v>
      </c>
    </row>
    <row r="1435" spans="1:1" x14ac:dyDescent="0.25">
      <c r="A1435" t="s">
        <v>8667</v>
      </c>
    </row>
    <row r="1436" spans="1:1" x14ac:dyDescent="0.25">
      <c r="A1436" t="s">
        <v>8668</v>
      </c>
    </row>
    <row r="1437" spans="1:1" x14ac:dyDescent="0.25">
      <c r="A1437" t="s">
        <v>8669</v>
      </c>
    </row>
    <row r="1438" spans="1:1" x14ac:dyDescent="0.25">
      <c r="A1438" t="s">
        <v>8670</v>
      </c>
    </row>
    <row r="1439" spans="1:1" x14ac:dyDescent="0.25">
      <c r="A1439" t="s">
        <v>8671</v>
      </c>
    </row>
    <row r="1440" spans="1:1" x14ac:dyDescent="0.25">
      <c r="A1440" t="s">
        <v>8672</v>
      </c>
    </row>
    <row r="1441" spans="1:1" x14ac:dyDescent="0.25">
      <c r="A1441" t="s">
        <v>8673</v>
      </c>
    </row>
    <row r="1442" spans="1:1" x14ac:dyDescent="0.25">
      <c r="A1442" t="s">
        <v>8674</v>
      </c>
    </row>
    <row r="1443" spans="1:1" x14ac:dyDescent="0.25">
      <c r="A1443" t="s">
        <v>8675</v>
      </c>
    </row>
    <row r="1444" spans="1:1" x14ac:dyDescent="0.25">
      <c r="A1444" t="s">
        <v>8676</v>
      </c>
    </row>
    <row r="1445" spans="1:1" x14ac:dyDescent="0.25">
      <c r="A1445" t="s">
        <v>8677</v>
      </c>
    </row>
    <row r="1446" spans="1:1" x14ac:dyDescent="0.25">
      <c r="A1446" t="s">
        <v>8678</v>
      </c>
    </row>
    <row r="1447" spans="1:1" x14ac:dyDescent="0.25">
      <c r="A1447" t="s">
        <v>8679</v>
      </c>
    </row>
    <row r="1448" spans="1:1" x14ac:dyDescent="0.25">
      <c r="A1448" t="s">
        <v>8680</v>
      </c>
    </row>
    <row r="1449" spans="1:1" x14ac:dyDescent="0.25">
      <c r="A1449" t="s">
        <v>8681</v>
      </c>
    </row>
    <row r="1450" spans="1:1" x14ac:dyDescent="0.25">
      <c r="A1450" t="s">
        <v>8682</v>
      </c>
    </row>
    <row r="1451" spans="1:1" x14ac:dyDescent="0.25">
      <c r="A1451" t="s">
        <v>8683</v>
      </c>
    </row>
    <row r="1452" spans="1:1" x14ac:dyDescent="0.25">
      <c r="A1452" t="s">
        <v>8684</v>
      </c>
    </row>
    <row r="1453" spans="1:1" x14ac:dyDescent="0.25">
      <c r="A1453" t="s">
        <v>8685</v>
      </c>
    </row>
    <row r="1454" spans="1:1" x14ac:dyDescent="0.25">
      <c r="A1454" t="s">
        <v>8686</v>
      </c>
    </row>
    <row r="1455" spans="1:1" x14ac:dyDescent="0.25">
      <c r="A1455" t="s">
        <v>8687</v>
      </c>
    </row>
    <row r="1456" spans="1:1" x14ac:dyDescent="0.25">
      <c r="A1456" t="s">
        <v>8688</v>
      </c>
    </row>
    <row r="1457" spans="1:1" x14ac:dyDescent="0.25">
      <c r="A1457" t="s">
        <v>8689</v>
      </c>
    </row>
    <row r="1458" spans="1:1" x14ac:dyDescent="0.25">
      <c r="A1458" t="s">
        <v>8690</v>
      </c>
    </row>
    <row r="1459" spans="1:1" x14ac:dyDescent="0.25">
      <c r="A1459" t="s">
        <v>8691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workbookViewId="0">
      <pane xSplit="4" ySplit="11" topLeftCell="E12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22.7109375" customWidth="1"/>
    <col min="3" max="3" width="14.85546875" customWidth="1"/>
    <col min="4" max="4" width="43.42578125" customWidth="1"/>
  </cols>
  <sheetData>
    <row r="1" spans="1:9" ht="20.25" x14ac:dyDescent="0.3">
      <c r="A1" s="12" t="s">
        <v>8692</v>
      </c>
    </row>
    <row r="2" spans="1:9" x14ac:dyDescent="0.25">
      <c r="A2" s="6" t="s">
        <v>8693</v>
      </c>
      <c r="B2" s="8">
        <f>86/6855</f>
        <v>1.2545587162654996E-2</v>
      </c>
      <c r="C2" t="s">
        <v>2</v>
      </c>
      <c r="D2">
        <v>59</v>
      </c>
    </row>
    <row r="3" spans="1:9" x14ac:dyDescent="0.25">
      <c r="A3" t="s">
        <v>8694</v>
      </c>
      <c r="C3" t="s">
        <v>4</v>
      </c>
      <c r="D3">
        <v>77079</v>
      </c>
    </row>
    <row r="4" spans="1:9" x14ac:dyDescent="0.25">
      <c r="A4" t="s">
        <v>8695</v>
      </c>
      <c r="C4" t="s">
        <v>6</v>
      </c>
      <c r="D4" t="s">
        <v>7</v>
      </c>
    </row>
    <row r="5" spans="1:9" x14ac:dyDescent="0.25">
      <c r="A5" t="s">
        <v>8696</v>
      </c>
      <c r="C5" t="s">
        <v>9</v>
      </c>
      <c r="D5" t="s">
        <v>10</v>
      </c>
    </row>
    <row r="6" spans="1:9" x14ac:dyDescent="0.25">
      <c r="A6" t="s">
        <v>8697</v>
      </c>
      <c r="C6" t="s">
        <v>12</v>
      </c>
      <c r="D6" t="s">
        <v>13</v>
      </c>
    </row>
    <row r="7" spans="1:9" x14ac:dyDescent="0.25">
      <c r="A7" t="s">
        <v>8698</v>
      </c>
      <c r="C7" t="s">
        <v>15</v>
      </c>
      <c r="D7" t="s">
        <v>16</v>
      </c>
    </row>
    <row r="8" spans="1:9" x14ac:dyDescent="0.25">
      <c r="A8" t="s">
        <v>8699</v>
      </c>
      <c r="C8" t="s">
        <v>18</v>
      </c>
      <c r="D8" t="s">
        <v>19</v>
      </c>
    </row>
    <row r="9" spans="1:9" x14ac:dyDescent="0.25">
      <c r="A9" t="s">
        <v>8700</v>
      </c>
      <c r="C9" t="s">
        <v>21</v>
      </c>
      <c r="D9">
        <v>3</v>
      </c>
    </row>
    <row r="10" spans="1:9" x14ac:dyDescent="0.25">
      <c r="A10" t="s">
        <v>8701</v>
      </c>
    </row>
    <row r="11" spans="1:9" x14ac:dyDescent="0.25">
      <c r="A11" t="s">
        <v>8702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8703</v>
      </c>
      <c r="C12" s="3" t="str">
        <f>HYPERLINK("http://amigo.geneontology.org/amigo/term/GO:0009765","GO:0009765")</f>
        <v>GO:0009765</v>
      </c>
      <c r="D12" t="s">
        <v>5979</v>
      </c>
      <c r="E12">
        <v>100</v>
      </c>
      <c r="F12">
        <v>5</v>
      </c>
      <c r="G12" s="4">
        <v>1.57295128590309E-8</v>
      </c>
      <c r="H12" s="4">
        <v>7.1018750558524596E-5</v>
      </c>
      <c r="I12" t="s">
        <v>8704</v>
      </c>
    </row>
    <row r="13" spans="1:9" x14ac:dyDescent="0.25">
      <c r="A13" t="s">
        <v>8705</v>
      </c>
      <c r="C13" s="3" t="str">
        <f>HYPERLINK("http://amigo.geneontology.org/amigo/term/GO:0005665","GO:0005665")</f>
        <v>GO:0005665</v>
      </c>
      <c r="D13" t="s">
        <v>8706</v>
      </c>
      <c r="E13">
        <v>18</v>
      </c>
      <c r="F13">
        <v>3</v>
      </c>
      <c r="G13" s="4">
        <v>3.4474944221308702E-7</v>
      </c>
      <c r="H13" s="4">
        <v>7.7809949107493699E-4</v>
      </c>
      <c r="I13" t="s">
        <v>8707</v>
      </c>
    </row>
    <row r="14" spans="1:9" x14ac:dyDescent="0.25">
      <c r="A14" t="s">
        <v>8708</v>
      </c>
      <c r="C14" s="3" t="str">
        <f>HYPERLINK("http://amigo.geneontology.org/amigo/term/GO:0018298","GO:0018298")</f>
        <v>GO:0018298</v>
      </c>
      <c r="D14" t="s">
        <v>1300</v>
      </c>
      <c r="E14">
        <v>90</v>
      </c>
      <c r="F14">
        <v>4</v>
      </c>
      <c r="G14" s="4">
        <v>7.5290415588200996E-7</v>
      </c>
      <c r="H14">
        <v>1.1331207546024201E-3</v>
      </c>
      <c r="I14" t="s">
        <v>8709</v>
      </c>
    </row>
    <row r="15" spans="1:9" x14ac:dyDescent="0.25">
      <c r="A15" t="s">
        <v>8710</v>
      </c>
      <c r="C15" s="3" t="str">
        <f>HYPERLINK("http://amigo.geneontology.org/amigo/term/GO:0016168","GO:0016168")</f>
        <v>GO:0016168</v>
      </c>
      <c r="D15" t="s">
        <v>5976</v>
      </c>
      <c r="E15">
        <v>91</v>
      </c>
      <c r="F15">
        <v>4</v>
      </c>
      <c r="G15" s="4">
        <v>7.8707137394964101E-7</v>
      </c>
      <c r="H15" s="4">
        <v>8.8781650981519498E-4</v>
      </c>
      <c r="I15" t="s">
        <v>8709</v>
      </c>
    </row>
    <row r="16" spans="1:9" x14ac:dyDescent="0.25">
      <c r="A16" t="s">
        <v>8711</v>
      </c>
      <c r="C16" s="3" t="str">
        <f>HYPERLINK("http://amigo.geneontology.org/amigo/term/GO:0016630","GO:0016630")</f>
        <v>GO:0016630</v>
      </c>
      <c r="D16" t="s">
        <v>8712</v>
      </c>
      <c r="E16">
        <v>7</v>
      </c>
      <c r="F16">
        <v>2</v>
      </c>
      <c r="G16" s="4">
        <v>1.20659653340315E-5</v>
      </c>
      <c r="H16">
        <v>1.08955666966304E-2</v>
      </c>
      <c r="I16" t="s">
        <v>8713</v>
      </c>
    </row>
    <row r="17" spans="1:9" x14ac:dyDescent="0.25">
      <c r="A17" t="s">
        <v>8714</v>
      </c>
      <c r="C17" s="3" t="str">
        <f>HYPERLINK("http://amigo.geneontology.org/amigo/term/GO:0019684","GO:0019684")</f>
        <v>GO:0019684</v>
      </c>
      <c r="D17" t="s">
        <v>8715</v>
      </c>
      <c r="E17">
        <v>462</v>
      </c>
      <c r="F17">
        <v>5</v>
      </c>
      <c r="G17" s="4">
        <v>2.9035176536477601E-5</v>
      </c>
      <c r="H17">
        <v>2.18344527554311E-2</v>
      </c>
      <c r="I17" t="s">
        <v>8704</v>
      </c>
    </row>
    <row r="18" spans="1:9" x14ac:dyDescent="0.25">
      <c r="A18" t="s">
        <v>8716</v>
      </c>
      <c r="C18" s="3" t="str">
        <f>HYPERLINK("http://amigo.geneontology.org/amigo/term/GO:0008083","GO:0008083")</f>
        <v>GO:0008083</v>
      </c>
      <c r="D18" t="s">
        <v>32</v>
      </c>
      <c r="E18">
        <v>12</v>
      </c>
      <c r="F18">
        <v>2</v>
      </c>
      <c r="G18" s="4">
        <v>3.7828252075604399E-5</v>
      </c>
      <c r="H18">
        <v>2.4399222588764799E-2</v>
      </c>
      <c r="I18" t="s">
        <v>8717</v>
      </c>
    </row>
    <row r="19" spans="1:9" x14ac:dyDescent="0.25">
      <c r="A19" t="s">
        <v>8718</v>
      </c>
      <c r="C19" s="3" t="str">
        <f>HYPERLINK("http://amigo.geneontology.org/amigo/term/GO:0015979","GO:0015979")</f>
        <v>GO:0015979</v>
      </c>
      <c r="D19" t="s">
        <v>4247</v>
      </c>
      <c r="E19">
        <v>834</v>
      </c>
      <c r="F19">
        <v>6</v>
      </c>
      <c r="G19" s="4">
        <v>4.3602784297116401E-5</v>
      </c>
      <c r="H19">
        <v>2.4591970343573601E-2</v>
      </c>
      <c r="I19" t="s">
        <v>8719</v>
      </c>
    </row>
    <row r="20" spans="1:9" x14ac:dyDescent="0.25">
      <c r="A20" t="s">
        <v>8720</v>
      </c>
      <c r="C20" s="3" t="str">
        <f>HYPERLINK("http://amigo.geneontology.org/amigo/term/GO:0030545","GO:0030545")</f>
        <v>GO:0030545</v>
      </c>
      <c r="D20" t="s">
        <v>35</v>
      </c>
      <c r="E20">
        <v>16</v>
      </c>
      <c r="F20">
        <v>2</v>
      </c>
      <c r="G20" s="4">
        <v>6.8643186181666601E-5</v>
      </c>
      <c r="H20">
        <v>3.09580769679316E-2</v>
      </c>
      <c r="I20" t="s">
        <v>8717</v>
      </c>
    </row>
    <row r="21" spans="1:9" x14ac:dyDescent="0.25">
      <c r="A21" t="s">
        <v>8721</v>
      </c>
      <c r="C21" s="3" t="str">
        <f>HYPERLINK("http://amigo.geneontology.org/amigo/term/GO:0048018","GO:0048018")</f>
        <v>GO:0048018</v>
      </c>
      <c r="D21" t="s">
        <v>37</v>
      </c>
      <c r="E21">
        <v>16</v>
      </c>
      <c r="F21">
        <v>2</v>
      </c>
      <c r="G21" s="4">
        <v>6.8643186181666601E-5</v>
      </c>
      <c r="H21">
        <v>3.4390236277014999E-2</v>
      </c>
      <c r="I21" t="s">
        <v>8717</v>
      </c>
    </row>
    <row r="22" spans="1:9" x14ac:dyDescent="0.25">
      <c r="A22" t="s">
        <v>8722</v>
      </c>
      <c r="C22" s="3" t="str">
        <f>HYPERLINK("http://amigo.geneontology.org/amigo/term/GO:0016591","GO:0016591")</f>
        <v>GO:0016591</v>
      </c>
      <c r="D22" t="s">
        <v>8723</v>
      </c>
      <c r="E22">
        <v>109</v>
      </c>
      <c r="F22">
        <v>3</v>
      </c>
      <c r="G22" s="4">
        <v>8.4408976313207101E-5</v>
      </c>
      <c r="H22">
        <v>3.4607680288414898E-2</v>
      </c>
      <c r="I22" t="s">
        <v>8707</v>
      </c>
    </row>
    <row r="23" spans="1:9" x14ac:dyDescent="0.25">
      <c r="A23" t="s">
        <v>8724</v>
      </c>
      <c r="C23" s="3" t="str">
        <f>HYPERLINK("http://amigo.geneontology.org/amigo/term/GO:0005102","GO:0005102")</f>
        <v>GO:0005102</v>
      </c>
      <c r="D23" t="s">
        <v>39</v>
      </c>
      <c r="E23">
        <v>21</v>
      </c>
      <c r="F23">
        <v>2</v>
      </c>
      <c r="G23" s="4">
        <v>1.1982999586535101E-4</v>
      </c>
      <c r="H23">
        <v>4.5056078445371898E-2</v>
      </c>
      <c r="I23" t="s">
        <v>8717</v>
      </c>
    </row>
    <row r="24" spans="1:9" x14ac:dyDescent="0.25">
      <c r="A24" t="s">
        <v>8725</v>
      </c>
      <c r="C24" s="3" t="str">
        <f>HYPERLINK("http://amigo.geneontology.org/amigo/term/GO:0055029","GO:0055029")</f>
        <v>GO:0055029</v>
      </c>
      <c r="D24" t="s">
        <v>8726</v>
      </c>
      <c r="E24">
        <v>128</v>
      </c>
      <c r="F24">
        <v>3</v>
      </c>
      <c r="G24" s="4">
        <v>1.3584848403105999E-4</v>
      </c>
      <c r="H24">
        <v>4.71394239587778E-2</v>
      </c>
      <c r="I24" t="s">
        <v>8707</v>
      </c>
    </row>
    <row r="25" spans="1:9" x14ac:dyDescent="0.25">
      <c r="A25" t="s">
        <v>8727</v>
      </c>
      <c r="C25" s="3" t="str">
        <f>HYPERLINK("http://amigo.geneontology.org/amigo/term/GO:0030880","GO:0030880")</f>
        <v>GO:0030880</v>
      </c>
      <c r="D25" t="s">
        <v>8728</v>
      </c>
      <c r="E25">
        <v>130</v>
      </c>
      <c r="F25">
        <v>3</v>
      </c>
      <c r="G25" s="4">
        <v>1.42213793493379E-4</v>
      </c>
      <c r="H25">
        <v>4.2806351841507002E-2</v>
      </c>
      <c r="I25" t="s">
        <v>8707</v>
      </c>
    </row>
    <row r="26" spans="1:9" x14ac:dyDescent="0.25">
      <c r="A26" t="s">
        <v>8729</v>
      </c>
      <c r="C26" s="3" t="str">
        <f>HYPERLINK("http://amigo.geneontology.org/amigo/term/GO:0000428","GO:0000428")</f>
        <v>GO:0000428</v>
      </c>
      <c r="D26" t="s">
        <v>8730</v>
      </c>
      <c r="E26">
        <v>130</v>
      </c>
      <c r="F26">
        <v>3</v>
      </c>
      <c r="G26" s="4">
        <v>1.42213793493379E-4</v>
      </c>
      <c r="H26">
        <v>4.5792841504868002E-2</v>
      </c>
      <c r="I26" t="s">
        <v>8707</v>
      </c>
    </row>
    <row r="27" spans="1:9" x14ac:dyDescent="0.25">
      <c r="A27" t="s">
        <v>8731</v>
      </c>
      <c r="C27" s="3" t="str">
        <f>HYPERLINK("http://amigo.geneontology.org/amigo/term/GO:0009523","GO:0009523")</f>
        <v>GO:0009523</v>
      </c>
      <c r="D27" t="s">
        <v>8732</v>
      </c>
      <c r="E27">
        <v>379</v>
      </c>
      <c r="F27">
        <v>4</v>
      </c>
      <c r="G27" s="4">
        <v>2.11503224661828E-4</v>
      </c>
      <c r="H27">
        <v>5.9643909354635399E-2</v>
      </c>
      <c r="I27" t="s">
        <v>8709</v>
      </c>
    </row>
    <row r="28" spans="1:9" x14ac:dyDescent="0.25">
      <c r="A28" t="s">
        <v>8733</v>
      </c>
      <c r="C28" s="3" t="str">
        <f>HYPERLINK("http://amigo.geneontology.org/amigo/term/GO:0006366","GO:0006366")</f>
        <v>GO:0006366</v>
      </c>
      <c r="D28" t="s">
        <v>8734</v>
      </c>
      <c r="E28">
        <v>164</v>
      </c>
      <c r="F28">
        <v>3</v>
      </c>
      <c r="G28" s="4">
        <v>2.8166132743903801E-4</v>
      </c>
      <c r="H28">
        <v>7.4640251771345104E-2</v>
      </c>
      <c r="I28" t="s">
        <v>8707</v>
      </c>
    </row>
    <row r="29" spans="1:9" x14ac:dyDescent="0.25">
      <c r="A29" t="s">
        <v>8735</v>
      </c>
      <c r="C29" s="3" t="str">
        <f>HYPERLINK("http://amigo.geneontology.org/amigo/term/GO:0019438","GO:0019438")</f>
        <v>GO:0019438</v>
      </c>
      <c r="D29" t="s">
        <v>6820</v>
      </c>
      <c r="E29">
        <v>3551</v>
      </c>
      <c r="F29">
        <v>10</v>
      </c>
      <c r="G29" s="4">
        <v>3.37090267218173E-4</v>
      </c>
      <c r="H29">
        <v>8.4272566804543397E-2</v>
      </c>
      <c r="I29" t="s">
        <v>8736</v>
      </c>
    </row>
    <row r="30" spans="1:9" x14ac:dyDescent="0.25">
      <c r="A30" t="s">
        <v>8737</v>
      </c>
      <c r="C30" s="3" t="str">
        <f>HYPERLINK("http://amigo.geneontology.org/amigo/term/GO:0016157","GO:0016157")</f>
        <v>GO:0016157</v>
      </c>
      <c r="D30" t="s">
        <v>378</v>
      </c>
      <c r="E30">
        <v>37</v>
      </c>
      <c r="F30">
        <v>2</v>
      </c>
      <c r="G30" s="4">
        <v>3.7704965919176098E-4</v>
      </c>
      <c r="H30">
        <v>8.9360769228447295E-2</v>
      </c>
      <c r="I30" t="s">
        <v>8738</v>
      </c>
    </row>
    <row r="31" spans="1:9" x14ac:dyDescent="0.25">
      <c r="A31" t="s">
        <v>8739</v>
      </c>
      <c r="C31" s="3" t="str">
        <f>HYPERLINK("http://amigo.geneontology.org/amigo/term/GO:0009521","GO:0009521")</f>
        <v>GO:0009521</v>
      </c>
      <c r="D31" t="s">
        <v>8740</v>
      </c>
      <c r="E31">
        <v>472</v>
      </c>
      <c r="F31">
        <v>4</v>
      </c>
      <c r="G31" s="4">
        <v>4.8412902925227901E-4</v>
      </c>
      <c r="H31">
        <v>0.108929031581762</v>
      </c>
      <c r="I31" t="s">
        <v>8709</v>
      </c>
    </row>
    <row r="32" spans="1:9" x14ac:dyDescent="0.25">
      <c r="A32" t="s">
        <v>8741</v>
      </c>
      <c r="C32" s="3" t="str">
        <f>HYPERLINK("http://amigo.geneontology.org/amigo/term/GO:0061695","GO:0061695")</f>
        <v>GO:0061695</v>
      </c>
      <c r="D32" t="s">
        <v>8742</v>
      </c>
      <c r="E32">
        <v>200</v>
      </c>
      <c r="F32">
        <v>3</v>
      </c>
      <c r="G32" s="4">
        <v>5.0262892864052903E-4</v>
      </c>
      <c r="H32">
        <v>0.108065219657713</v>
      </c>
      <c r="I32" t="s">
        <v>8707</v>
      </c>
    </row>
    <row r="33" spans="1:9" x14ac:dyDescent="0.25">
      <c r="A33" t="s">
        <v>8743</v>
      </c>
      <c r="C33" s="3" t="str">
        <f>HYPERLINK("http://amigo.geneontology.org/amigo/term/GO:0003899","GO:0003899")</f>
        <v>GO:0003899</v>
      </c>
      <c r="D33" t="s">
        <v>8744</v>
      </c>
      <c r="E33">
        <v>206</v>
      </c>
      <c r="F33">
        <v>3</v>
      </c>
      <c r="G33" s="4">
        <v>5.4769362581150605E-4</v>
      </c>
      <c r="H33">
        <v>0.112277193291358</v>
      </c>
      <c r="I33" t="s">
        <v>8707</v>
      </c>
    </row>
    <row r="34" spans="1:9" x14ac:dyDescent="0.25">
      <c r="A34" t="s">
        <v>8745</v>
      </c>
      <c r="C34" s="3" t="str">
        <f>HYPERLINK("http://amigo.geneontology.org/amigo/term/GO:1901362","GO:1901362")</f>
        <v>GO:1901362</v>
      </c>
      <c r="D34" t="s">
        <v>6821</v>
      </c>
      <c r="E34">
        <v>3823</v>
      </c>
      <c r="F34">
        <v>10</v>
      </c>
      <c r="G34" s="4">
        <v>6.0097606949790095E-4</v>
      </c>
      <c r="H34">
        <v>0.117791309621588</v>
      </c>
      <c r="I34" t="s">
        <v>8736</v>
      </c>
    </row>
    <row r="35" spans="1:9" x14ac:dyDescent="0.25">
      <c r="A35" t="s">
        <v>8746</v>
      </c>
      <c r="C35" s="3" t="str">
        <f>HYPERLINK("http://amigo.geneontology.org/amigo/term/GO:0005985","GO:0005985")</f>
        <v>GO:0005985</v>
      </c>
      <c r="D35" t="s">
        <v>481</v>
      </c>
      <c r="E35">
        <v>55</v>
      </c>
      <c r="F35">
        <v>2</v>
      </c>
      <c r="G35" s="4">
        <v>8.3330604790377602E-4</v>
      </c>
      <c r="H35">
        <v>0.15666153700591001</v>
      </c>
      <c r="I35" t="s">
        <v>8738</v>
      </c>
    </row>
    <row r="36" spans="1:9" x14ac:dyDescent="0.25">
      <c r="A36" t="s">
        <v>8747</v>
      </c>
      <c r="C36" s="3" t="str">
        <f>HYPERLINK("http://amigo.geneontology.org/amigo/term/GO:0006351","GO:0006351")</f>
        <v>GO:0006351</v>
      </c>
      <c r="D36" t="s">
        <v>6814</v>
      </c>
      <c r="E36">
        <v>2018</v>
      </c>
      <c r="F36">
        <v>7</v>
      </c>
      <c r="G36" s="4">
        <v>8.6705931748567305E-4</v>
      </c>
      <c r="H36">
        <v>0.15607067714742101</v>
      </c>
      <c r="I36" t="s">
        <v>8748</v>
      </c>
    </row>
    <row r="37" spans="1:9" x14ac:dyDescent="0.25">
      <c r="A37" t="s">
        <v>8749</v>
      </c>
      <c r="C37" s="3" t="str">
        <f>HYPERLINK("http://amigo.geneontology.org/amigo/term/GO:0097747","GO:0097747")</f>
        <v>GO:0097747</v>
      </c>
      <c r="D37" t="s">
        <v>6258</v>
      </c>
      <c r="E37">
        <v>242</v>
      </c>
      <c r="F37">
        <v>3</v>
      </c>
      <c r="G37" s="4">
        <v>8.7268655393542196E-4</v>
      </c>
      <c r="H37">
        <v>0.14573865450721499</v>
      </c>
      <c r="I37" t="s">
        <v>8707</v>
      </c>
    </row>
    <row r="38" spans="1:9" x14ac:dyDescent="0.25">
      <c r="A38" t="s">
        <v>8750</v>
      </c>
      <c r="C38" s="3" t="str">
        <f>HYPERLINK("http://amigo.geneontology.org/amigo/term/GO:0034062","GO:0034062")</f>
        <v>GO:0034062</v>
      </c>
      <c r="D38" t="s">
        <v>6260</v>
      </c>
      <c r="E38">
        <v>242</v>
      </c>
      <c r="F38">
        <v>3</v>
      </c>
      <c r="G38" s="4">
        <v>8.7268655393542196E-4</v>
      </c>
      <c r="H38">
        <v>0.150974773830828</v>
      </c>
      <c r="I38" t="s">
        <v>8707</v>
      </c>
    </row>
    <row r="39" spans="1:9" x14ac:dyDescent="0.25">
      <c r="A39" t="s">
        <v>8751</v>
      </c>
      <c r="C39" s="3" t="str">
        <f>HYPERLINK("http://amigo.geneontology.org/amigo/term/GO:0016628","GO:0016628")</f>
        <v>GO:0016628</v>
      </c>
      <c r="D39" t="s">
        <v>8752</v>
      </c>
      <c r="E39">
        <v>58</v>
      </c>
      <c r="F39">
        <v>2</v>
      </c>
      <c r="G39" s="4">
        <v>9.2621166501688696E-4</v>
      </c>
      <c r="H39">
        <v>0.14912007806771799</v>
      </c>
      <c r="I39" t="s">
        <v>8713</v>
      </c>
    </row>
    <row r="40" spans="1:9" x14ac:dyDescent="0.25">
      <c r="A40" t="s">
        <v>8753</v>
      </c>
      <c r="C40" s="3" t="str">
        <f>HYPERLINK("http://amigo.geneontology.org/amigo/term/GO:0097659","GO:0097659")</f>
        <v>GO:0097659</v>
      </c>
      <c r="D40" t="s">
        <v>6816</v>
      </c>
      <c r="E40">
        <v>2043</v>
      </c>
      <c r="F40">
        <v>7</v>
      </c>
      <c r="G40" s="4">
        <v>9.3135210891524801E-4</v>
      </c>
      <c r="H40">
        <v>0.14435957688186299</v>
      </c>
      <c r="I40" t="s">
        <v>8748</v>
      </c>
    </row>
    <row r="41" spans="1:9" x14ac:dyDescent="0.25">
      <c r="A41" t="s">
        <v>8754</v>
      </c>
      <c r="C41" s="3" t="str">
        <f>HYPERLINK("http://amigo.geneontology.org/amigo/term/GO:0032774","GO:0032774")</f>
        <v>GO:0032774</v>
      </c>
      <c r="D41" t="s">
        <v>6817</v>
      </c>
      <c r="E41">
        <v>2051</v>
      </c>
      <c r="F41">
        <v>7</v>
      </c>
      <c r="G41" s="4">
        <v>9.5270357704061099E-4</v>
      </c>
      <c r="H41">
        <v>0.14290553655609101</v>
      </c>
      <c r="I41" t="s">
        <v>8748</v>
      </c>
    </row>
    <row r="42" spans="1:9" x14ac:dyDescent="0.25">
      <c r="A42" t="s">
        <v>8755</v>
      </c>
      <c r="C42" s="3" t="str">
        <f>HYPERLINK("http://amigo.geneontology.org/amigo/term/GO:0006091","GO:0006091")</f>
        <v>GO:0006091</v>
      </c>
      <c r="D42" t="s">
        <v>8756</v>
      </c>
      <c r="E42">
        <v>1013</v>
      </c>
      <c r="F42">
        <v>5</v>
      </c>
      <c r="G42">
        <v>1.0809949737447401E-3</v>
      </c>
      <c r="H42">
        <v>0.15674427119298801</v>
      </c>
      <c r="I42" t="s">
        <v>8704</v>
      </c>
    </row>
    <row r="43" spans="1:9" x14ac:dyDescent="0.25">
      <c r="A43" t="s">
        <v>8757</v>
      </c>
      <c r="C43" s="3" t="str">
        <f>HYPERLINK("http://amigo.geneontology.org/amigo/term/GO:0018130","GO:0018130")</f>
        <v>GO:0018130</v>
      </c>
      <c r="D43" t="s">
        <v>6819</v>
      </c>
      <c r="E43">
        <v>3543</v>
      </c>
      <c r="F43">
        <v>9</v>
      </c>
      <c r="G43">
        <v>1.42077700124552E-3</v>
      </c>
      <c r="H43">
        <v>0.20032955717561801</v>
      </c>
      <c r="I43" t="s">
        <v>8758</v>
      </c>
    </row>
    <row r="44" spans="1:9" x14ac:dyDescent="0.25">
      <c r="A44" t="s">
        <v>8759</v>
      </c>
      <c r="C44" s="3" t="str">
        <f>HYPERLINK("http://amigo.geneontology.org/amigo/term/GO:0044451","GO:0044451")</f>
        <v>GO:0044451</v>
      </c>
      <c r="D44" t="s">
        <v>8760</v>
      </c>
      <c r="E44">
        <v>311</v>
      </c>
      <c r="F44">
        <v>3</v>
      </c>
      <c r="G44">
        <v>1.7892917421410001E-3</v>
      </c>
      <c r="H44">
        <v>0.24334367693117601</v>
      </c>
      <c r="I44" t="s">
        <v>8707</v>
      </c>
    </row>
    <row r="45" spans="1:9" x14ac:dyDescent="0.25">
      <c r="A45" t="s">
        <v>8761</v>
      </c>
      <c r="C45" s="3" t="str">
        <f>HYPERLINK("http://amigo.geneontology.org/amigo/term/GO:0034654","GO:0034654")</f>
        <v>GO:0034654</v>
      </c>
      <c r="D45" t="s">
        <v>6818</v>
      </c>
      <c r="E45">
        <v>2980</v>
      </c>
      <c r="F45">
        <v>8</v>
      </c>
      <c r="G45">
        <v>1.8923937056063999E-3</v>
      </c>
      <c r="H45">
        <v>0.24979596914004601</v>
      </c>
      <c r="I45" t="s">
        <v>8762</v>
      </c>
    </row>
    <row r="46" spans="1:9" x14ac:dyDescent="0.25">
      <c r="A46" t="s">
        <v>8763</v>
      </c>
      <c r="C46" s="3" t="str">
        <f>HYPERLINK("http://amigo.geneontology.org/amigo/term/GO:0005654","GO:0005654")</f>
        <v>GO:0005654</v>
      </c>
      <c r="D46" t="s">
        <v>8764</v>
      </c>
      <c r="E46">
        <v>341</v>
      </c>
      <c r="F46">
        <v>3</v>
      </c>
      <c r="G46">
        <v>2.3227034952006602E-3</v>
      </c>
      <c r="H46">
        <v>0.29962875088088498</v>
      </c>
      <c r="I46" t="s">
        <v>8707</v>
      </c>
    </row>
    <row r="47" spans="1:9" x14ac:dyDescent="0.25">
      <c r="A47" t="s">
        <v>8765</v>
      </c>
      <c r="C47" s="3" t="str">
        <f>HYPERLINK("http://amigo.geneontology.org/amigo/term/GO:0034357","GO:0034357")</f>
        <v>GO:0034357</v>
      </c>
      <c r="D47" t="s">
        <v>8766</v>
      </c>
      <c r="E47">
        <v>823</v>
      </c>
      <c r="F47">
        <v>4</v>
      </c>
      <c r="G47">
        <v>3.6890297650906101E-3</v>
      </c>
      <c r="H47">
        <v>0.46112872063632598</v>
      </c>
      <c r="I47" t="s">
        <v>8709</v>
      </c>
    </row>
    <row r="48" spans="1:9" x14ac:dyDescent="0.25">
      <c r="A48" t="s">
        <v>8767</v>
      </c>
      <c r="C48" s="3" t="str">
        <f>HYPERLINK("http://amigo.geneontology.org/amigo/term/GO:0009522","GO:0009522")</f>
        <v>GO:0009522</v>
      </c>
      <c r="D48" t="s">
        <v>6001</v>
      </c>
      <c r="E48">
        <v>120</v>
      </c>
      <c r="F48">
        <v>2</v>
      </c>
      <c r="G48">
        <v>3.8807657559244502E-3</v>
      </c>
      <c r="H48">
        <v>0.47345342222278303</v>
      </c>
      <c r="I48" t="s">
        <v>8768</v>
      </c>
    </row>
    <row r="49" spans="1:9" x14ac:dyDescent="0.25">
      <c r="A49" t="s">
        <v>8769</v>
      </c>
      <c r="C49" s="3" t="str">
        <f>HYPERLINK("http://amigo.geneontology.org/amigo/term/GO:0071804","GO:0071804")</f>
        <v>GO:0071804</v>
      </c>
      <c r="D49" t="s">
        <v>305</v>
      </c>
      <c r="E49">
        <v>128</v>
      </c>
      <c r="F49">
        <v>2</v>
      </c>
      <c r="G49">
        <v>4.4004846266728296E-3</v>
      </c>
      <c r="H49">
        <v>0.50605573206737497</v>
      </c>
      <c r="I49" t="s">
        <v>8770</v>
      </c>
    </row>
    <row r="50" spans="1:9" x14ac:dyDescent="0.25">
      <c r="A50" t="s">
        <v>8771</v>
      </c>
      <c r="C50" s="3" t="str">
        <f>HYPERLINK("http://amigo.geneontology.org/amigo/term/GO:0071805","GO:0071805")</f>
        <v>GO:0071805</v>
      </c>
      <c r="D50" t="s">
        <v>308</v>
      </c>
      <c r="E50">
        <v>128</v>
      </c>
      <c r="F50">
        <v>2</v>
      </c>
      <c r="G50">
        <v>4.4004846266728296E-3</v>
      </c>
      <c r="H50">
        <v>0.51925718594739401</v>
      </c>
      <c r="I50" t="s">
        <v>8770</v>
      </c>
    </row>
    <row r="51" spans="1:9" x14ac:dyDescent="0.25">
      <c r="A51" t="s">
        <v>8772</v>
      </c>
      <c r="C51" s="3" t="str">
        <f>HYPERLINK("http://amigo.geneontology.org/amigo/term/GO:0044436","GO:0044436")</f>
        <v>GO:0044436</v>
      </c>
      <c r="D51" t="s">
        <v>8773</v>
      </c>
      <c r="E51">
        <v>896</v>
      </c>
      <c r="F51">
        <v>4</v>
      </c>
      <c r="G51">
        <v>4.97654905677787E-3</v>
      </c>
      <c r="H51">
        <v>0.55737349435912098</v>
      </c>
      <c r="I51" t="s">
        <v>8709</v>
      </c>
    </row>
    <row r="52" spans="1:9" x14ac:dyDescent="0.25">
      <c r="A52" t="s">
        <v>8774</v>
      </c>
      <c r="C52" s="3" t="str">
        <f>HYPERLINK("http://amigo.geneontology.org/amigo/term/GO:0004650","GO:0004650")</f>
        <v>GO:0004650</v>
      </c>
      <c r="D52" t="s">
        <v>567</v>
      </c>
      <c r="E52">
        <v>140</v>
      </c>
      <c r="F52">
        <v>2</v>
      </c>
      <c r="G52">
        <v>5.2369377280434299E-3</v>
      </c>
      <c r="H52">
        <v>0.57606315008477804</v>
      </c>
      <c r="I52" t="s">
        <v>8775</v>
      </c>
    </row>
    <row r="53" spans="1:9" x14ac:dyDescent="0.25">
      <c r="A53" t="s">
        <v>8776</v>
      </c>
      <c r="C53" s="3" t="str">
        <f>HYPERLINK("http://amigo.geneontology.org/amigo/term/GO:0044271","GO:0044271")</f>
        <v>GO:0044271</v>
      </c>
      <c r="D53" t="s">
        <v>6838</v>
      </c>
      <c r="E53">
        <v>5186</v>
      </c>
      <c r="F53">
        <v>10</v>
      </c>
      <c r="G53">
        <v>5.6680662280806197E-3</v>
      </c>
      <c r="H53">
        <v>0.606483086404626</v>
      </c>
      <c r="I53" t="s">
        <v>8777</v>
      </c>
    </row>
    <row r="54" spans="1:9" x14ac:dyDescent="0.25">
      <c r="A54" t="s">
        <v>8778</v>
      </c>
      <c r="C54" s="3" t="str">
        <f>HYPERLINK("http://amigo.geneontology.org/amigo/term/GO:0042737","GO:0042737")</f>
        <v>GO:0042737</v>
      </c>
      <c r="D54" t="s">
        <v>1072</v>
      </c>
      <c r="E54">
        <v>473</v>
      </c>
      <c r="F54">
        <v>3</v>
      </c>
      <c r="G54">
        <v>5.7873688607744302E-3</v>
      </c>
      <c r="H54">
        <v>0.607673730381316</v>
      </c>
      <c r="I54" t="s">
        <v>8779</v>
      </c>
    </row>
    <row r="55" spans="1:9" x14ac:dyDescent="0.25">
      <c r="A55" t="s">
        <v>8780</v>
      </c>
      <c r="C55" s="3" t="str">
        <f>HYPERLINK("http://amigo.geneontology.org/amigo/term/GO:0009058","GO:0009058")</f>
        <v>GO:0009058</v>
      </c>
      <c r="D55" t="s">
        <v>5724</v>
      </c>
      <c r="E55">
        <v>8848</v>
      </c>
      <c r="F55">
        <v>14</v>
      </c>
      <c r="G55">
        <v>6.0285465027970298E-3</v>
      </c>
      <c r="H55">
        <v>0.61491174328529696</v>
      </c>
      <c r="I55" t="s">
        <v>8781</v>
      </c>
    </row>
    <row r="56" spans="1:9" x14ac:dyDescent="0.25">
      <c r="A56" t="s">
        <v>8782</v>
      </c>
      <c r="C56" s="3" t="str">
        <f>HYPERLINK("http://amigo.geneontology.org/amigo/term/GO:0016779","GO:0016779")</f>
        <v>GO:0016779</v>
      </c>
      <c r="D56" t="s">
        <v>6304</v>
      </c>
      <c r="E56">
        <v>498</v>
      </c>
      <c r="F56">
        <v>3</v>
      </c>
      <c r="G56">
        <v>6.6663002188006798E-3</v>
      </c>
      <c r="H56">
        <v>0.66663002188006804</v>
      </c>
      <c r="I56" t="s">
        <v>8707</v>
      </c>
    </row>
    <row r="57" spans="1:9" x14ac:dyDescent="0.25">
      <c r="A57" t="s">
        <v>8783</v>
      </c>
      <c r="C57" s="3" t="str">
        <f>HYPERLINK("http://amigo.geneontology.org/amigo/term/GO:0016627","GO:0016627")</f>
        <v>GO:0016627</v>
      </c>
      <c r="D57" t="s">
        <v>8784</v>
      </c>
      <c r="E57">
        <v>159</v>
      </c>
      <c r="F57">
        <v>2</v>
      </c>
      <c r="G57">
        <v>6.6980916474197096E-3</v>
      </c>
      <c r="H57">
        <v>0.656412981447132</v>
      </c>
      <c r="I57" t="s">
        <v>8713</v>
      </c>
    </row>
    <row r="58" spans="1:9" x14ac:dyDescent="0.25">
      <c r="A58" t="s">
        <v>8785</v>
      </c>
      <c r="C58" s="3" t="str">
        <f>HYPERLINK("http://amigo.geneontology.org/amigo/term/GO:0015079","GO:0015079")</f>
        <v>GO:0015079</v>
      </c>
      <c r="D58" t="s">
        <v>264</v>
      </c>
      <c r="E58">
        <v>160</v>
      </c>
      <c r="F58">
        <v>2</v>
      </c>
      <c r="G58">
        <v>6.7795611887997804E-3</v>
      </c>
      <c r="H58">
        <v>0.650837874124779</v>
      </c>
      <c r="I58" t="s">
        <v>8770</v>
      </c>
    </row>
    <row r="59" spans="1:9" x14ac:dyDescent="0.25">
      <c r="A59" t="s">
        <v>8786</v>
      </c>
      <c r="C59" s="3" t="str">
        <f>HYPERLINK("http://amigo.geneontology.org/amigo/term/GO:0030599","GO:0030599")</f>
        <v>GO:0030599</v>
      </c>
      <c r="D59" t="s">
        <v>185</v>
      </c>
      <c r="E59">
        <v>167</v>
      </c>
      <c r="F59">
        <v>2</v>
      </c>
      <c r="G59">
        <v>7.36245378276453E-3</v>
      </c>
      <c r="H59">
        <v>0.69207065557986602</v>
      </c>
      <c r="I59" t="s">
        <v>8787</v>
      </c>
    </row>
    <row r="60" spans="1:9" x14ac:dyDescent="0.25">
      <c r="A60" t="s">
        <v>8788</v>
      </c>
      <c r="C60" s="3" t="str">
        <f>HYPERLINK("http://amigo.geneontology.org/amigo/term/GO:0044210","GO:0044210")</f>
        <v>GO:0044210</v>
      </c>
      <c r="D60" t="s">
        <v>8789</v>
      </c>
      <c r="E60">
        <v>10</v>
      </c>
      <c r="F60">
        <v>1</v>
      </c>
      <c r="G60">
        <v>7.6286159448293997E-3</v>
      </c>
      <c r="H60">
        <v>0.70183266692430502</v>
      </c>
      <c r="I60" t="s">
        <v>8782</v>
      </c>
    </row>
    <row r="61" spans="1:9" x14ac:dyDescent="0.25">
      <c r="A61" t="s">
        <v>8790</v>
      </c>
      <c r="C61" s="3" t="str">
        <f>HYPERLINK("http://amigo.geneontology.org/amigo/term/GO:0016021","GO:0016021")</f>
        <v>GO:0016021</v>
      </c>
      <c r="D61" t="s">
        <v>203</v>
      </c>
      <c r="E61">
        <v>7362</v>
      </c>
      <c r="F61">
        <v>12</v>
      </c>
      <c r="G61">
        <v>9.0379413620365699E-3</v>
      </c>
      <c r="H61">
        <v>0.81341472258329195</v>
      </c>
      <c r="I61" t="s">
        <v>8791</v>
      </c>
    </row>
    <row r="62" spans="1:9" x14ac:dyDescent="0.25">
      <c r="A62" t="s">
        <v>8792</v>
      </c>
      <c r="C62" s="3" t="str">
        <f>HYPERLINK("http://amigo.geneontology.org/amigo/term/GO:0006813","GO:0006813")</f>
        <v>GO:0006813</v>
      </c>
      <c r="D62" t="s">
        <v>212</v>
      </c>
      <c r="E62">
        <v>188</v>
      </c>
      <c r="F62">
        <v>2</v>
      </c>
      <c r="G62">
        <v>9.2414788661047999E-3</v>
      </c>
      <c r="H62">
        <v>0.81325014021722197</v>
      </c>
      <c r="I62" t="s">
        <v>8770</v>
      </c>
    </row>
    <row r="63" spans="1:9" x14ac:dyDescent="0.25">
      <c r="A63" t="s">
        <v>8793</v>
      </c>
      <c r="C63" s="3" t="str">
        <f>HYPERLINK("http://amigo.geneontology.org/amigo/term/GO:0031224","GO:0031224")</f>
        <v>GO:0031224</v>
      </c>
      <c r="D63" t="s">
        <v>191</v>
      </c>
      <c r="E63">
        <v>7435</v>
      </c>
      <c r="F63">
        <v>12</v>
      </c>
      <c r="G63">
        <v>9.74320622302648E-3</v>
      </c>
      <c r="H63">
        <v>0.83791573518027795</v>
      </c>
      <c r="I63" t="s">
        <v>8791</v>
      </c>
    </row>
    <row r="64" spans="1:9" x14ac:dyDescent="0.25">
      <c r="A64" t="s">
        <v>8794</v>
      </c>
      <c r="C64" s="3" t="str">
        <f>HYPERLINK("http://amigo.geneontology.org/amigo/term/GO:1990234","GO:1990234")</f>
        <v>GO:1990234</v>
      </c>
      <c r="D64" t="s">
        <v>8795</v>
      </c>
      <c r="E64">
        <v>600</v>
      </c>
      <c r="F64">
        <v>3</v>
      </c>
      <c r="G64">
        <v>1.1048814396171501E-2</v>
      </c>
      <c r="H64">
        <v>0.93914922367458298</v>
      </c>
      <c r="I64" t="s">
        <v>8707</v>
      </c>
    </row>
    <row r="65" spans="1:9" x14ac:dyDescent="0.25">
      <c r="A65" t="s">
        <v>8796</v>
      </c>
      <c r="C65" s="3" t="str">
        <f>HYPERLINK("http://amigo.geneontology.org/amigo/term/GO:0043086","GO:0043086")</f>
        <v>GO:0043086</v>
      </c>
      <c r="D65" t="s">
        <v>510</v>
      </c>
      <c r="E65">
        <v>209</v>
      </c>
      <c r="F65">
        <v>2</v>
      </c>
      <c r="G65">
        <v>1.1310991974441799E-2</v>
      </c>
      <c r="H65">
        <v>0.93881233387867602</v>
      </c>
      <c r="I65" t="s">
        <v>8787</v>
      </c>
    </row>
    <row r="66" spans="1:9" x14ac:dyDescent="0.25">
      <c r="A66" t="s">
        <v>8797</v>
      </c>
      <c r="C66" s="3" t="str">
        <f>HYPERLINK("http://amigo.geneontology.org/amigo/term/GO:0009579","GO:0009579")</f>
        <v>GO:0009579</v>
      </c>
      <c r="D66" t="s">
        <v>8798</v>
      </c>
      <c r="E66">
        <v>1139</v>
      </c>
      <c r="F66">
        <v>4</v>
      </c>
      <c r="G66">
        <v>1.1352008498166701E-2</v>
      </c>
      <c r="H66">
        <v>0.93086469684967299</v>
      </c>
      <c r="I66" t="s">
        <v>8709</v>
      </c>
    </row>
    <row r="67" spans="1:9" x14ac:dyDescent="0.25">
      <c r="A67" t="s">
        <v>8799</v>
      </c>
      <c r="C67" s="3" t="str">
        <f>HYPERLINK("http://amigo.geneontology.org/amigo/term/GO:0003883","GO:0003883")</f>
        <v>GO:0003883</v>
      </c>
      <c r="D67" t="s">
        <v>8800</v>
      </c>
      <c r="E67">
        <v>15</v>
      </c>
      <c r="F67">
        <v>1</v>
      </c>
      <c r="G67">
        <v>1.1421441177885801E-2</v>
      </c>
      <c r="H67">
        <v>0.91371529423086595</v>
      </c>
      <c r="I67" t="s">
        <v>8782</v>
      </c>
    </row>
    <row r="68" spans="1:9" x14ac:dyDescent="0.25">
      <c r="A68" t="s">
        <v>8801</v>
      </c>
      <c r="C68" s="3" t="str">
        <f>HYPERLINK("http://amigo.geneontology.org/amigo/term/GO:0044092","GO:0044092")</f>
        <v>GO:0044092</v>
      </c>
      <c r="D68" t="s">
        <v>552</v>
      </c>
      <c r="E68">
        <v>221</v>
      </c>
      <c r="F68">
        <v>2</v>
      </c>
      <c r="G68">
        <v>1.25766480412009E-2</v>
      </c>
      <c r="H68">
        <v>0.99355519525487301</v>
      </c>
      <c r="I68" t="s">
        <v>8787</v>
      </c>
    </row>
    <row r="69" spans="1:9" x14ac:dyDescent="0.25">
      <c r="A69" t="s">
        <v>8802</v>
      </c>
      <c r="C69" s="3" t="str">
        <f>HYPERLINK("http://amigo.geneontology.org/amigo/term/GO:0003677","GO:0003677")</f>
        <v>GO:0003677</v>
      </c>
      <c r="D69" t="s">
        <v>6850</v>
      </c>
      <c r="E69">
        <v>6799</v>
      </c>
      <c r="F69">
        <v>11</v>
      </c>
      <c r="G69">
        <v>1.32044966870011E-2</v>
      </c>
      <c r="H69">
        <v>1</v>
      </c>
      <c r="I69" t="s">
        <v>8803</v>
      </c>
    </row>
    <row r="70" spans="1:9" x14ac:dyDescent="0.25">
      <c r="A70" t="s">
        <v>8804</v>
      </c>
      <c r="C70" s="3" t="str">
        <f>HYPERLINK("http://amigo.geneontology.org/amigo/term/GO:0042744","GO:0042744")</f>
        <v>GO:0042744</v>
      </c>
      <c r="D70" t="s">
        <v>1152</v>
      </c>
      <c r="E70">
        <v>227</v>
      </c>
      <c r="F70">
        <v>2</v>
      </c>
      <c r="G70">
        <v>1.32316593474628E-2</v>
      </c>
      <c r="H70">
        <v>1</v>
      </c>
      <c r="I70" t="s">
        <v>8805</v>
      </c>
    </row>
    <row r="71" spans="1:9" x14ac:dyDescent="0.25">
      <c r="A71" t="s">
        <v>8806</v>
      </c>
      <c r="C71" s="3" t="str">
        <f>HYPERLINK("http://amigo.geneontology.org/amigo/term/GO:0017001","GO:0017001")</f>
        <v>GO:0017001</v>
      </c>
      <c r="D71" t="s">
        <v>1226</v>
      </c>
      <c r="E71">
        <v>234</v>
      </c>
      <c r="F71">
        <v>2</v>
      </c>
      <c r="G71">
        <v>1.40142778758657E-2</v>
      </c>
      <c r="H71">
        <v>1</v>
      </c>
      <c r="I71" t="s">
        <v>8805</v>
      </c>
    </row>
    <row r="72" spans="1:9" x14ac:dyDescent="0.25">
      <c r="A72" t="s">
        <v>8807</v>
      </c>
      <c r="C72" s="3" t="str">
        <f>HYPERLINK("http://amigo.geneontology.org/amigo/term/GO:0035251","GO:0035251")</f>
        <v>GO:0035251</v>
      </c>
      <c r="D72" t="s">
        <v>436</v>
      </c>
      <c r="E72">
        <v>234</v>
      </c>
      <c r="F72">
        <v>2</v>
      </c>
      <c r="G72">
        <v>1.40142778758657E-2</v>
      </c>
      <c r="H72">
        <v>1</v>
      </c>
      <c r="I72" t="s">
        <v>8738</v>
      </c>
    </row>
    <row r="73" spans="1:9" x14ac:dyDescent="0.25">
      <c r="A73" t="s">
        <v>8808</v>
      </c>
      <c r="C73" s="3" t="str">
        <f>HYPERLINK("http://amigo.geneontology.org/amigo/term/GO:0098796","GO:0098796")</f>
        <v>GO:0098796</v>
      </c>
      <c r="D73" t="s">
        <v>8809</v>
      </c>
      <c r="E73">
        <v>1216</v>
      </c>
      <c r="F73">
        <v>4</v>
      </c>
      <c r="G73">
        <v>1.41288818301604E-2</v>
      </c>
      <c r="H73">
        <v>1</v>
      </c>
      <c r="I73" t="s">
        <v>8709</v>
      </c>
    </row>
    <row r="74" spans="1:9" x14ac:dyDescent="0.25">
      <c r="A74" t="s">
        <v>8810</v>
      </c>
      <c r="C74" s="3" t="str">
        <f>HYPERLINK("http://amigo.geneontology.org/amigo/term/GO:0046906","GO:0046906")</f>
        <v>GO:0046906</v>
      </c>
      <c r="D74" t="s">
        <v>1085</v>
      </c>
      <c r="E74">
        <v>2625</v>
      </c>
      <c r="F74">
        <v>6</v>
      </c>
      <c r="G74">
        <v>1.5007239358223699E-2</v>
      </c>
      <c r="H74">
        <v>1</v>
      </c>
      <c r="I74" t="s">
        <v>8811</v>
      </c>
    </row>
    <row r="75" spans="1:9" x14ac:dyDescent="0.25">
      <c r="A75" t="s">
        <v>8812</v>
      </c>
      <c r="C75" s="3" t="str">
        <f>HYPERLINK("http://amigo.geneontology.org/amigo/term/GO:0005984","GO:0005984")</f>
        <v>GO:0005984</v>
      </c>
      <c r="D75" t="s">
        <v>673</v>
      </c>
      <c r="E75">
        <v>251</v>
      </c>
      <c r="F75">
        <v>2</v>
      </c>
      <c r="G75">
        <v>1.5996248885021502E-2</v>
      </c>
      <c r="H75">
        <v>1</v>
      </c>
      <c r="I75" t="s">
        <v>8738</v>
      </c>
    </row>
    <row r="76" spans="1:9" x14ac:dyDescent="0.25">
      <c r="A76" t="s">
        <v>8813</v>
      </c>
      <c r="C76" s="3" t="str">
        <f>HYPERLINK("http://amigo.geneontology.org/amigo/term/GO:0042743","GO:0042743")</f>
        <v>GO:0042743</v>
      </c>
      <c r="D76" t="s">
        <v>1237</v>
      </c>
      <c r="E76">
        <v>259</v>
      </c>
      <c r="F76">
        <v>2</v>
      </c>
      <c r="G76">
        <v>1.69681115241344E-2</v>
      </c>
      <c r="H76">
        <v>1</v>
      </c>
      <c r="I76" t="s">
        <v>8805</v>
      </c>
    </row>
    <row r="77" spans="1:9" x14ac:dyDescent="0.25">
      <c r="A77" t="s">
        <v>8814</v>
      </c>
      <c r="C77" s="3" t="str">
        <f>HYPERLINK("http://amigo.geneontology.org/amigo/term/GO:0009311","GO:0009311")</f>
        <v>GO:0009311</v>
      </c>
      <c r="D77" t="s">
        <v>762</v>
      </c>
      <c r="E77">
        <v>275</v>
      </c>
      <c r="F77">
        <v>2</v>
      </c>
      <c r="G77">
        <v>1.8985356621126701E-2</v>
      </c>
      <c r="H77">
        <v>1</v>
      </c>
      <c r="I77" t="s">
        <v>8738</v>
      </c>
    </row>
    <row r="78" spans="1:9" x14ac:dyDescent="0.25">
      <c r="A78" t="s">
        <v>8815</v>
      </c>
      <c r="C78" s="3" t="str">
        <f>HYPERLINK("http://amigo.geneontology.org/amigo/term/GO:0031981","GO:0031981")</f>
        <v>GO:0031981</v>
      </c>
      <c r="D78" t="s">
        <v>8816</v>
      </c>
      <c r="E78">
        <v>748</v>
      </c>
      <c r="F78">
        <v>3</v>
      </c>
      <c r="G78">
        <v>1.9798031270453698E-2</v>
      </c>
      <c r="H78">
        <v>1</v>
      </c>
      <c r="I78" t="s">
        <v>8707</v>
      </c>
    </row>
    <row r="79" spans="1:9" x14ac:dyDescent="0.25">
      <c r="A79" t="s">
        <v>8817</v>
      </c>
      <c r="C79" s="3" t="str">
        <f>HYPERLINK("http://amigo.geneontology.org/amigo/term/GO:0045548","GO:0045548")</f>
        <v>GO:0045548</v>
      </c>
      <c r="D79" t="s">
        <v>7006</v>
      </c>
      <c r="E79">
        <v>27</v>
      </c>
      <c r="F79">
        <v>1</v>
      </c>
      <c r="G79">
        <v>2.0466176456565999E-2</v>
      </c>
      <c r="H79">
        <v>1</v>
      </c>
      <c r="I79" t="s">
        <v>8708</v>
      </c>
    </row>
    <row r="80" spans="1:9" x14ac:dyDescent="0.25">
      <c r="A80" t="s">
        <v>8818</v>
      </c>
      <c r="C80" s="3" t="str">
        <f>HYPERLINK("http://amigo.geneontology.org/amigo/term/GO:0004601","GO:0004601")</f>
        <v>GO:0004601</v>
      </c>
      <c r="D80" t="s">
        <v>640</v>
      </c>
      <c r="E80">
        <v>798</v>
      </c>
      <c r="F80">
        <v>3</v>
      </c>
      <c r="G80">
        <v>2.3413026793890599E-2</v>
      </c>
      <c r="H80">
        <v>1</v>
      </c>
      <c r="I80" t="s">
        <v>8819</v>
      </c>
    </row>
    <row r="81" spans="1:9" x14ac:dyDescent="0.25">
      <c r="A81" t="s">
        <v>8820</v>
      </c>
      <c r="C81" s="3" t="str">
        <f>HYPERLINK("http://amigo.geneontology.org/amigo/term/GO:0009803","GO:0009803")</f>
        <v>GO:0009803</v>
      </c>
      <c r="D81" t="s">
        <v>7022</v>
      </c>
      <c r="E81">
        <v>31</v>
      </c>
      <c r="F81">
        <v>1</v>
      </c>
      <c r="G81">
        <v>2.3462972018435901E-2</v>
      </c>
      <c r="H81">
        <v>1</v>
      </c>
      <c r="I81" t="s">
        <v>8708</v>
      </c>
    </row>
    <row r="82" spans="1:9" x14ac:dyDescent="0.25">
      <c r="A82" t="s">
        <v>8821</v>
      </c>
      <c r="C82" s="3" t="str">
        <f>HYPERLINK("http://amigo.geneontology.org/amigo/term/GO:0009800","GO:0009800")</f>
        <v>GO:0009800</v>
      </c>
      <c r="D82" t="s">
        <v>7024</v>
      </c>
      <c r="E82">
        <v>31</v>
      </c>
      <c r="F82">
        <v>1</v>
      </c>
      <c r="G82">
        <v>2.3462972018435901E-2</v>
      </c>
      <c r="H82">
        <v>1</v>
      </c>
      <c r="I82" t="s">
        <v>8708</v>
      </c>
    </row>
    <row r="83" spans="1:9" x14ac:dyDescent="0.25">
      <c r="A83" t="s">
        <v>8822</v>
      </c>
      <c r="C83" s="3" t="str">
        <f>HYPERLINK("http://amigo.geneontology.org/amigo/term/GO:0016684","GO:0016684")</f>
        <v>GO:0016684</v>
      </c>
      <c r="D83" t="s">
        <v>643</v>
      </c>
      <c r="E83">
        <v>799</v>
      </c>
      <c r="F83">
        <v>3</v>
      </c>
      <c r="G83">
        <v>2.3488750017110101E-2</v>
      </c>
      <c r="H83">
        <v>1</v>
      </c>
      <c r="I83" t="s">
        <v>8819</v>
      </c>
    </row>
    <row r="84" spans="1:9" x14ac:dyDescent="0.25">
      <c r="A84" t="s">
        <v>8823</v>
      </c>
      <c r="C84" s="3" t="str">
        <f>HYPERLINK("http://amigo.geneontology.org/amigo/term/GO:0072593","GO:0072593")</f>
        <v>GO:0072593</v>
      </c>
      <c r="D84" t="s">
        <v>4212</v>
      </c>
      <c r="E84">
        <v>311</v>
      </c>
      <c r="F84">
        <v>2</v>
      </c>
      <c r="G84">
        <v>2.38707889217726E-2</v>
      </c>
      <c r="H84">
        <v>1</v>
      </c>
      <c r="I84" t="s">
        <v>8805</v>
      </c>
    </row>
    <row r="85" spans="1:9" x14ac:dyDescent="0.25">
      <c r="A85" t="s">
        <v>8824</v>
      </c>
      <c r="C85" s="3" t="str">
        <f>HYPERLINK("http://amigo.geneontology.org/amigo/term/GO:0002183","GO:0002183")</f>
        <v>GO:0002183</v>
      </c>
      <c r="D85" t="s">
        <v>8825</v>
      </c>
      <c r="E85">
        <v>33</v>
      </c>
      <c r="F85">
        <v>1</v>
      </c>
      <c r="G85">
        <v>2.4957988074884498E-2</v>
      </c>
      <c r="H85">
        <v>1</v>
      </c>
      <c r="I85" t="s">
        <v>8759</v>
      </c>
    </row>
    <row r="86" spans="1:9" x14ac:dyDescent="0.25">
      <c r="A86" t="s">
        <v>8826</v>
      </c>
      <c r="C86" s="3" t="str">
        <f>HYPERLINK("http://amigo.geneontology.org/amigo/term/GO:0001731","GO:0001731")</f>
        <v>GO:0001731</v>
      </c>
      <c r="D86" t="s">
        <v>8827</v>
      </c>
      <c r="E86">
        <v>33</v>
      </c>
      <c r="F86">
        <v>1</v>
      </c>
      <c r="G86">
        <v>2.4957988074884498E-2</v>
      </c>
      <c r="H86">
        <v>1</v>
      </c>
      <c r="I86" t="s">
        <v>8759</v>
      </c>
    </row>
    <row r="87" spans="1:9" x14ac:dyDescent="0.25">
      <c r="A87" t="s">
        <v>8828</v>
      </c>
      <c r="C87" s="3" t="str">
        <f>HYPERLINK("http://amigo.geneontology.org/amigo/term/GO:0070993","GO:0070993")</f>
        <v>GO:0070993</v>
      </c>
      <c r="D87" t="s">
        <v>8829</v>
      </c>
      <c r="E87">
        <v>33</v>
      </c>
      <c r="F87">
        <v>1</v>
      </c>
      <c r="G87">
        <v>2.4957988074884498E-2</v>
      </c>
      <c r="H87">
        <v>1</v>
      </c>
      <c r="I87" t="s">
        <v>8759</v>
      </c>
    </row>
    <row r="88" spans="1:9" x14ac:dyDescent="0.25">
      <c r="A88" t="s">
        <v>8830</v>
      </c>
      <c r="C88" s="3" t="str">
        <f>HYPERLINK("http://amigo.geneontology.org/amigo/term/GO:0016282","GO:0016282")</f>
        <v>GO:0016282</v>
      </c>
      <c r="D88" t="s">
        <v>8831</v>
      </c>
      <c r="E88">
        <v>33</v>
      </c>
      <c r="F88">
        <v>1</v>
      </c>
      <c r="G88">
        <v>2.4957988074884498E-2</v>
      </c>
      <c r="H88">
        <v>1</v>
      </c>
      <c r="I88" t="s">
        <v>8759</v>
      </c>
    </row>
    <row r="89" spans="1:9" x14ac:dyDescent="0.25">
      <c r="C89" s="3" t="str">
        <f>HYPERLINK("http://amigo.geneontology.org/amigo/term/GO:0033290","GO:0033290")</f>
        <v>GO:0033290</v>
      </c>
      <c r="D89" t="s">
        <v>8832</v>
      </c>
      <c r="E89">
        <v>33</v>
      </c>
      <c r="F89">
        <v>1</v>
      </c>
      <c r="G89">
        <v>2.4957988074884498E-2</v>
      </c>
      <c r="H89">
        <v>1</v>
      </c>
      <c r="I89" t="s">
        <v>8759</v>
      </c>
    </row>
    <row r="90" spans="1:9" x14ac:dyDescent="0.25">
      <c r="C90" s="3" t="str">
        <f>HYPERLINK("http://amigo.geneontology.org/amigo/term/GO:0044425","GO:0044425")</f>
        <v>GO:0044425</v>
      </c>
      <c r="D90" t="s">
        <v>215</v>
      </c>
      <c r="E90">
        <v>8465</v>
      </c>
      <c r="F90">
        <v>12</v>
      </c>
      <c r="G90">
        <v>2.5061311696812701E-2</v>
      </c>
      <c r="H90">
        <v>1</v>
      </c>
      <c r="I90" t="s">
        <v>8791</v>
      </c>
    </row>
    <row r="91" spans="1:9" x14ac:dyDescent="0.25">
      <c r="C91" s="3" t="str">
        <f>HYPERLINK("http://amigo.geneontology.org/amigo/term/GO:0002181","GO:0002181")</f>
        <v>GO:0002181</v>
      </c>
      <c r="D91" t="s">
        <v>8833</v>
      </c>
      <c r="E91">
        <v>35</v>
      </c>
      <c r="F91">
        <v>1</v>
      </c>
      <c r="G91">
        <v>2.6450754091507701E-2</v>
      </c>
      <c r="H91">
        <v>1</v>
      </c>
      <c r="I91" t="s">
        <v>8759</v>
      </c>
    </row>
    <row r="92" spans="1:9" x14ac:dyDescent="0.25">
      <c r="C92" s="3" t="str">
        <f>HYPERLINK("http://amigo.geneontology.org/amigo/term/GO:0006446","GO:0006446")</f>
        <v>GO:0006446</v>
      </c>
      <c r="D92" t="s">
        <v>8834</v>
      </c>
      <c r="E92">
        <v>36</v>
      </c>
      <c r="F92">
        <v>1</v>
      </c>
      <c r="G92">
        <v>2.7196294375098198E-2</v>
      </c>
      <c r="H92">
        <v>1</v>
      </c>
      <c r="I92" t="s">
        <v>8759</v>
      </c>
    </row>
    <row r="93" spans="1:9" x14ac:dyDescent="0.25">
      <c r="C93" s="3" t="str">
        <f>HYPERLINK("http://amigo.geneontology.org/amigo/term/GO:0051187","GO:0051187")</f>
        <v>GO:0051187</v>
      </c>
      <c r="D93" t="s">
        <v>4229</v>
      </c>
      <c r="E93">
        <v>340</v>
      </c>
      <c r="F93">
        <v>2</v>
      </c>
      <c r="G93">
        <v>2.8139702475565201E-2</v>
      </c>
      <c r="H93">
        <v>1</v>
      </c>
      <c r="I93" t="s">
        <v>8805</v>
      </c>
    </row>
    <row r="94" spans="1:9" x14ac:dyDescent="0.25">
      <c r="C94" s="3" t="str">
        <f>HYPERLINK("http://amigo.geneontology.org/amigo/term/GO:0030001","GO:0030001")</f>
        <v>GO:0030001</v>
      </c>
      <c r="D94" t="s">
        <v>326</v>
      </c>
      <c r="E94">
        <v>860</v>
      </c>
      <c r="F94">
        <v>3</v>
      </c>
      <c r="G94">
        <v>2.83616363373996E-2</v>
      </c>
      <c r="H94">
        <v>1</v>
      </c>
      <c r="I94" t="s">
        <v>8835</v>
      </c>
    </row>
    <row r="95" spans="1:9" x14ac:dyDescent="0.25">
      <c r="C95" s="3" t="str">
        <f>HYPERLINK("http://amigo.geneontology.org/amigo/term/GO:0009148","GO:0009148")</f>
        <v>GO:0009148</v>
      </c>
      <c r="D95" t="s">
        <v>4422</v>
      </c>
      <c r="E95">
        <v>38</v>
      </c>
      <c r="F95">
        <v>1</v>
      </c>
      <c r="G95">
        <v>2.8685691564010699E-2</v>
      </c>
      <c r="H95">
        <v>1</v>
      </c>
      <c r="I95" t="s">
        <v>8782</v>
      </c>
    </row>
    <row r="96" spans="1:9" x14ac:dyDescent="0.25">
      <c r="C96" s="3" t="str">
        <f>HYPERLINK("http://amigo.geneontology.org/amigo/term/GO:0009208","GO:0009208")</f>
        <v>GO:0009208</v>
      </c>
      <c r="D96" t="s">
        <v>4423</v>
      </c>
      <c r="E96">
        <v>38</v>
      </c>
      <c r="F96">
        <v>1</v>
      </c>
      <c r="G96">
        <v>2.8685691564010699E-2</v>
      </c>
      <c r="H96">
        <v>1</v>
      </c>
      <c r="I96" t="s">
        <v>8782</v>
      </c>
    </row>
    <row r="97" spans="3:9" x14ac:dyDescent="0.25">
      <c r="C97" s="3" t="str">
        <f>HYPERLINK("http://amigo.geneontology.org/amigo/term/GO:0009209","GO:0009209")</f>
        <v>GO:0009209</v>
      </c>
      <c r="D97" t="s">
        <v>4424</v>
      </c>
      <c r="E97">
        <v>38</v>
      </c>
      <c r="F97">
        <v>1</v>
      </c>
      <c r="G97">
        <v>2.8685691564010699E-2</v>
      </c>
      <c r="H97">
        <v>1</v>
      </c>
      <c r="I97" t="s">
        <v>8782</v>
      </c>
    </row>
    <row r="98" spans="3:9" x14ac:dyDescent="0.25">
      <c r="C98" s="3" t="str">
        <f>HYPERLINK("http://amigo.geneontology.org/amigo/term/GO:0046036","GO:0046036")</f>
        <v>GO:0046036</v>
      </c>
      <c r="D98" t="s">
        <v>4425</v>
      </c>
      <c r="E98">
        <v>38</v>
      </c>
      <c r="F98">
        <v>1</v>
      </c>
      <c r="G98">
        <v>2.8685691564010699E-2</v>
      </c>
      <c r="H98">
        <v>1</v>
      </c>
      <c r="I98" t="s">
        <v>8782</v>
      </c>
    </row>
    <row r="99" spans="3:9" x14ac:dyDescent="0.25">
      <c r="C99" s="3" t="str">
        <f>HYPERLINK("http://amigo.geneontology.org/amigo/term/GO:0006241","GO:0006241")</f>
        <v>GO:0006241</v>
      </c>
      <c r="D99" t="s">
        <v>4426</v>
      </c>
      <c r="E99">
        <v>38</v>
      </c>
      <c r="F99">
        <v>1</v>
      </c>
      <c r="G99">
        <v>2.8685691564010699E-2</v>
      </c>
      <c r="H99">
        <v>1</v>
      </c>
      <c r="I99" t="s">
        <v>8782</v>
      </c>
    </row>
    <row r="100" spans="3:9" x14ac:dyDescent="0.25">
      <c r="C100" s="3" t="str">
        <f>HYPERLINK("http://amigo.geneontology.org/amigo/term/GO:0022890","GO:0022890")</f>
        <v>GO:0022890</v>
      </c>
      <c r="D100" t="s">
        <v>252</v>
      </c>
      <c r="E100">
        <v>884</v>
      </c>
      <c r="F100">
        <v>3</v>
      </c>
      <c r="G100">
        <v>3.04154413663867E-2</v>
      </c>
      <c r="H100">
        <v>1</v>
      </c>
      <c r="I100" t="s">
        <v>8835</v>
      </c>
    </row>
    <row r="101" spans="3:9" x14ac:dyDescent="0.25">
      <c r="C101" s="3" t="str">
        <f>HYPERLINK("http://amigo.geneontology.org/amigo/term/GO:0050664","GO:0050664")</f>
        <v>GO:0050664</v>
      </c>
      <c r="D101" t="s">
        <v>4320</v>
      </c>
      <c r="E101">
        <v>42</v>
      </c>
      <c r="F101">
        <v>1</v>
      </c>
      <c r="G101">
        <v>3.1657764077401097E-2</v>
      </c>
      <c r="H101">
        <v>1</v>
      </c>
      <c r="I101" t="s">
        <v>8817</v>
      </c>
    </row>
    <row r="102" spans="3:9" x14ac:dyDescent="0.25">
      <c r="C102" s="3" t="str">
        <f>HYPERLINK("http://amigo.geneontology.org/amigo/term/GO:0043233","GO:0043233")</f>
        <v>GO:0043233</v>
      </c>
      <c r="D102" t="s">
        <v>8836</v>
      </c>
      <c r="E102">
        <v>909</v>
      </c>
      <c r="F102">
        <v>3</v>
      </c>
      <c r="G102">
        <v>3.2636495289868603E-2</v>
      </c>
      <c r="H102">
        <v>1</v>
      </c>
      <c r="I102" t="s">
        <v>8707</v>
      </c>
    </row>
    <row r="103" spans="3:9" x14ac:dyDescent="0.25">
      <c r="C103" s="3" t="str">
        <f>HYPERLINK("http://amigo.geneontology.org/amigo/term/GO:0070013","GO:0070013")</f>
        <v>GO:0070013</v>
      </c>
      <c r="D103" t="s">
        <v>8837</v>
      </c>
      <c r="E103">
        <v>909</v>
      </c>
      <c r="F103">
        <v>3</v>
      </c>
      <c r="G103">
        <v>3.2636495289868603E-2</v>
      </c>
      <c r="H103">
        <v>1</v>
      </c>
      <c r="I103" t="s">
        <v>8707</v>
      </c>
    </row>
    <row r="104" spans="3:9" x14ac:dyDescent="0.25">
      <c r="C104" s="3" t="str">
        <f>HYPERLINK("http://amigo.geneontology.org/amigo/term/GO:0046527","GO:0046527")</f>
        <v>GO:0046527</v>
      </c>
      <c r="D104" t="s">
        <v>234</v>
      </c>
      <c r="E104">
        <v>380</v>
      </c>
      <c r="F104">
        <v>2</v>
      </c>
      <c r="G104">
        <v>3.4487433264897498E-2</v>
      </c>
      <c r="H104">
        <v>1</v>
      </c>
      <c r="I104" t="s">
        <v>8738</v>
      </c>
    </row>
    <row r="105" spans="3:9" x14ac:dyDescent="0.25">
      <c r="C105" s="3" t="str">
        <f>HYPERLINK("http://amigo.geneontology.org/amigo/term/GO:0016070","GO:0016070")</f>
        <v>GO:0016070</v>
      </c>
      <c r="D105" t="s">
        <v>6822</v>
      </c>
      <c r="E105">
        <v>4072</v>
      </c>
      <c r="F105">
        <v>7</v>
      </c>
      <c r="G105">
        <v>3.5336662854282497E-2</v>
      </c>
      <c r="H105">
        <v>1</v>
      </c>
      <c r="I105" t="s">
        <v>8748</v>
      </c>
    </row>
    <row r="106" spans="3:9" x14ac:dyDescent="0.25">
      <c r="C106" s="3" t="str">
        <f>HYPERLINK("http://amigo.geneontology.org/amigo/term/GO:0052689","GO:0052689")</f>
        <v>GO:0052689</v>
      </c>
      <c r="D106" t="s">
        <v>267</v>
      </c>
      <c r="E106">
        <v>389</v>
      </c>
      <c r="F106">
        <v>2</v>
      </c>
      <c r="G106">
        <v>3.5985816518147001E-2</v>
      </c>
      <c r="H106">
        <v>1</v>
      </c>
      <c r="I106" t="s">
        <v>8787</v>
      </c>
    </row>
    <row r="107" spans="3:9" x14ac:dyDescent="0.25">
      <c r="C107" s="3" t="str">
        <f>HYPERLINK("http://amigo.geneontology.org/amigo/term/GO:0008762","GO:0008762")</f>
        <v>GO:0008762</v>
      </c>
      <c r="D107" t="s">
        <v>5623</v>
      </c>
      <c r="E107">
        <v>48</v>
      </c>
      <c r="F107">
        <v>1</v>
      </c>
      <c r="G107">
        <v>3.6099117835251403E-2</v>
      </c>
      <c r="H107">
        <v>1</v>
      </c>
      <c r="I107" t="s">
        <v>8698</v>
      </c>
    </row>
    <row r="108" spans="3:9" x14ac:dyDescent="0.25">
      <c r="C108" s="3" t="str">
        <f>HYPERLINK("http://amigo.geneontology.org/amigo/term/GO:0009507","GO:0009507")</f>
        <v>GO:0009507</v>
      </c>
      <c r="D108" t="s">
        <v>8838</v>
      </c>
      <c r="E108">
        <v>2400</v>
      </c>
      <c r="F108">
        <v>5</v>
      </c>
      <c r="G108">
        <v>3.65124040905314E-2</v>
      </c>
      <c r="H108">
        <v>1</v>
      </c>
      <c r="I108" t="s">
        <v>8839</v>
      </c>
    </row>
    <row r="109" spans="3:9" x14ac:dyDescent="0.25">
      <c r="C109" s="3" t="str">
        <f>HYPERLINK("http://amigo.geneontology.org/amigo/term/GO:0055035","GO:0055035")</f>
        <v>GO:0055035</v>
      </c>
      <c r="D109" t="s">
        <v>8840</v>
      </c>
      <c r="E109">
        <v>402</v>
      </c>
      <c r="F109">
        <v>2</v>
      </c>
      <c r="G109">
        <v>3.8193986940151699E-2</v>
      </c>
      <c r="H109">
        <v>1</v>
      </c>
      <c r="I109" t="s">
        <v>8768</v>
      </c>
    </row>
    <row r="110" spans="3:9" x14ac:dyDescent="0.25">
      <c r="C110" s="3" t="str">
        <f>HYPERLINK("http://amigo.geneontology.org/amigo/term/GO:0009535","GO:0009535")</f>
        <v>GO:0009535</v>
      </c>
      <c r="D110" t="s">
        <v>8841</v>
      </c>
      <c r="E110">
        <v>402</v>
      </c>
      <c r="F110">
        <v>2</v>
      </c>
      <c r="G110">
        <v>3.8193986940151699E-2</v>
      </c>
      <c r="H110">
        <v>1</v>
      </c>
      <c r="I110" t="s">
        <v>8768</v>
      </c>
    </row>
    <row r="111" spans="3:9" x14ac:dyDescent="0.25">
      <c r="C111" s="3" t="str">
        <f>HYPERLINK("http://amigo.geneontology.org/amigo/term/GO:0009147","GO:0009147")</f>
        <v>GO:0009147</v>
      </c>
      <c r="D111" t="s">
        <v>8842</v>
      </c>
      <c r="E111">
        <v>51</v>
      </c>
      <c r="F111">
        <v>1</v>
      </c>
      <c r="G111">
        <v>3.8312279112474999E-2</v>
      </c>
      <c r="H111">
        <v>1</v>
      </c>
      <c r="I111" t="s">
        <v>8782</v>
      </c>
    </row>
    <row r="112" spans="3:9" x14ac:dyDescent="0.25">
      <c r="C112" s="3" t="str">
        <f>HYPERLINK("http://amigo.geneontology.org/amigo/term/GO:0034645","GO:0034645")</f>
        <v>GO:0034645</v>
      </c>
      <c r="D112" t="s">
        <v>6835</v>
      </c>
      <c r="E112">
        <v>5068</v>
      </c>
      <c r="F112">
        <v>8</v>
      </c>
      <c r="G112">
        <v>3.8547046821141698E-2</v>
      </c>
      <c r="H112">
        <v>1</v>
      </c>
      <c r="I112" t="s">
        <v>8843</v>
      </c>
    </row>
    <row r="113" spans="3:9" x14ac:dyDescent="0.25">
      <c r="C113" s="3" t="str">
        <f>HYPERLINK("http://amigo.geneontology.org/amigo/term/GO:0008324","GO:0008324")</f>
        <v>GO:0008324</v>
      </c>
      <c r="D113" t="s">
        <v>276</v>
      </c>
      <c r="E113">
        <v>981</v>
      </c>
      <c r="F113">
        <v>3</v>
      </c>
      <c r="G113">
        <v>3.9495191306349903E-2</v>
      </c>
      <c r="H113">
        <v>1</v>
      </c>
      <c r="I113" t="s">
        <v>8835</v>
      </c>
    </row>
    <row r="114" spans="3:9" x14ac:dyDescent="0.25">
      <c r="C114" s="3" t="str">
        <f>HYPERLINK("http://amigo.geneontology.org/amigo/term/GO:0046873","GO:0046873")</f>
        <v>GO:0046873</v>
      </c>
      <c r="D114" t="s">
        <v>273</v>
      </c>
      <c r="E114">
        <v>411</v>
      </c>
      <c r="F114">
        <v>2</v>
      </c>
      <c r="G114">
        <v>3.9752510576452398E-2</v>
      </c>
      <c r="H114">
        <v>1</v>
      </c>
      <c r="I114" t="s">
        <v>8770</v>
      </c>
    </row>
    <row r="115" spans="3:9" x14ac:dyDescent="0.25">
      <c r="C115" s="3" t="str">
        <f>HYPERLINK("http://amigo.geneontology.org/amigo/term/GO:0046134","GO:0046134")</f>
        <v>GO:0046134</v>
      </c>
      <c r="D115" t="s">
        <v>8844</v>
      </c>
      <c r="E115">
        <v>53</v>
      </c>
      <c r="F115">
        <v>1</v>
      </c>
      <c r="G115">
        <v>3.9784943947464201E-2</v>
      </c>
      <c r="H115">
        <v>1</v>
      </c>
      <c r="I115" t="s">
        <v>8782</v>
      </c>
    </row>
    <row r="116" spans="3:9" x14ac:dyDescent="0.25">
      <c r="C116" s="3" t="str">
        <f>HYPERLINK("http://amigo.geneontology.org/amigo/term/GO:0046132","GO:0046132")</f>
        <v>GO:0046132</v>
      </c>
      <c r="D116" t="s">
        <v>8845</v>
      </c>
      <c r="E116">
        <v>53</v>
      </c>
      <c r="F116">
        <v>1</v>
      </c>
      <c r="G116">
        <v>3.9784943947464201E-2</v>
      </c>
      <c r="H116">
        <v>1</v>
      </c>
      <c r="I116" t="s">
        <v>8782</v>
      </c>
    </row>
    <row r="117" spans="3:9" x14ac:dyDescent="0.25">
      <c r="C117" s="3" t="str">
        <f>HYPERLINK("http://amigo.geneontology.org/amigo/term/GO:0009536","GO:0009536")</f>
        <v>GO:0009536</v>
      </c>
      <c r="D117" t="s">
        <v>8846</v>
      </c>
      <c r="E117">
        <v>2465</v>
      </c>
      <c r="F117">
        <v>5</v>
      </c>
      <c r="G117">
        <v>4.02161633194986E-2</v>
      </c>
      <c r="H117">
        <v>1</v>
      </c>
      <c r="I117" t="s">
        <v>8839</v>
      </c>
    </row>
    <row r="118" spans="3:9" x14ac:dyDescent="0.25">
      <c r="C118" s="3" t="str">
        <f>HYPERLINK("http://amigo.geneontology.org/amigo/term/GO:0006541","GO:0006541")</f>
        <v>GO:0006541</v>
      </c>
      <c r="D118" t="s">
        <v>8847</v>
      </c>
      <c r="E118">
        <v>54</v>
      </c>
      <c r="F118">
        <v>1</v>
      </c>
      <c r="G118">
        <v>4.0520444793902703E-2</v>
      </c>
      <c r="H118">
        <v>1</v>
      </c>
      <c r="I118" t="s">
        <v>8782</v>
      </c>
    </row>
    <row r="119" spans="3:9" x14ac:dyDescent="0.25">
      <c r="C119" s="3" t="str">
        <f>HYPERLINK("http://amigo.geneontology.org/amigo/term/GO:0006213","GO:0006213")</f>
        <v>GO:0006213</v>
      </c>
      <c r="D119" t="s">
        <v>5745</v>
      </c>
      <c r="E119">
        <v>56</v>
      </c>
      <c r="F119">
        <v>1</v>
      </c>
      <c r="G119">
        <v>4.1989785395707503E-2</v>
      </c>
      <c r="H119">
        <v>1</v>
      </c>
      <c r="I119" t="s">
        <v>8782</v>
      </c>
    </row>
    <row r="120" spans="3:9" x14ac:dyDescent="0.25">
      <c r="C120" s="3" t="str">
        <f>HYPERLINK("http://amigo.geneontology.org/amigo/term/GO:0046131","GO:0046131")</f>
        <v>GO:0046131</v>
      </c>
      <c r="D120" t="s">
        <v>5746</v>
      </c>
      <c r="E120">
        <v>56</v>
      </c>
      <c r="F120">
        <v>1</v>
      </c>
      <c r="G120">
        <v>4.1989785395707503E-2</v>
      </c>
      <c r="H120">
        <v>1</v>
      </c>
      <c r="I120" t="s">
        <v>8782</v>
      </c>
    </row>
    <row r="121" spans="3:9" x14ac:dyDescent="0.25">
      <c r="C121" s="3" t="str">
        <f>HYPERLINK("http://amigo.geneontology.org/amigo/term/GO:0009059","GO:0009059")</f>
        <v>GO:0009059</v>
      </c>
      <c r="D121" t="s">
        <v>6836</v>
      </c>
      <c r="E121">
        <v>5170</v>
      </c>
      <c r="F121">
        <v>8</v>
      </c>
      <c r="G121">
        <v>4.2565020902022299E-2</v>
      </c>
      <c r="H121">
        <v>1</v>
      </c>
      <c r="I121" t="s">
        <v>8843</v>
      </c>
    </row>
    <row r="122" spans="3:9" x14ac:dyDescent="0.25">
      <c r="C122" s="3" t="str">
        <f>HYPERLINK("http://amigo.geneontology.org/amigo/term/GO:0016999","GO:0016999")</f>
        <v>GO:0016999</v>
      </c>
      <c r="D122" t="s">
        <v>764</v>
      </c>
      <c r="E122">
        <v>427</v>
      </c>
      <c r="F122">
        <v>2</v>
      </c>
      <c r="G122">
        <v>4.2582033949948403E-2</v>
      </c>
      <c r="H122">
        <v>1</v>
      </c>
      <c r="I122" t="s">
        <v>8805</v>
      </c>
    </row>
    <row r="123" spans="3:9" x14ac:dyDescent="0.25">
      <c r="C123" s="3" t="str">
        <f>HYPERLINK("http://amigo.geneontology.org/amigo/term/GO:0010467","GO:0010467")</f>
        <v>GO:0010467</v>
      </c>
      <c r="D123" t="s">
        <v>6840</v>
      </c>
      <c r="E123">
        <v>5200</v>
      </c>
      <c r="F123">
        <v>8</v>
      </c>
      <c r="G123">
        <v>4.3798528066645401E-2</v>
      </c>
      <c r="H123">
        <v>1</v>
      </c>
      <c r="I123" t="s">
        <v>8843</v>
      </c>
    </row>
    <row r="124" spans="3:9" x14ac:dyDescent="0.25">
      <c r="C124" s="3" t="str">
        <f>HYPERLINK("http://amigo.geneontology.org/amigo/term/GO:0140098","GO:0140098")</f>
        <v>GO:0140098</v>
      </c>
      <c r="D124" t="s">
        <v>8848</v>
      </c>
      <c r="E124">
        <v>1025</v>
      </c>
      <c r="F124">
        <v>3</v>
      </c>
      <c r="G124">
        <v>4.4020300993807403E-2</v>
      </c>
      <c r="H124">
        <v>1</v>
      </c>
      <c r="I124" t="s">
        <v>8707</v>
      </c>
    </row>
    <row r="125" spans="3:9" x14ac:dyDescent="0.25">
      <c r="C125" s="3" t="str">
        <f>HYPERLINK("http://amigo.geneontology.org/amigo/term/GO:0044249","GO:0044249")</f>
        <v>GO:0044249</v>
      </c>
      <c r="D125" t="s">
        <v>6857</v>
      </c>
      <c r="E125">
        <v>8198</v>
      </c>
      <c r="F125">
        <v>11</v>
      </c>
      <c r="G125">
        <v>4.4939761736915898E-2</v>
      </c>
      <c r="H125">
        <v>1</v>
      </c>
      <c r="I125" t="s">
        <v>8849</v>
      </c>
    </row>
    <row r="126" spans="3:9" x14ac:dyDescent="0.25">
      <c r="C126" s="3" t="str">
        <f>HYPERLINK("http://amigo.geneontology.org/amigo/term/GO:1902222","GO:1902222")</f>
        <v>GO:1902222</v>
      </c>
      <c r="D126" t="s">
        <v>6903</v>
      </c>
      <c r="E126">
        <v>62</v>
      </c>
      <c r="F126">
        <v>1</v>
      </c>
      <c r="G126">
        <v>4.6384547945429698E-2</v>
      </c>
      <c r="H126">
        <v>1</v>
      </c>
      <c r="I126" t="s">
        <v>8708</v>
      </c>
    </row>
    <row r="127" spans="3:9" x14ac:dyDescent="0.25">
      <c r="C127" s="3" t="str">
        <f>HYPERLINK("http://amigo.geneontology.org/amigo/term/GO:0006559","GO:0006559")</f>
        <v>GO:0006559</v>
      </c>
      <c r="D127" t="s">
        <v>6906</v>
      </c>
      <c r="E127">
        <v>62</v>
      </c>
      <c r="F127">
        <v>1</v>
      </c>
      <c r="G127">
        <v>4.6384547945429698E-2</v>
      </c>
      <c r="H127">
        <v>1</v>
      </c>
      <c r="I127" t="s">
        <v>8708</v>
      </c>
    </row>
    <row r="128" spans="3:9" x14ac:dyDescent="0.25">
      <c r="C128" s="3" t="str">
        <f>HYPERLINK("http://amigo.geneontology.org/amigo/term/GO:0009699","GO:0009699")</f>
        <v>GO:0009699</v>
      </c>
      <c r="D128" t="s">
        <v>7078</v>
      </c>
      <c r="E128">
        <v>66</v>
      </c>
      <c r="F128">
        <v>1</v>
      </c>
      <c r="G128">
        <v>4.9303372936796201E-2</v>
      </c>
      <c r="H128">
        <v>1</v>
      </c>
      <c r="I128" t="s">
        <v>8708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2"/>
  <sheetViews>
    <sheetView workbookViewId="0">
      <pane xSplit="4" ySplit="11" topLeftCell="F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7.7109375" customWidth="1"/>
    <col min="3" max="3" width="16.42578125" customWidth="1"/>
    <col min="4" max="4" width="31.140625" customWidth="1"/>
  </cols>
  <sheetData>
    <row r="1" spans="1:9" ht="20.25" x14ac:dyDescent="0.3">
      <c r="A1" s="12" t="s">
        <v>8850</v>
      </c>
    </row>
    <row r="2" spans="1:9" x14ac:dyDescent="0.25">
      <c r="A2" s="6" t="s">
        <v>8851</v>
      </c>
      <c r="B2" s="13">
        <f>1400/7100</f>
        <v>0.19718309859154928</v>
      </c>
      <c r="C2" t="s">
        <v>2</v>
      </c>
      <c r="D2">
        <v>1097</v>
      </c>
    </row>
    <row r="3" spans="1:9" x14ac:dyDescent="0.25">
      <c r="A3" t="s">
        <v>8852</v>
      </c>
      <c r="C3" t="s">
        <v>4</v>
      </c>
      <c r="D3">
        <v>77079</v>
      </c>
    </row>
    <row r="4" spans="1:9" x14ac:dyDescent="0.25">
      <c r="A4" t="s">
        <v>6882</v>
      </c>
      <c r="C4" t="s">
        <v>6</v>
      </c>
      <c r="D4" t="s">
        <v>7</v>
      </c>
    </row>
    <row r="5" spans="1:9" x14ac:dyDescent="0.25">
      <c r="A5" t="s">
        <v>6883</v>
      </c>
      <c r="C5" t="s">
        <v>9</v>
      </c>
      <c r="D5" t="s">
        <v>10</v>
      </c>
    </row>
    <row r="6" spans="1:9" x14ac:dyDescent="0.25">
      <c r="A6" t="s">
        <v>6884</v>
      </c>
      <c r="C6" t="s">
        <v>12</v>
      </c>
      <c r="D6" t="s">
        <v>13</v>
      </c>
    </row>
    <row r="7" spans="1:9" x14ac:dyDescent="0.25">
      <c r="A7" t="s">
        <v>6885</v>
      </c>
      <c r="C7" t="s">
        <v>15</v>
      </c>
      <c r="D7" t="s">
        <v>16</v>
      </c>
    </row>
    <row r="8" spans="1:9" x14ac:dyDescent="0.25">
      <c r="A8" t="s">
        <v>8853</v>
      </c>
      <c r="C8" t="s">
        <v>18</v>
      </c>
      <c r="D8" t="s">
        <v>19</v>
      </c>
    </row>
    <row r="9" spans="1:9" x14ac:dyDescent="0.25">
      <c r="A9" t="s">
        <v>6886</v>
      </c>
      <c r="C9" t="s">
        <v>21</v>
      </c>
      <c r="D9">
        <v>3</v>
      </c>
    </row>
    <row r="10" spans="1:9" x14ac:dyDescent="0.25">
      <c r="A10" t="s">
        <v>6888</v>
      </c>
    </row>
    <row r="11" spans="1:9" x14ac:dyDescent="0.25">
      <c r="A11" t="s">
        <v>6890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6892</v>
      </c>
      <c r="C12" s="3" t="str">
        <f>HYPERLINK("http://amigo.geneontology.org/amigo/term/GO:0004553","GO:0004553")</f>
        <v>GO:0004553</v>
      </c>
      <c r="D12" t="s">
        <v>174</v>
      </c>
      <c r="E12">
        <v>1509</v>
      </c>
      <c r="F12">
        <v>73</v>
      </c>
      <c r="G12" s="4">
        <v>2.95457054839476E-19</v>
      </c>
      <c r="H12" s="4">
        <v>1.33398860260023E-15</v>
      </c>
      <c r="I12" t="s">
        <v>8854</v>
      </c>
    </row>
    <row r="13" spans="1:9" x14ac:dyDescent="0.25">
      <c r="A13" t="s">
        <v>6894</v>
      </c>
      <c r="C13" s="3" t="str">
        <f>HYPERLINK("http://amigo.geneontology.org/amigo/term/GO:0016798","GO:0016798")</f>
        <v>GO:0016798</v>
      </c>
      <c r="D13" t="s">
        <v>177</v>
      </c>
      <c r="E13">
        <v>1691</v>
      </c>
      <c r="F13">
        <v>76</v>
      </c>
      <c r="G13" s="4">
        <v>3.2672463620677099E-18</v>
      </c>
      <c r="H13" s="4">
        <v>7.3741750391868204E-15</v>
      </c>
      <c r="I13" t="s">
        <v>8855</v>
      </c>
    </row>
    <row r="14" spans="1:9" x14ac:dyDescent="0.25">
      <c r="A14" t="s">
        <v>6896</v>
      </c>
      <c r="C14" s="3" t="str">
        <f>HYPERLINK("http://amigo.geneontology.org/amigo/term/GO:0016998","GO:0016998")</f>
        <v>GO:0016998</v>
      </c>
      <c r="D14" t="s">
        <v>6933</v>
      </c>
      <c r="E14">
        <v>86</v>
      </c>
      <c r="F14">
        <v>19</v>
      </c>
      <c r="G14" s="4">
        <v>1.5605513040412001E-17</v>
      </c>
      <c r="H14" s="4">
        <v>2.3486297125820099E-14</v>
      </c>
      <c r="I14" t="s">
        <v>8856</v>
      </c>
    </row>
    <row r="15" spans="1:9" x14ac:dyDescent="0.25">
      <c r="A15" t="s">
        <v>6898</v>
      </c>
      <c r="C15" s="3" t="str">
        <f>HYPERLINK("http://amigo.geneontology.org/amigo/term/GO:0016705","GO:0016705")</f>
        <v>GO:0016705</v>
      </c>
      <c r="D15" t="s">
        <v>4121</v>
      </c>
      <c r="E15">
        <v>2131</v>
      </c>
      <c r="F15">
        <v>85</v>
      </c>
      <c r="G15" s="4">
        <v>3.9137906208032601E-17</v>
      </c>
      <c r="H15" s="4">
        <v>4.4147558202660699E-14</v>
      </c>
      <c r="I15" t="s">
        <v>8857</v>
      </c>
    </row>
    <row r="16" spans="1:9" x14ac:dyDescent="0.25">
      <c r="A16" t="s">
        <v>6900</v>
      </c>
      <c r="C16" s="3" t="str">
        <f>HYPERLINK("http://amigo.geneontology.org/amigo/term/GO:0005506","GO:0005506")</f>
        <v>GO:0005506</v>
      </c>
      <c r="D16" t="s">
        <v>1214</v>
      </c>
      <c r="E16">
        <v>1961</v>
      </c>
      <c r="F16">
        <v>80</v>
      </c>
      <c r="G16" s="4">
        <v>9.9810275191453695E-17</v>
      </c>
      <c r="H16" s="4">
        <v>9.0128678497882595E-14</v>
      </c>
      <c r="I16" t="s">
        <v>8858</v>
      </c>
    </row>
    <row r="17" spans="1:9" x14ac:dyDescent="0.25">
      <c r="A17" t="s">
        <v>6902</v>
      </c>
      <c r="C17" s="3" t="str">
        <f>HYPERLINK("http://amigo.geneontology.org/amigo/term/GO:0042737","GO:0042737")</f>
        <v>GO:0042737</v>
      </c>
      <c r="D17" t="s">
        <v>1072</v>
      </c>
      <c r="E17">
        <v>473</v>
      </c>
      <c r="F17">
        <v>37</v>
      </c>
      <c r="G17" s="4">
        <v>1.1385227869117999E-16</v>
      </c>
      <c r="H17" s="4">
        <v>8.5616913575767398E-14</v>
      </c>
      <c r="I17" t="s">
        <v>8859</v>
      </c>
    </row>
    <row r="18" spans="1:9" x14ac:dyDescent="0.25">
      <c r="A18" t="s">
        <v>6905</v>
      </c>
      <c r="C18" s="3" t="str">
        <f>HYPERLINK("http://amigo.geneontology.org/amigo/term/GO:0004568","GO:0004568")</f>
        <v>GO:0004568</v>
      </c>
      <c r="D18" t="s">
        <v>6938</v>
      </c>
      <c r="E18">
        <v>84</v>
      </c>
      <c r="F18">
        <v>18</v>
      </c>
      <c r="G18" s="4">
        <v>1.9704597142864E-16</v>
      </c>
      <c r="H18" s="4">
        <v>7.4089285257168894E-14</v>
      </c>
      <c r="I18" t="s">
        <v>8860</v>
      </c>
    </row>
    <row r="19" spans="1:9" x14ac:dyDescent="0.25">
      <c r="A19" t="s">
        <v>6907</v>
      </c>
      <c r="C19" s="3" t="str">
        <f>HYPERLINK("http://amigo.geneontology.org/amigo/term/GO:0006026","GO:0006026")</f>
        <v>GO:0006026</v>
      </c>
      <c r="D19" t="s">
        <v>6941</v>
      </c>
      <c r="E19">
        <v>84</v>
      </c>
      <c r="F19">
        <v>18</v>
      </c>
      <c r="G19" s="4">
        <v>1.9704597142864E-16</v>
      </c>
      <c r="H19" s="4">
        <v>8.0788848285742694E-14</v>
      </c>
      <c r="I19" t="s">
        <v>8860</v>
      </c>
    </row>
    <row r="20" spans="1:9" x14ac:dyDescent="0.25">
      <c r="A20" t="s">
        <v>6909</v>
      </c>
      <c r="C20" s="3" t="str">
        <f>HYPERLINK("http://amigo.geneontology.org/amigo/term/GO:0006030","GO:0006030")</f>
        <v>GO:0006030</v>
      </c>
      <c r="D20" t="s">
        <v>6943</v>
      </c>
      <c r="E20">
        <v>84</v>
      </c>
      <c r="F20">
        <v>18</v>
      </c>
      <c r="G20" s="4">
        <v>1.9704597142864E-16</v>
      </c>
      <c r="H20" s="4">
        <v>8.8867733114316903E-14</v>
      </c>
      <c r="I20" t="s">
        <v>8860</v>
      </c>
    </row>
    <row r="21" spans="1:9" x14ac:dyDescent="0.25">
      <c r="A21" t="s">
        <v>6912</v>
      </c>
      <c r="C21" s="3" t="str">
        <f>HYPERLINK("http://amigo.geneontology.org/amigo/term/GO:0046348","GO:0046348")</f>
        <v>GO:0046348</v>
      </c>
      <c r="D21" t="s">
        <v>6945</v>
      </c>
      <c r="E21">
        <v>84</v>
      </c>
      <c r="F21">
        <v>18</v>
      </c>
      <c r="G21" s="4">
        <v>1.9704597142864E-16</v>
      </c>
      <c r="H21" s="4">
        <v>9.8720031685749005E-14</v>
      </c>
      <c r="I21" t="s">
        <v>8860</v>
      </c>
    </row>
    <row r="22" spans="1:9" x14ac:dyDescent="0.25">
      <c r="A22" t="s">
        <v>8861</v>
      </c>
      <c r="C22" s="3" t="str">
        <f>HYPERLINK("http://amigo.geneontology.org/amigo/term/GO:1901072","GO:1901072")</f>
        <v>GO:1901072</v>
      </c>
      <c r="D22" t="s">
        <v>6947</v>
      </c>
      <c r="E22">
        <v>84</v>
      </c>
      <c r="F22">
        <v>18</v>
      </c>
      <c r="G22" s="4">
        <v>1.9704597142864E-16</v>
      </c>
      <c r="H22" s="4">
        <v>1.11133927885753E-13</v>
      </c>
      <c r="I22" t="s">
        <v>8860</v>
      </c>
    </row>
    <row r="23" spans="1:9" x14ac:dyDescent="0.25">
      <c r="A23" t="s">
        <v>6915</v>
      </c>
      <c r="C23" s="3" t="str">
        <f>HYPERLINK("http://amigo.geneontology.org/amigo/term/GO:0006032","GO:0006032")</f>
        <v>GO:0006032</v>
      </c>
      <c r="D23" t="s">
        <v>6949</v>
      </c>
      <c r="E23">
        <v>84</v>
      </c>
      <c r="F23">
        <v>18</v>
      </c>
      <c r="G23" s="4">
        <v>1.9704597142864E-16</v>
      </c>
      <c r="H23" s="4">
        <v>1.27094651571473E-13</v>
      </c>
      <c r="I23" t="s">
        <v>8860</v>
      </c>
    </row>
    <row r="24" spans="1:9" x14ac:dyDescent="0.25">
      <c r="A24" t="s">
        <v>6917</v>
      </c>
      <c r="C24" s="3" t="str">
        <f>HYPERLINK("http://amigo.geneontology.org/amigo/term/GO:1901071","GO:1901071")</f>
        <v>GO:1901071</v>
      </c>
      <c r="D24" t="s">
        <v>6953</v>
      </c>
      <c r="E24">
        <v>87</v>
      </c>
      <c r="F24">
        <v>18</v>
      </c>
      <c r="G24" s="4">
        <v>3.83004888708406E-16</v>
      </c>
      <c r="H24" s="4">
        <v>1.3290269638181601E-13</v>
      </c>
      <c r="I24" t="s">
        <v>8860</v>
      </c>
    </row>
    <row r="25" spans="1:9" x14ac:dyDescent="0.25">
      <c r="A25" t="s">
        <v>8862</v>
      </c>
      <c r="C25" s="3" t="str">
        <f>HYPERLINK("http://amigo.geneontology.org/amigo/term/GO:0006040","GO:0006040")</f>
        <v>GO:0006040</v>
      </c>
      <c r="D25" t="s">
        <v>6955</v>
      </c>
      <c r="E25">
        <v>93</v>
      </c>
      <c r="F25">
        <v>18</v>
      </c>
      <c r="G25" s="4">
        <v>1.33843505911815E-15</v>
      </c>
      <c r="H25" s="4">
        <v>4.3097608903604401E-13</v>
      </c>
      <c r="I25" t="s">
        <v>8860</v>
      </c>
    </row>
    <row r="26" spans="1:9" x14ac:dyDescent="0.25">
      <c r="A26" t="s">
        <v>6919</v>
      </c>
      <c r="C26" s="3" t="str">
        <f>HYPERLINK("http://amigo.geneontology.org/amigo/term/GO:0006022","GO:0006022")</f>
        <v>GO:0006022</v>
      </c>
      <c r="D26" t="s">
        <v>6974</v>
      </c>
      <c r="E26">
        <v>101</v>
      </c>
      <c r="F26">
        <v>18</v>
      </c>
      <c r="G26" s="4">
        <v>6.16431237696422E-15</v>
      </c>
      <c r="H26" s="4">
        <v>1.8554580254662301E-12</v>
      </c>
      <c r="I26" t="s">
        <v>8860</v>
      </c>
    </row>
    <row r="27" spans="1:9" x14ac:dyDescent="0.25">
      <c r="A27" t="s">
        <v>6922</v>
      </c>
      <c r="C27" s="3" t="str">
        <f>HYPERLINK("http://amigo.geneontology.org/amigo/term/GO:0016491","GO:0016491")</f>
        <v>GO:0016491</v>
      </c>
      <c r="D27" t="s">
        <v>315</v>
      </c>
      <c r="E27">
        <v>6975</v>
      </c>
      <c r="F27">
        <v>178</v>
      </c>
      <c r="G27" s="4">
        <v>1.86133769995106E-14</v>
      </c>
      <c r="H27" s="4">
        <v>5.2489723138619898E-12</v>
      </c>
      <c r="I27" t="s">
        <v>8863</v>
      </c>
    </row>
    <row r="28" spans="1:9" x14ac:dyDescent="0.25">
      <c r="A28" t="s">
        <v>6924</v>
      </c>
      <c r="C28" s="3" t="str">
        <f>HYPERLINK("http://amigo.geneontology.org/amigo/term/GO:0009607","GO:0009607")</f>
        <v>GO:0009607</v>
      </c>
      <c r="D28" t="s">
        <v>157</v>
      </c>
      <c r="E28">
        <v>624</v>
      </c>
      <c r="F28">
        <v>39</v>
      </c>
      <c r="G28" s="4">
        <v>2.71074794304633E-14</v>
      </c>
      <c r="H28" s="4">
        <v>7.1834820490727903E-12</v>
      </c>
      <c r="I28" t="s">
        <v>8864</v>
      </c>
    </row>
    <row r="29" spans="1:9" x14ac:dyDescent="0.25">
      <c r="A29" t="s">
        <v>6926</v>
      </c>
      <c r="C29" s="3" t="str">
        <f>HYPERLINK("http://amigo.geneontology.org/amigo/term/GO:1901136","GO:1901136")</f>
        <v>GO:1901136</v>
      </c>
      <c r="D29" t="s">
        <v>6302</v>
      </c>
      <c r="E29">
        <v>132</v>
      </c>
      <c r="F29">
        <v>19</v>
      </c>
      <c r="G29" s="4">
        <v>6.3711121194899605E-14</v>
      </c>
      <c r="H29" s="4">
        <v>1.5927780298724899E-11</v>
      </c>
      <c r="I29" t="s">
        <v>8865</v>
      </c>
    </row>
    <row r="30" spans="1:9" x14ac:dyDescent="0.25">
      <c r="A30" t="s">
        <v>6929</v>
      </c>
      <c r="C30" s="3" t="str">
        <f>HYPERLINK("http://amigo.geneontology.org/amigo/term/GO:0020037","GO:0020037")</f>
        <v>GO:0020037</v>
      </c>
      <c r="D30" t="s">
        <v>1181</v>
      </c>
      <c r="E30">
        <v>2527</v>
      </c>
      <c r="F30">
        <v>87</v>
      </c>
      <c r="G30" s="4">
        <v>7.4400353049474197E-14</v>
      </c>
      <c r="H30" s="4">
        <v>1.7632883672725301E-11</v>
      </c>
      <c r="I30" t="s">
        <v>8866</v>
      </c>
    </row>
    <row r="31" spans="1:9" x14ac:dyDescent="0.25">
      <c r="A31" t="s">
        <v>6932</v>
      </c>
      <c r="C31" s="3" t="str">
        <f>HYPERLINK("http://amigo.geneontology.org/amigo/term/GO:0005975","GO:0005975")</f>
        <v>GO:0005975</v>
      </c>
      <c r="D31" t="s">
        <v>171</v>
      </c>
      <c r="E31">
        <v>2990</v>
      </c>
      <c r="F31">
        <v>95</v>
      </c>
      <c r="G31" s="4">
        <v>5.2726648677544201E-13</v>
      </c>
      <c r="H31" s="4">
        <v>1.18634959524474E-10</v>
      </c>
      <c r="I31" t="s">
        <v>8867</v>
      </c>
    </row>
    <row r="32" spans="1:9" x14ac:dyDescent="0.25">
      <c r="A32" t="s">
        <v>6935</v>
      </c>
      <c r="C32" s="3" t="str">
        <f>HYPERLINK("http://amigo.geneontology.org/amigo/term/GO:0046906","GO:0046906")</f>
        <v>GO:0046906</v>
      </c>
      <c r="D32" t="s">
        <v>1085</v>
      </c>
      <c r="E32">
        <v>2625</v>
      </c>
      <c r="F32">
        <v>87</v>
      </c>
      <c r="G32" s="4">
        <v>5.8045921908135297E-13</v>
      </c>
      <c r="H32" s="4">
        <v>1.24798732102491E-10</v>
      </c>
      <c r="I32" t="s">
        <v>8866</v>
      </c>
    </row>
    <row r="33" spans="1:9" x14ac:dyDescent="0.25">
      <c r="A33" t="s">
        <v>6937</v>
      </c>
      <c r="C33" s="3" t="str">
        <f>HYPERLINK("http://amigo.geneontology.org/amigo/term/GO:0030162","GO:0030162")</f>
        <v>GO:0030162</v>
      </c>
      <c r="D33" t="s">
        <v>7004</v>
      </c>
      <c r="E33">
        <v>82</v>
      </c>
      <c r="F33">
        <v>15</v>
      </c>
      <c r="G33" s="4">
        <v>7.4380761319929202E-13</v>
      </c>
      <c r="H33" s="4">
        <v>1.5248056070585499E-10</v>
      </c>
      <c r="I33" t="s">
        <v>8868</v>
      </c>
    </row>
    <row r="34" spans="1:9" x14ac:dyDescent="0.25">
      <c r="A34" t="s">
        <v>6940</v>
      </c>
      <c r="C34" s="3" t="str">
        <f>HYPERLINK("http://amigo.geneontology.org/amigo/term/GO:0004672","GO:0004672")</f>
        <v>GO:0004672</v>
      </c>
      <c r="D34" t="s">
        <v>1481</v>
      </c>
      <c r="E34">
        <v>5633</v>
      </c>
      <c r="F34">
        <v>147</v>
      </c>
      <c r="G34" s="4">
        <v>1.0103334691206199E-12</v>
      </c>
      <c r="H34" s="4">
        <v>1.9802535994764099E-10</v>
      </c>
      <c r="I34" t="s">
        <v>8869</v>
      </c>
    </row>
    <row r="35" spans="1:9" x14ac:dyDescent="0.25">
      <c r="A35" t="s">
        <v>6942</v>
      </c>
      <c r="C35" s="3" t="str">
        <f>HYPERLINK("http://amigo.geneontology.org/amigo/term/GO:0048037","GO:0048037")</f>
        <v>GO:0048037</v>
      </c>
      <c r="D35" t="s">
        <v>4125</v>
      </c>
      <c r="E35">
        <v>4750</v>
      </c>
      <c r="F35">
        <v>130</v>
      </c>
      <c r="G35" s="4">
        <v>1.01369759997626E-12</v>
      </c>
      <c r="H35" s="4">
        <v>1.9057514879553699E-10</v>
      </c>
      <c r="I35" t="s">
        <v>8870</v>
      </c>
    </row>
    <row r="36" spans="1:9" x14ac:dyDescent="0.25">
      <c r="A36" t="s">
        <v>6944</v>
      </c>
      <c r="C36" s="3" t="str">
        <f>HYPERLINK("http://amigo.geneontology.org/amigo/term/GO:0006468","GO:0006468")</f>
        <v>GO:0006468</v>
      </c>
      <c r="D36" t="s">
        <v>1478</v>
      </c>
      <c r="E36">
        <v>5693</v>
      </c>
      <c r="F36">
        <v>148</v>
      </c>
      <c r="G36" s="4">
        <v>1.1118287666382899E-12</v>
      </c>
      <c r="H36" s="4">
        <v>2.0012917799489199E-10</v>
      </c>
      <c r="I36" t="s">
        <v>8871</v>
      </c>
    </row>
    <row r="37" spans="1:9" x14ac:dyDescent="0.25">
      <c r="A37" t="s">
        <v>6946</v>
      </c>
      <c r="C37" s="3" t="str">
        <f>HYPERLINK("http://amigo.geneontology.org/amigo/term/GO:0055114","GO:0055114")</f>
        <v>GO:0055114</v>
      </c>
      <c r="D37" t="s">
        <v>454</v>
      </c>
      <c r="E37">
        <v>6698</v>
      </c>
      <c r="F37">
        <v>166</v>
      </c>
      <c r="G37" s="4">
        <v>1.8436941257470699E-12</v>
      </c>
      <c r="H37" s="4">
        <v>3.18959083754243E-10</v>
      </c>
      <c r="I37" t="s">
        <v>8872</v>
      </c>
    </row>
    <row r="38" spans="1:9" x14ac:dyDescent="0.25">
      <c r="A38" t="s">
        <v>6948</v>
      </c>
      <c r="C38" s="3" t="str">
        <f>HYPERLINK("http://amigo.geneontology.org/amigo/term/GO:0052547","GO:0052547")</f>
        <v>GO:0052547</v>
      </c>
      <c r="D38" t="s">
        <v>6982</v>
      </c>
      <c r="E38">
        <v>77</v>
      </c>
      <c r="F38">
        <v>14</v>
      </c>
      <c r="G38" s="4">
        <v>4.7174644461725603E-12</v>
      </c>
      <c r="H38" s="4">
        <v>7.0761966692588403E-10</v>
      </c>
      <c r="I38" t="s">
        <v>8873</v>
      </c>
    </row>
    <row r="39" spans="1:9" x14ac:dyDescent="0.25">
      <c r="A39" t="s">
        <v>6950</v>
      </c>
      <c r="C39" s="3" t="str">
        <f>HYPERLINK("http://amigo.geneontology.org/amigo/term/GO:0010466","GO:0010466")</f>
        <v>GO:0010466</v>
      </c>
      <c r="D39" t="s">
        <v>6985</v>
      </c>
      <c r="E39">
        <v>77</v>
      </c>
      <c r="F39">
        <v>14</v>
      </c>
      <c r="G39" s="4">
        <v>4.7174644461725603E-12</v>
      </c>
      <c r="H39" s="4">
        <v>7.3120698915674699E-10</v>
      </c>
      <c r="I39" t="s">
        <v>8873</v>
      </c>
    </row>
    <row r="40" spans="1:9" x14ac:dyDescent="0.25">
      <c r="A40" t="s">
        <v>8874</v>
      </c>
      <c r="C40" s="3" t="str">
        <f>HYPERLINK("http://amigo.geneontology.org/amigo/term/GO:0052548","GO:0052548")</f>
        <v>GO:0052548</v>
      </c>
      <c r="D40" t="s">
        <v>6987</v>
      </c>
      <c r="E40">
        <v>77</v>
      </c>
      <c r="F40">
        <v>14</v>
      </c>
      <c r="G40" s="4">
        <v>4.7174644461725603E-12</v>
      </c>
      <c r="H40" s="4">
        <v>7.5951177583378197E-10</v>
      </c>
      <c r="I40" t="s">
        <v>8873</v>
      </c>
    </row>
    <row r="41" spans="1:9" x14ac:dyDescent="0.25">
      <c r="A41" t="s">
        <v>6952</v>
      </c>
      <c r="C41" s="3" t="str">
        <f>HYPERLINK("http://amigo.geneontology.org/amigo/term/GO:0010951","GO:0010951")</f>
        <v>GO:0010951</v>
      </c>
      <c r="D41" t="s">
        <v>6989</v>
      </c>
      <c r="E41">
        <v>77</v>
      </c>
      <c r="F41">
        <v>14</v>
      </c>
      <c r="G41" s="4">
        <v>4.7174644461725603E-12</v>
      </c>
      <c r="H41" s="4">
        <v>7.8781656251081799E-10</v>
      </c>
      <c r="I41" t="s">
        <v>8873</v>
      </c>
    </row>
    <row r="42" spans="1:9" x14ac:dyDescent="0.25">
      <c r="A42" t="s">
        <v>6954</v>
      </c>
      <c r="C42" s="3" t="str">
        <f>HYPERLINK("http://amigo.geneontology.org/amigo/term/GO:0045861","GO:0045861")</f>
        <v>GO:0045861</v>
      </c>
      <c r="D42" t="s">
        <v>6994</v>
      </c>
      <c r="E42">
        <v>78</v>
      </c>
      <c r="F42">
        <v>14</v>
      </c>
      <c r="G42" s="4">
        <v>5.6742372906551297E-12</v>
      </c>
      <c r="H42" s="4">
        <v>8.2276440714499497E-10</v>
      </c>
      <c r="I42" t="s">
        <v>8873</v>
      </c>
    </row>
    <row r="43" spans="1:9" x14ac:dyDescent="0.25">
      <c r="A43" t="s">
        <v>6956</v>
      </c>
      <c r="C43" s="3" t="str">
        <f>HYPERLINK("http://amigo.geneontology.org/amigo/term/GO:0051346","GO:0051346")</f>
        <v>GO:0051346</v>
      </c>
      <c r="D43" t="s">
        <v>7015</v>
      </c>
      <c r="E43">
        <v>87</v>
      </c>
      <c r="F43">
        <v>14</v>
      </c>
      <c r="G43" s="4">
        <v>2.6631004989610099E-11</v>
      </c>
      <c r="H43" s="4">
        <v>3.7549717035350296E-9</v>
      </c>
      <c r="I43" t="s">
        <v>8873</v>
      </c>
    </row>
    <row r="44" spans="1:9" x14ac:dyDescent="0.25">
      <c r="A44" t="s">
        <v>6958</v>
      </c>
      <c r="C44" s="3" t="str">
        <f>HYPERLINK("http://amigo.geneontology.org/amigo/term/GO:0004674","GO:0004674")</f>
        <v>GO:0004674</v>
      </c>
      <c r="D44" t="s">
        <v>1322</v>
      </c>
      <c r="E44">
        <v>2443</v>
      </c>
      <c r="F44">
        <v>77</v>
      </c>
      <c r="G44" s="4">
        <v>1.3483813118347301E-10</v>
      </c>
      <c r="H44" s="4">
        <v>1.8337985840952399E-8</v>
      </c>
      <c r="I44" t="s">
        <v>8875</v>
      </c>
    </row>
    <row r="45" spans="1:9" x14ac:dyDescent="0.25">
      <c r="A45" t="s">
        <v>8876</v>
      </c>
      <c r="C45" s="3" t="str">
        <f>HYPERLINK("http://amigo.geneontology.org/amigo/term/GO:0016773","GO:0016773")</f>
        <v>GO:0016773</v>
      </c>
      <c r="D45" t="s">
        <v>791</v>
      </c>
      <c r="E45">
        <v>6062</v>
      </c>
      <c r="F45">
        <v>147</v>
      </c>
      <c r="G45" s="4">
        <v>1.9294397720565299E-10</v>
      </c>
      <c r="H45" s="4">
        <v>2.5468604991146201E-8</v>
      </c>
      <c r="I45" t="s">
        <v>8869</v>
      </c>
    </row>
    <row r="46" spans="1:9" x14ac:dyDescent="0.25">
      <c r="A46" t="s">
        <v>6961</v>
      </c>
      <c r="C46" s="3" t="str">
        <f>HYPERLINK("http://amigo.geneontology.org/amigo/term/GO:0016301","GO:0016301")</f>
        <v>GO:0016301</v>
      </c>
      <c r="D46" t="s">
        <v>724</v>
      </c>
      <c r="E46">
        <v>6285</v>
      </c>
      <c r="F46">
        <v>151</v>
      </c>
      <c r="G46" s="4">
        <v>2.0057190415310299E-10</v>
      </c>
      <c r="H46" s="4">
        <v>2.5873775635750301E-8</v>
      </c>
      <c r="I46" t="s">
        <v>8877</v>
      </c>
    </row>
    <row r="47" spans="1:9" x14ac:dyDescent="0.25">
      <c r="A47" t="s">
        <v>6963</v>
      </c>
      <c r="C47" s="3" t="str">
        <f>HYPERLINK("http://amigo.geneontology.org/amigo/term/GO:0016787","GO:0016787")</f>
        <v>GO:0016787</v>
      </c>
      <c r="D47" t="s">
        <v>98</v>
      </c>
      <c r="E47">
        <v>9814</v>
      </c>
      <c r="F47">
        <v>212</v>
      </c>
      <c r="G47" s="4">
        <v>3.3264351491515199E-10</v>
      </c>
      <c r="H47" s="4">
        <v>4.1580439364394001E-8</v>
      </c>
      <c r="I47" t="s">
        <v>8878</v>
      </c>
    </row>
    <row r="48" spans="1:9" x14ac:dyDescent="0.25">
      <c r="A48" t="s">
        <v>6965</v>
      </c>
      <c r="C48" s="3" t="str">
        <f>HYPERLINK("http://amigo.geneontology.org/amigo/term/GO:0044036","GO:0044036")</f>
        <v>GO:0044036</v>
      </c>
      <c r="D48" t="s">
        <v>828</v>
      </c>
      <c r="E48">
        <v>388</v>
      </c>
      <c r="F48">
        <v>25</v>
      </c>
      <c r="G48" s="4">
        <v>6.0491533695324197E-10</v>
      </c>
      <c r="H48" s="4">
        <v>7.3799671108295594E-8</v>
      </c>
      <c r="I48" t="s">
        <v>8879</v>
      </c>
    </row>
    <row r="49" spans="1:9" x14ac:dyDescent="0.25">
      <c r="A49" t="s">
        <v>8880</v>
      </c>
      <c r="C49" s="3" t="str">
        <f>HYPERLINK("http://amigo.geneontology.org/amigo/term/GO:0016310","GO:0016310")</f>
        <v>GO:0016310</v>
      </c>
      <c r="D49" t="s">
        <v>1006</v>
      </c>
      <c r="E49">
        <v>6439</v>
      </c>
      <c r="F49">
        <v>151</v>
      </c>
      <c r="G49" s="4">
        <v>1.05208925434417E-9</v>
      </c>
      <c r="H49" s="4">
        <v>1.2414653201261301E-7</v>
      </c>
      <c r="I49" t="s">
        <v>8881</v>
      </c>
    </row>
    <row r="50" spans="1:9" x14ac:dyDescent="0.25">
      <c r="A50" t="s">
        <v>6968</v>
      </c>
      <c r="C50" s="3" t="str">
        <f>HYPERLINK("http://amigo.geneontology.org/amigo/term/GO:0008144","GO:0008144")</f>
        <v>GO:0008144</v>
      </c>
      <c r="D50" t="s">
        <v>6910</v>
      </c>
      <c r="E50">
        <v>9423</v>
      </c>
      <c r="F50">
        <v>203</v>
      </c>
      <c r="G50" s="4">
        <v>1.10062456603828E-9</v>
      </c>
      <c r="H50" s="4">
        <v>1.2657182509440299E-7</v>
      </c>
      <c r="I50" t="s">
        <v>8882</v>
      </c>
    </row>
    <row r="51" spans="1:9" x14ac:dyDescent="0.25">
      <c r="A51" t="s">
        <v>8883</v>
      </c>
      <c r="C51" s="3" t="str">
        <f>HYPERLINK("http://amigo.geneontology.org/amigo/term/GO:0140096","GO:0140096")</f>
        <v>GO:0140096</v>
      </c>
      <c r="D51" t="s">
        <v>6920</v>
      </c>
      <c r="E51">
        <v>9453</v>
      </c>
      <c r="F51">
        <v>200</v>
      </c>
      <c r="G51" s="4">
        <v>6.3016320975637497E-9</v>
      </c>
      <c r="H51" s="4">
        <v>7.0578279492714102E-7</v>
      </c>
      <c r="I51" t="s">
        <v>8884</v>
      </c>
    </row>
    <row r="52" spans="1:9" x14ac:dyDescent="0.25">
      <c r="A52" t="s">
        <v>8885</v>
      </c>
      <c r="C52" s="3" t="str">
        <f>HYPERLINK("http://amigo.geneontology.org/amigo/term/GO:0004497","GO:0004497")</f>
        <v>GO:0004497</v>
      </c>
      <c r="D52" t="s">
        <v>783</v>
      </c>
      <c r="E52">
        <v>891</v>
      </c>
      <c r="F52">
        <v>37</v>
      </c>
      <c r="G52" s="4">
        <v>1.20689379722027E-8</v>
      </c>
      <c r="H52" s="4">
        <v>1.32758317694229E-6</v>
      </c>
      <c r="I52" t="s">
        <v>8886</v>
      </c>
    </row>
    <row r="53" spans="1:9" x14ac:dyDescent="0.25">
      <c r="A53" t="s">
        <v>6971</v>
      </c>
      <c r="C53" s="3" t="str">
        <f>HYPERLINK("http://amigo.geneontology.org/amigo/term/GO:0016706","GO:0016706")</f>
        <v>GO:0016706</v>
      </c>
      <c r="D53" t="s">
        <v>5638</v>
      </c>
      <c r="E53">
        <v>251</v>
      </c>
      <c r="F53">
        <v>18</v>
      </c>
      <c r="G53" s="4">
        <v>2.9432782902665201E-8</v>
      </c>
      <c r="H53" s="4">
        <v>3.14930777058518E-6</v>
      </c>
      <c r="I53" t="s">
        <v>8887</v>
      </c>
    </row>
    <row r="54" spans="1:9" x14ac:dyDescent="0.25">
      <c r="A54" t="s">
        <v>6973</v>
      </c>
      <c r="C54" s="3" t="str">
        <f>HYPERLINK("http://amigo.geneontology.org/amigo/term/GO:0051336","GO:0051336")</f>
        <v>GO:0051336</v>
      </c>
      <c r="D54" t="s">
        <v>7071</v>
      </c>
      <c r="E54">
        <v>148</v>
      </c>
      <c r="F54">
        <v>14</v>
      </c>
      <c r="G54" s="4">
        <v>3.2518340267423802E-8</v>
      </c>
      <c r="H54" s="4">
        <v>3.4144257280795E-6</v>
      </c>
      <c r="I54" t="s">
        <v>8873</v>
      </c>
    </row>
    <row r="55" spans="1:9" x14ac:dyDescent="0.25">
      <c r="A55" t="s">
        <v>6975</v>
      </c>
      <c r="C55" s="3" t="str">
        <f>HYPERLINK("http://amigo.geneontology.org/amigo/term/GO:0051248","GO:0051248")</f>
        <v>GO:0051248</v>
      </c>
      <c r="D55" t="s">
        <v>6227</v>
      </c>
      <c r="E55">
        <v>228</v>
      </c>
      <c r="F55">
        <v>17</v>
      </c>
      <c r="G55" s="4">
        <v>4.0165392192575603E-8</v>
      </c>
      <c r="H55" s="4">
        <v>4.0165392192575603E-6</v>
      </c>
      <c r="I55" t="s">
        <v>8888</v>
      </c>
    </row>
    <row r="56" spans="1:9" x14ac:dyDescent="0.25">
      <c r="A56" t="s">
        <v>6976</v>
      </c>
      <c r="C56" s="3" t="str">
        <f>HYPERLINK("http://amigo.geneontology.org/amigo/term/GO:0032269","GO:0032269")</f>
        <v>GO:0032269</v>
      </c>
      <c r="D56" t="s">
        <v>6230</v>
      </c>
      <c r="E56">
        <v>228</v>
      </c>
      <c r="F56">
        <v>17</v>
      </c>
      <c r="G56" s="4">
        <v>4.0165392192575603E-8</v>
      </c>
      <c r="H56" s="4">
        <v>4.0968700036427204E-6</v>
      </c>
      <c r="I56" t="s">
        <v>8888</v>
      </c>
    </row>
    <row r="57" spans="1:9" x14ac:dyDescent="0.25">
      <c r="A57" t="s">
        <v>6979</v>
      </c>
      <c r="C57" s="3" t="str">
        <f>HYPERLINK("http://amigo.geneontology.org/amigo/term/GO:0016772","GO:0016772")</f>
        <v>GO:0016772</v>
      </c>
      <c r="D57" t="s">
        <v>1211</v>
      </c>
      <c r="E57">
        <v>6904</v>
      </c>
      <c r="F57">
        <v>152</v>
      </c>
      <c r="G57" s="4">
        <v>5.48272415989947E-8</v>
      </c>
      <c r="H57" s="4">
        <v>5.3730696767014796E-6</v>
      </c>
      <c r="I57" t="s">
        <v>8889</v>
      </c>
    </row>
    <row r="58" spans="1:9" x14ac:dyDescent="0.25">
      <c r="A58" t="s">
        <v>8890</v>
      </c>
      <c r="C58" s="3" t="str">
        <f>HYPERLINK("http://amigo.geneontology.org/amigo/term/GO:0006796","GO:0006796")</f>
        <v>GO:0006796</v>
      </c>
      <c r="D58" t="s">
        <v>679</v>
      </c>
      <c r="E58">
        <v>8416</v>
      </c>
      <c r="F58">
        <v>176</v>
      </c>
      <c r="G58" s="4">
        <v>1.3776049486843099E-7</v>
      </c>
      <c r="H58" s="4">
        <v>1.32250075073693E-5</v>
      </c>
      <c r="I58" t="s">
        <v>8891</v>
      </c>
    </row>
    <row r="59" spans="1:9" x14ac:dyDescent="0.25">
      <c r="A59" t="s">
        <v>6981</v>
      </c>
      <c r="C59" s="3" t="str">
        <f>HYPERLINK("http://amigo.geneontology.org/amigo/term/GO:0006793","GO:0006793")</f>
        <v>GO:0006793</v>
      </c>
      <c r="D59" t="s">
        <v>670</v>
      </c>
      <c r="E59">
        <v>8439</v>
      </c>
      <c r="F59">
        <v>176</v>
      </c>
      <c r="G59" s="4">
        <v>1.6490583970774601E-7</v>
      </c>
      <c r="H59" s="4">
        <v>1.5501148932528198E-5</v>
      </c>
      <c r="I59" t="s">
        <v>8891</v>
      </c>
    </row>
    <row r="60" spans="1:9" x14ac:dyDescent="0.25">
      <c r="A60" t="s">
        <v>8892</v>
      </c>
      <c r="C60" s="3" t="str">
        <f>HYPERLINK("http://amigo.geneontology.org/amigo/term/GO:0008061","GO:0008061")</f>
        <v>GO:0008061</v>
      </c>
      <c r="D60" t="s">
        <v>6774</v>
      </c>
      <c r="E60">
        <v>78</v>
      </c>
      <c r="F60">
        <v>10</v>
      </c>
      <c r="G60" s="4">
        <v>1.7181844797177E-7</v>
      </c>
      <c r="H60" s="4">
        <v>1.5807297213402801E-5</v>
      </c>
      <c r="I60" t="s">
        <v>8893</v>
      </c>
    </row>
    <row r="61" spans="1:9" x14ac:dyDescent="0.25">
      <c r="A61" t="s">
        <v>6984</v>
      </c>
      <c r="C61" s="3" t="str">
        <f>HYPERLINK("http://amigo.geneontology.org/amigo/term/GO:1902222","GO:1902222")</f>
        <v>GO:1902222</v>
      </c>
      <c r="D61" t="s">
        <v>6903</v>
      </c>
      <c r="E61">
        <v>62</v>
      </c>
      <c r="F61">
        <v>9</v>
      </c>
      <c r="G61" s="4">
        <v>2.3943220044791098E-7</v>
      </c>
      <c r="H61" s="4">
        <v>2.1070033639416099E-5</v>
      </c>
      <c r="I61" t="s">
        <v>8894</v>
      </c>
    </row>
    <row r="62" spans="1:9" x14ac:dyDescent="0.25">
      <c r="A62" t="s">
        <v>8895</v>
      </c>
      <c r="C62" s="3" t="str">
        <f>HYPERLINK("http://amigo.geneontology.org/amigo/term/GO:0006559","GO:0006559")</f>
        <v>GO:0006559</v>
      </c>
      <c r="D62" t="s">
        <v>6906</v>
      </c>
      <c r="E62">
        <v>62</v>
      </c>
      <c r="F62">
        <v>9</v>
      </c>
      <c r="G62" s="4">
        <v>2.3943220044791098E-7</v>
      </c>
      <c r="H62" s="4">
        <v>2.1548898040312E-5</v>
      </c>
      <c r="I62" t="s">
        <v>8894</v>
      </c>
    </row>
    <row r="63" spans="1:9" x14ac:dyDescent="0.25">
      <c r="A63" t="s">
        <v>6986</v>
      </c>
      <c r="C63" s="3" t="str">
        <f>HYPERLINK("http://amigo.geneontology.org/amigo/term/GO:0005524","GO:0005524")</f>
        <v>GO:0005524</v>
      </c>
      <c r="D63" t="s">
        <v>6927</v>
      </c>
      <c r="E63">
        <v>8993</v>
      </c>
      <c r="F63">
        <v>184</v>
      </c>
      <c r="G63" s="4">
        <v>2.9558448563193901E-7</v>
      </c>
      <c r="H63" s="4">
        <v>2.5420265764346799E-5</v>
      </c>
      <c r="I63" t="s">
        <v>8896</v>
      </c>
    </row>
    <row r="64" spans="1:9" x14ac:dyDescent="0.25">
      <c r="A64" t="s">
        <v>6988</v>
      </c>
      <c r="C64" s="3" t="str">
        <f>HYPERLINK("http://amigo.geneontology.org/amigo/term/GO:0006952","GO:0006952")</f>
        <v>GO:0006952</v>
      </c>
      <c r="D64" t="s">
        <v>155</v>
      </c>
      <c r="E64">
        <v>1416</v>
      </c>
      <c r="F64">
        <v>46</v>
      </c>
      <c r="G64" s="4">
        <v>3.20501457443811E-7</v>
      </c>
      <c r="H64" s="4">
        <v>2.7242623882723899E-5</v>
      </c>
      <c r="I64" t="s">
        <v>8897</v>
      </c>
    </row>
    <row r="65" spans="1:9" x14ac:dyDescent="0.25">
      <c r="A65" t="s">
        <v>8898</v>
      </c>
      <c r="C65" s="3" t="str">
        <f>HYPERLINK("http://amigo.geneontology.org/amigo/term/GO:0016841","GO:0016841")</f>
        <v>GO:0016841</v>
      </c>
      <c r="D65" t="s">
        <v>6908</v>
      </c>
      <c r="E65">
        <v>67</v>
      </c>
      <c r="F65">
        <v>9</v>
      </c>
      <c r="G65" s="4">
        <v>4.7360309188154398E-7</v>
      </c>
      <c r="H65" s="4">
        <v>3.9309056626168102E-5</v>
      </c>
      <c r="I65" t="s">
        <v>8894</v>
      </c>
    </row>
    <row r="66" spans="1:9" x14ac:dyDescent="0.25">
      <c r="A66" t="s">
        <v>6990</v>
      </c>
      <c r="C66" s="3" t="str">
        <f>HYPERLINK("http://amigo.geneontology.org/amigo/term/GO:0004867","GO:0004867")</f>
        <v>GO:0004867</v>
      </c>
      <c r="D66" t="s">
        <v>7084</v>
      </c>
      <c r="E66">
        <v>335</v>
      </c>
      <c r="F66">
        <v>19</v>
      </c>
      <c r="G66" s="4">
        <v>4.8029192332944204E-7</v>
      </c>
      <c r="H66" s="4">
        <v>3.9383937713014197E-5</v>
      </c>
      <c r="I66" t="s">
        <v>8899</v>
      </c>
    </row>
    <row r="67" spans="1:9" x14ac:dyDescent="0.25">
      <c r="A67" t="s">
        <v>6991</v>
      </c>
      <c r="C67" s="3" t="str">
        <f>HYPERLINK("http://amigo.geneontology.org/amigo/term/GO:0006950","GO:0006950")</f>
        <v>GO:0006950</v>
      </c>
      <c r="D67" t="s">
        <v>7156</v>
      </c>
      <c r="E67">
        <v>4305</v>
      </c>
      <c r="F67">
        <v>100</v>
      </c>
      <c r="G67" s="4">
        <v>1.3737561553853599E-6</v>
      </c>
      <c r="H67" s="4">
        <v>1.09900492430829E-4</v>
      </c>
      <c r="I67" t="s">
        <v>8900</v>
      </c>
    </row>
    <row r="68" spans="1:9" x14ac:dyDescent="0.25">
      <c r="A68" t="s">
        <v>6993</v>
      </c>
      <c r="C68" s="3" t="str">
        <f>HYPERLINK("http://amigo.geneontology.org/amigo/term/GO:0043086","GO:0043086")</f>
        <v>GO:0043086</v>
      </c>
      <c r="D68" t="s">
        <v>510</v>
      </c>
      <c r="E68">
        <v>209</v>
      </c>
      <c r="F68">
        <v>14</v>
      </c>
      <c r="G68" s="4">
        <v>2.2191223905335098E-6</v>
      </c>
      <c r="H68" s="4">
        <v>1.7531066885214701E-4</v>
      </c>
      <c r="I68" t="s">
        <v>8873</v>
      </c>
    </row>
    <row r="69" spans="1:9" x14ac:dyDescent="0.25">
      <c r="A69" t="s">
        <v>8901</v>
      </c>
      <c r="C69" s="3" t="str">
        <f>HYPERLINK("http://amigo.geneontology.org/amigo/term/GO:0043167","GO:0043167")</f>
        <v>GO:0043167</v>
      </c>
      <c r="D69" t="s">
        <v>6996</v>
      </c>
      <c r="E69">
        <v>24059</v>
      </c>
      <c r="F69">
        <v>413</v>
      </c>
      <c r="G69" s="4">
        <v>2.9622540390925001E-6</v>
      </c>
      <c r="H69" s="4">
        <v>2.28093561010122E-4</v>
      </c>
      <c r="I69" t="s">
        <v>8902</v>
      </c>
    </row>
    <row r="70" spans="1:9" x14ac:dyDescent="0.25">
      <c r="A70" t="s">
        <v>6995</v>
      </c>
      <c r="C70" s="3" t="str">
        <f>HYPERLINK("http://amigo.geneontology.org/amigo/term/GO:0016840","GO:0016840")</f>
        <v>GO:0016840</v>
      </c>
      <c r="D70" t="s">
        <v>6969</v>
      </c>
      <c r="E70">
        <v>158</v>
      </c>
      <c r="F70">
        <v>12</v>
      </c>
      <c r="G70" s="4">
        <v>3.2060495334282301E-6</v>
      </c>
      <c r="H70" s="4">
        <v>2.4365976454054499E-4</v>
      </c>
      <c r="I70" t="s">
        <v>8903</v>
      </c>
    </row>
    <row r="71" spans="1:9" x14ac:dyDescent="0.25">
      <c r="A71" t="s">
        <v>6998</v>
      </c>
      <c r="C71" s="3" t="str">
        <f>HYPERLINK("http://amigo.geneontology.org/amigo/term/GO:0044092","GO:0044092")</f>
        <v>GO:0044092</v>
      </c>
      <c r="D71" t="s">
        <v>552</v>
      </c>
      <c r="E71">
        <v>221</v>
      </c>
      <c r="F71">
        <v>14</v>
      </c>
      <c r="G71" s="4">
        <v>4.2494588881366498E-6</v>
      </c>
      <c r="H71" s="4">
        <v>3.1870941661024899E-4</v>
      </c>
      <c r="I71" t="s">
        <v>8873</v>
      </c>
    </row>
    <row r="72" spans="1:9" x14ac:dyDescent="0.25">
      <c r="A72" t="s">
        <v>7001</v>
      </c>
      <c r="C72" s="3" t="str">
        <f>HYPERLINK("http://amigo.geneontology.org/amigo/term/GO:0009074","GO:0009074")</f>
        <v>GO:0009074</v>
      </c>
      <c r="D72" t="s">
        <v>6930</v>
      </c>
      <c r="E72">
        <v>113</v>
      </c>
      <c r="F72">
        <v>10</v>
      </c>
      <c r="G72" s="4">
        <v>5.4187956528465302E-6</v>
      </c>
      <c r="H72" s="4">
        <v>4.0099087831064301E-4</v>
      </c>
      <c r="I72" t="s">
        <v>8904</v>
      </c>
    </row>
    <row r="73" spans="1:9" x14ac:dyDescent="0.25">
      <c r="A73" t="s">
        <v>7003</v>
      </c>
      <c r="C73" s="3" t="str">
        <f>HYPERLINK("http://amigo.geneontology.org/amigo/term/GO:0051213","GO:0051213")</f>
        <v>GO:0051213</v>
      </c>
      <c r="D73" t="s">
        <v>5728</v>
      </c>
      <c r="E73">
        <v>396</v>
      </c>
      <c r="F73">
        <v>19</v>
      </c>
      <c r="G73" s="4">
        <v>5.5783473059439602E-6</v>
      </c>
      <c r="H73" s="4">
        <v>4.0164100602796502E-4</v>
      </c>
      <c r="I73" t="s">
        <v>8905</v>
      </c>
    </row>
    <row r="74" spans="1:9" x14ac:dyDescent="0.25">
      <c r="A74" t="s">
        <v>8906</v>
      </c>
      <c r="C74" s="3" t="str">
        <f>HYPERLINK("http://amigo.geneontology.org/amigo/term/GO:1902221","GO:1902221")</f>
        <v>GO:1902221</v>
      </c>
      <c r="D74" t="s">
        <v>6913</v>
      </c>
      <c r="E74">
        <v>90</v>
      </c>
      <c r="F74">
        <v>9</v>
      </c>
      <c r="G74" s="4">
        <v>5.8447606145849296E-6</v>
      </c>
      <c r="H74" s="4">
        <v>4.09133243020945E-4</v>
      </c>
      <c r="I74" t="s">
        <v>8894</v>
      </c>
    </row>
    <row r="75" spans="1:9" x14ac:dyDescent="0.25">
      <c r="A75" t="s">
        <v>7005</v>
      </c>
      <c r="C75" s="3" t="str">
        <f>HYPERLINK("http://amigo.geneontology.org/amigo/term/GO:0006558","GO:0006558")</f>
        <v>GO:0006558</v>
      </c>
      <c r="D75" t="s">
        <v>6916</v>
      </c>
      <c r="E75">
        <v>90</v>
      </c>
      <c r="F75">
        <v>9</v>
      </c>
      <c r="G75" s="4">
        <v>5.8447606145849296E-6</v>
      </c>
      <c r="H75" s="4">
        <v>4.1497800363553001E-4</v>
      </c>
      <c r="I75" t="s">
        <v>8894</v>
      </c>
    </row>
    <row r="76" spans="1:9" x14ac:dyDescent="0.25">
      <c r="A76" t="s">
        <v>7008</v>
      </c>
      <c r="C76" s="3" t="str">
        <f>HYPERLINK("http://amigo.geneontology.org/amigo/term/GO:0061134","GO:0061134")</f>
        <v>GO:0061134</v>
      </c>
      <c r="D76" t="s">
        <v>7169</v>
      </c>
      <c r="E76">
        <v>445</v>
      </c>
      <c r="F76">
        <v>20</v>
      </c>
      <c r="G76" s="4">
        <v>8.3792910539731206E-6</v>
      </c>
      <c r="H76" s="4">
        <v>5.5303320956222595E-4</v>
      </c>
      <c r="I76" t="s">
        <v>8907</v>
      </c>
    </row>
    <row r="77" spans="1:9" x14ac:dyDescent="0.25">
      <c r="A77" t="s">
        <v>8908</v>
      </c>
      <c r="C77" s="3" t="str">
        <f>HYPERLINK("http://amigo.geneontology.org/amigo/term/GO:0030414","GO:0030414")</f>
        <v>GO:0030414</v>
      </c>
      <c r="D77" t="s">
        <v>7171</v>
      </c>
      <c r="E77">
        <v>445</v>
      </c>
      <c r="F77">
        <v>20</v>
      </c>
      <c r="G77" s="4">
        <v>8.3792910539731206E-6</v>
      </c>
      <c r="H77" s="4">
        <v>5.6141250061619895E-4</v>
      </c>
      <c r="I77" t="s">
        <v>8907</v>
      </c>
    </row>
    <row r="78" spans="1:9" x14ac:dyDescent="0.25">
      <c r="A78" t="s">
        <v>7010</v>
      </c>
      <c r="C78" s="3" t="str">
        <f>HYPERLINK("http://amigo.geneontology.org/amigo/term/GO:0061135","GO:0061135")</f>
        <v>GO:0061135</v>
      </c>
      <c r="D78" t="s">
        <v>7173</v>
      </c>
      <c r="E78">
        <v>445</v>
      </c>
      <c r="F78">
        <v>20</v>
      </c>
      <c r="G78" s="4">
        <v>8.3792910539731206E-6</v>
      </c>
      <c r="H78" s="4">
        <v>5.6979179167017196E-4</v>
      </c>
      <c r="I78" t="s">
        <v>8907</v>
      </c>
    </row>
    <row r="79" spans="1:9" x14ac:dyDescent="0.25">
      <c r="A79" t="s">
        <v>7013</v>
      </c>
      <c r="C79" s="3" t="str">
        <f>HYPERLINK("http://amigo.geneontology.org/amigo/term/GO:0004866","GO:0004866")</f>
        <v>GO:0004866</v>
      </c>
      <c r="D79" t="s">
        <v>7175</v>
      </c>
      <c r="E79">
        <v>445</v>
      </c>
      <c r="F79">
        <v>20</v>
      </c>
      <c r="G79" s="4">
        <v>8.3792910539731206E-6</v>
      </c>
      <c r="H79" s="4">
        <v>5.7817108272414496E-4</v>
      </c>
      <c r="I79" t="s">
        <v>8907</v>
      </c>
    </row>
    <row r="80" spans="1:9" x14ac:dyDescent="0.25">
      <c r="A80" t="s">
        <v>7014</v>
      </c>
      <c r="C80" s="3" t="str">
        <f>HYPERLINK("http://amigo.geneontology.org/amigo/term/GO:0035639","GO:0035639")</f>
        <v>GO:0035639</v>
      </c>
      <c r="D80" t="s">
        <v>6966</v>
      </c>
      <c r="E80">
        <v>9665</v>
      </c>
      <c r="F80">
        <v>186</v>
      </c>
      <c r="G80" s="4">
        <v>1.1938169333253199E-5</v>
      </c>
      <c r="H80" s="4">
        <v>7.7598100666146296E-4</v>
      </c>
      <c r="I80" t="s">
        <v>8909</v>
      </c>
    </row>
    <row r="81" spans="1:9" x14ac:dyDescent="0.25">
      <c r="A81" t="s">
        <v>7016</v>
      </c>
      <c r="C81" s="3" t="str">
        <f>HYPERLINK("http://amigo.geneontology.org/amigo/term/GO:0036211","GO:0036211")</f>
        <v>GO:0036211</v>
      </c>
      <c r="D81" t="s">
        <v>6999</v>
      </c>
      <c r="E81">
        <v>8035</v>
      </c>
      <c r="F81">
        <v>159</v>
      </c>
      <c r="G81" s="4">
        <v>1.3764900744206499E-5</v>
      </c>
      <c r="H81" s="4">
        <v>8.6718874688501495E-4</v>
      </c>
      <c r="I81" t="s">
        <v>8910</v>
      </c>
    </row>
    <row r="82" spans="1:9" x14ac:dyDescent="0.25">
      <c r="A82" t="s">
        <v>7018</v>
      </c>
      <c r="C82" s="3" t="str">
        <f>HYPERLINK("http://amigo.geneontology.org/amigo/term/GO:0006464","GO:0006464")</f>
        <v>GO:0006464</v>
      </c>
      <c r="D82" t="s">
        <v>7002</v>
      </c>
      <c r="E82">
        <v>8035</v>
      </c>
      <c r="F82">
        <v>159</v>
      </c>
      <c r="G82" s="4">
        <v>1.3764900744206499E-5</v>
      </c>
      <c r="H82" s="4">
        <v>8.8095364762922203E-4</v>
      </c>
      <c r="I82" t="s">
        <v>8910</v>
      </c>
    </row>
    <row r="83" spans="1:9" x14ac:dyDescent="0.25">
      <c r="A83" t="s">
        <v>7021</v>
      </c>
      <c r="C83" s="3" t="str">
        <f>HYPERLINK("http://amigo.geneontology.org/amigo/term/GO:0051172","GO:0051172")</f>
        <v>GO:0051172</v>
      </c>
      <c r="D83" t="s">
        <v>7163</v>
      </c>
      <c r="E83">
        <v>479</v>
      </c>
      <c r="F83">
        <v>20</v>
      </c>
      <c r="G83" s="4">
        <v>2.40380910522858E-5</v>
      </c>
      <c r="H83">
        <v>1.49036164524172E-3</v>
      </c>
      <c r="I83" t="s">
        <v>8911</v>
      </c>
    </row>
    <row r="84" spans="1:9" x14ac:dyDescent="0.25">
      <c r="A84" t="s">
        <v>8912</v>
      </c>
      <c r="C84" s="3" t="str">
        <f>HYPERLINK("http://amigo.geneontology.org/amigo/term/GO:0004588","GO:0004588")</f>
        <v>GO:0004588</v>
      </c>
      <c r="D84" t="s">
        <v>7222</v>
      </c>
      <c r="E84">
        <v>5</v>
      </c>
      <c r="F84">
        <v>3</v>
      </c>
      <c r="G84" s="4">
        <v>2.8141503925052E-5</v>
      </c>
      <c r="H84">
        <v>1.7166317394281701E-3</v>
      </c>
      <c r="I84" t="s">
        <v>8913</v>
      </c>
    </row>
    <row r="85" spans="1:9" x14ac:dyDescent="0.25">
      <c r="A85" t="s">
        <v>7023</v>
      </c>
      <c r="C85" s="3" t="str">
        <f>HYPERLINK("http://amigo.geneontology.org/amigo/term/GO:0004590","GO:0004590")</f>
        <v>GO:0004590</v>
      </c>
      <c r="D85" t="s">
        <v>7225</v>
      </c>
      <c r="E85">
        <v>5</v>
      </c>
      <c r="F85">
        <v>3</v>
      </c>
      <c r="G85" s="4">
        <v>2.8141503925052E-5</v>
      </c>
      <c r="H85">
        <v>1.7166317394281701E-3</v>
      </c>
      <c r="I85" t="s">
        <v>8913</v>
      </c>
    </row>
    <row r="86" spans="1:9" x14ac:dyDescent="0.25">
      <c r="A86" t="s">
        <v>7025</v>
      </c>
      <c r="C86" s="3" t="str">
        <f>HYPERLINK("http://amigo.geneontology.org/amigo/term/GO:0031324","GO:0031324")</f>
        <v>GO:0031324</v>
      </c>
      <c r="D86" t="s">
        <v>7179</v>
      </c>
      <c r="E86">
        <v>488</v>
      </c>
      <c r="F86">
        <v>20</v>
      </c>
      <c r="G86" s="4">
        <v>3.1202219338980799E-5</v>
      </c>
      <c r="H86">
        <v>1.8721331603388401E-3</v>
      </c>
      <c r="I86" t="s">
        <v>8911</v>
      </c>
    </row>
    <row r="87" spans="1:9" x14ac:dyDescent="0.25">
      <c r="A87" t="s">
        <v>7028</v>
      </c>
      <c r="C87" s="3" t="str">
        <f>HYPERLINK("http://amigo.geneontology.org/amigo/term/GO:0045548","GO:0045548")</f>
        <v>GO:0045548</v>
      </c>
      <c r="D87" t="s">
        <v>7006</v>
      </c>
      <c r="E87">
        <v>27</v>
      </c>
      <c r="F87">
        <v>5</v>
      </c>
      <c r="G87" s="4">
        <v>3.6008324737515197E-5</v>
      </c>
      <c r="H87">
        <v>2.12449115951339E-3</v>
      </c>
      <c r="I87" t="s">
        <v>8914</v>
      </c>
    </row>
    <row r="88" spans="1:9" x14ac:dyDescent="0.25">
      <c r="A88" t="s">
        <v>7030</v>
      </c>
      <c r="C88" s="3" t="str">
        <f>HYPERLINK("http://amigo.geneontology.org/amigo/term/GO:0006869","GO:0006869")</f>
        <v>GO:0006869</v>
      </c>
      <c r="D88" t="s">
        <v>6672</v>
      </c>
      <c r="E88">
        <v>275</v>
      </c>
      <c r="F88">
        <v>14</v>
      </c>
      <c r="G88" s="4">
        <v>4.88260645917408E-5</v>
      </c>
      <c r="H88">
        <v>2.8319117463209598E-3</v>
      </c>
      <c r="I88" t="s">
        <v>8915</v>
      </c>
    </row>
    <row r="89" spans="1:9" x14ac:dyDescent="0.25">
      <c r="A89" t="s">
        <v>7033</v>
      </c>
      <c r="C89" s="3" t="str">
        <f>HYPERLINK("http://amigo.geneontology.org/amigo/term/GO:0008429","GO:0008429")</f>
        <v>GO:0008429</v>
      </c>
      <c r="D89" t="s">
        <v>7104</v>
      </c>
      <c r="E89">
        <v>6</v>
      </c>
      <c r="F89">
        <v>3</v>
      </c>
      <c r="G89" s="4">
        <v>5.56847044820349E-5</v>
      </c>
      <c r="H89">
        <v>3.1183434509939501E-3</v>
      </c>
      <c r="I89" t="s">
        <v>7105</v>
      </c>
    </row>
    <row r="90" spans="1:9" x14ac:dyDescent="0.25">
      <c r="A90" t="s">
        <v>8916</v>
      </c>
      <c r="C90" s="3" t="str">
        <f>HYPERLINK("http://amigo.geneontology.org/amigo/term/GO:0015562","GO:0015562")</f>
        <v>GO:0015562</v>
      </c>
      <c r="D90" t="s">
        <v>7107</v>
      </c>
      <c r="E90">
        <v>6</v>
      </c>
      <c r="F90">
        <v>3</v>
      </c>
      <c r="G90" s="4">
        <v>5.56847044820349E-5</v>
      </c>
      <c r="H90">
        <v>3.1740281554759899E-3</v>
      </c>
      <c r="I90" t="s">
        <v>7108</v>
      </c>
    </row>
    <row r="91" spans="1:9" x14ac:dyDescent="0.25">
      <c r="A91" t="s">
        <v>8917</v>
      </c>
      <c r="C91" s="3" t="str">
        <f>HYPERLINK("http://amigo.geneontology.org/amigo/term/GO:0010329","GO:0010329")</f>
        <v>GO:0010329</v>
      </c>
      <c r="D91" t="s">
        <v>7110</v>
      </c>
      <c r="E91">
        <v>6</v>
      </c>
      <c r="F91">
        <v>3</v>
      </c>
      <c r="G91" s="4">
        <v>5.56847044820349E-5</v>
      </c>
      <c r="H91">
        <v>3.1740281554759899E-3</v>
      </c>
      <c r="I91" t="s">
        <v>7108</v>
      </c>
    </row>
    <row r="92" spans="1:9" x14ac:dyDescent="0.25">
      <c r="A92" t="s">
        <v>7035</v>
      </c>
      <c r="C92" s="3" t="str">
        <f>HYPERLINK("http://amigo.geneontology.org/amigo/term/GO:0071554","GO:0071554")</f>
        <v>GO:0071554</v>
      </c>
      <c r="D92" t="s">
        <v>206</v>
      </c>
      <c r="E92">
        <v>1000</v>
      </c>
      <c r="F92">
        <v>31</v>
      </c>
      <c r="G92" s="4">
        <v>6.1083487261435205E-5</v>
      </c>
      <c r="H92">
        <v>3.3595917993789301E-3</v>
      </c>
      <c r="I92" t="s">
        <v>8918</v>
      </c>
    </row>
    <row r="93" spans="1:9" x14ac:dyDescent="0.25">
      <c r="A93" t="s">
        <v>7038</v>
      </c>
      <c r="C93" s="3" t="str">
        <f>HYPERLINK("http://amigo.geneontology.org/amigo/term/GO:0017144","GO:0017144")</f>
        <v>GO:0017144</v>
      </c>
      <c r="D93" t="s">
        <v>4310</v>
      </c>
      <c r="E93">
        <v>1595</v>
      </c>
      <c r="F93">
        <v>43</v>
      </c>
      <c r="G93" s="4">
        <v>6.8152935254200996E-5</v>
      </c>
      <c r="H93">
        <v>3.74841143898105E-3</v>
      </c>
      <c r="I93" t="s">
        <v>8919</v>
      </c>
    </row>
    <row r="94" spans="1:9" x14ac:dyDescent="0.25">
      <c r="A94" t="s">
        <v>7040</v>
      </c>
      <c r="C94" s="3" t="str">
        <f>HYPERLINK("http://amigo.geneontology.org/amigo/term/GO:0030246","GO:0030246")</f>
        <v>GO:0030246</v>
      </c>
      <c r="D94" t="s">
        <v>6959</v>
      </c>
      <c r="E94">
        <v>1249</v>
      </c>
      <c r="F94">
        <v>36</v>
      </c>
      <c r="G94" s="4">
        <v>7.1389370747146894E-5</v>
      </c>
      <c r="H94">
        <v>3.8550260203459299E-3</v>
      </c>
      <c r="I94" t="s">
        <v>8920</v>
      </c>
    </row>
    <row r="95" spans="1:9" x14ac:dyDescent="0.25">
      <c r="A95" t="s">
        <v>8921</v>
      </c>
      <c r="C95" s="3" t="str">
        <f>HYPERLINK("http://amigo.geneontology.org/amigo/term/GO:0009803","GO:0009803")</f>
        <v>GO:0009803</v>
      </c>
      <c r="D95" t="s">
        <v>7022</v>
      </c>
      <c r="E95">
        <v>31</v>
      </c>
      <c r="F95">
        <v>5</v>
      </c>
      <c r="G95" s="4">
        <v>7.2297382926782096E-5</v>
      </c>
      <c r="H95">
        <v>3.8317612951194501E-3</v>
      </c>
      <c r="I95" t="s">
        <v>8914</v>
      </c>
    </row>
    <row r="96" spans="1:9" x14ac:dyDescent="0.25">
      <c r="A96" t="s">
        <v>8922</v>
      </c>
      <c r="C96" s="3" t="str">
        <f>HYPERLINK("http://amigo.geneontology.org/amigo/term/GO:0009800","GO:0009800")</f>
        <v>GO:0009800</v>
      </c>
      <c r="D96" t="s">
        <v>7024</v>
      </c>
      <c r="E96">
        <v>31</v>
      </c>
      <c r="F96">
        <v>5</v>
      </c>
      <c r="G96" s="4">
        <v>7.2297382926782096E-5</v>
      </c>
      <c r="H96">
        <v>3.8317612951194501E-3</v>
      </c>
      <c r="I96" t="s">
        <v>8914</v>
      </c>
    </row>
    <row r="97" spans="1:9" x14ac:dyDescent="0.25">
      <c r="A97" t="s">
        <v>7042</v>
      </c>
      <c r="C97" s="3" t="str">
        <f>HYPERLINK("http://amigo.geneontology.org/amigo/term/GO:0097367","GO:0097367")</f>
        <v>GO:0097367</v>
      </c>
      <c r="D97" t="s">
        <v>7019</v>
      </c>
      <c r="E97">
        <v>12255</v>
      </c>
      <c r="F97">
        <v>222</v>
      </c>
      <c r="G97" s="4">
        <v>7.2765488909408007E-5</v>
      </c>
      <c r="H97">
        <v>3.78380542328921E-3</v>
      </c>
      <c r="I97" t="s">
        <v>8923</v>
      </c>
    </row>
    <row r="98" spans="1:9" x14ac:dyDescent="0.25">
      <c r="A98" t="s">
        <v>8924</v>
      </c>
      <c r="C98" s="3" t="str">
        <f>HYPERLINK("http://amigo.geneontology.org/amigo/term/GO:0004364","GO:0004364")</f>
        <v>GO:0004364</v>
      </c>
      <c r="D98" t="s">
        <v>7113</v>
      </c>
      <c r="E98">
        <v>17</v>
      </c>
      <c r="F98">
        <v>4</v>
      </c>
      <c r="G98" s="4">
        <v>8.3768670000142499E-5</v>
      </c>
      <c r="H98">
        <v>4.2722021700072697E-3</v>
      </c>
      <c r="I98" t="s">
        <v>7114</v>
      </c>
    </row>
    <row r="99" spans="1:9" x14ac:dyDescent="0.25">
      <c r="A99" t="s">
        <v>8925</v>
      </c>
      <c r="C99" s="3" t="str">
        <f>HYPERLINK("http://amigo.geneontology.org/amigo/term/GO:0009916","GO:0009916")</f>
        <v>GO:0009916</v>
      </c>
      <c r="D99" t="s">
        <v>7215</v>
      </c>
      <c r="E99">
        <v>17</v>
      </c>
      <c r="F99">
        <v>4</v>
      </c>
      <c r="G99" s="4">
        <v>8.3768670000142499E-5</v>
      </c>
      <c r="H99">
        <v>4.2722021700072697E-3</v>
      </c>
      <c r="I99" t="s">
        <v>8926</v>
      </c>
    </row>
    <row r="100" spans="1:9" x14ac:dyDescent="0.25">
      <c r="A100" t="s">
        <v>7045</v>
      </c>
      <c r="C100" s="3" t="str">
        <f>HYPERLINK("http://amigo.geneontology.org/amigo/term/GO:0010315","GO:0010315")</f>
        <v>GO:0010315</v>
      </c>
      <c r="D100" t="s">
        <v>7118</v>
      </c>
      <c r="E100">
        <v>7</v>
      </c>
      <c r="F100">
        <v>3</v>
      </c>
      <c r="G100" s="4">
        <v>9.64130691910225E-5</v>
      </c>
      <c r="H100">
        <v>4.8206534595511196E-3</v>
      </c>
      <c r="I100" t="s">
        <v>7108</v>
      </c>
    </row>
    <row r="101" spans="1:9" x14ac:dyDescent="0.25">
      <c r="A101" t="s">
        <v>7048</v>
      </c>
      <c r="C101" s="3" t="str">
        <f>HYPERLINK("http://amigo.geneontology.org/amigo/term/GO:0022857","GO:0022857")</f>
        <v>GO:0022857</v>
      </c>
      <c r="D101" t="s">
        <v>261</v>
      </c>
      <c r="E101">
        <v>2485</v>
      </c>
      <c r="F101">
        <v>59</v>
      </c>
      <c r="G101" s="4">
        <v>1.17912287413519E-4</v>
      </c>
      <c r="H101">
        <v>5.8956143706759704E-3</v>
      </c>
      <c r="I101" t="s">
        <v>8927</v>
      </c>
    </row>
    <row r="102" spans="1:9" x14ac:dyDescent="0.25">
      <c r="A102" t="s">
        <v>7051</v>
      </c>
      <c r="C102" s="3" t="str">
        <f>HYPERLINK("http://amigo.geneontology.org/amigo/term/GO:0015893","GO:0015893")</f>
        <v>GO:0015893</v>
      </c>
      <c r="D102" t="s">
        <v>7563</v>
      </c>
      <c r="E102">
        <v>267</v>
      </c>
      <c r="F102">
        <v>13</v>
      </c>
      <c r="G102" s="4">
        <v>1.39749582040786E-4</v>
      </c>
      <c r="H102">
        <v>6.8477295199985203E-3</v>
      </c>
      <c r="I102" t="s">
        <v>8928</v>
      </c>
    </row>
    <row r="103" spans="1:9" x14ac:dyDescent="0.25">
      <c r="A103" t="s">
        <v>7054</v>
      </c>
      <c r="C103" s="3" t="str">
        <f>HYPERLINK("http://amigo.geneontology.org/amigo/term/GO:0005516","GO:0005516")</f>
        <v>GO:0005516</v>
      </c>
      <c r="D103" t="s">
        <v>645</v>
      </c>
      <c r="E103">
        <v>165</v>
      </c>
      <c r="F103">
        <v>10</v>
      </c>
      <c r="G103" s="4">
        <v>1.40578306841397E-4</v>
      </c>
      <c r="H103">
        <v>6.8883370352285003E-3</v>
      </c>
      <c r="I103" t="s">
        <v>8929</v>
      </c>
    </row>
    <row r="104" spans="1:9" x14ac:dyDescent="0.25">
      <c r="A104" t="s">
        <v>7056</v>
      </c>
      <c r="C104" s="3" t="str">
        <f>HYPERLINK("http://amigo.geneontology.org/amigo/term/GO:0008889","GO:0008889")</f>
        <v>GO:0008889</v>
      </c>
      <c r="D104" t="s">
        <v>822</v>
      </c>
      <c r="E104">
        <v>38</v>
      </c>
      <c r="F104">
        <v>5</v>
      </c>
      <c r="G104" s="4">
        <v>1.96701640154136E-4</v>
      </c>
      <c r="H104">
        <v>9.4416787273985392E-3</v>
      </c>
      <c r="I104" t="s">
        <v>7154</v>
      </c>
    </row>
    <row r="105" spans="1:9" x14ac:dyDescent="0.25">
      <c r="A105" t="s">
        <v>8930</v>
      </c>
      <c r="C105" s="3" t="str">
        <f>HYPERLINK("http://amigo.geneontology.org/amigo/term/GO:0047150","GO:0047150")</f>
        <v>GO:0047150</v>
      </c>
      <c r="D105" t="s">
        <v>7135</v>
      </c>
      <c r="E105">
        <v>2</v>
      </c>
      <c r="F105">
        <v>2</v>
      </c>
      <c r="G105" s="4">
        <v>2.0237211611918499E-4</v>
      </c>
      <c r="H105">
        <v>8.9043731092441694E-3</v>
      </c>
      <c r="I105" t="s">
        <v>7136</v>
      </c>
    </row>
    <row r="106" spans="1:9" x14ac:dyDescent="0.25">
      <c r="A106" t="s">
        <v>7058</v>
      </c>
      <c r="C106" s="3" t="str">
        <f>HYPERLINK("http://amigo.geneontology.org/amigo/term/GO:0005355","GO:0005355")</f>
        <v>GO:0005355</v>
      </c>
      <c r="D106" t="s">
        <v>7138</v>
      </c>
      <c r="E106">
        <v>2</v>
      </c>
      <c r="F106">
        <v>2</v>
      </c>
      <c r="G106" s="4">
        <v>2.0237211611918499E-4</v>
      </c>
      <c r="H106">
        <v>9.1067452253633593E-3</v>
      </c>
      <c r="I106" t="s">
        <v>7139</v>
      </c>
    </row>
    <row r="107" spans="1:9" x14ac:dyDescent="0.25">
      <c r="A107" t="s">
        <v>8931</v>
      </c>
      <c r="C107" s="3" t="str">
        <f>HYPERLINK("http://amigo.geneontology.org/amigo/term/GO:0009679","GO:0009679")</f>
        <v>GO:0009679</v>
      </c>
      <c r="D107" t="s">
        <v>7141</v>
      </c>
      <c r="E107">
        <v>2</v>
      </c>
      <c r="F107">
        <v>2</v>
      </c>
      <c r="G107" s="4">
        <v>2.0237211611918499E-4</v>
      </c>
      <c r="H107">
        <v>9.1067452253633593E-3</v>
      </c>
      <c r="I107" t="s">
        <v>7139</v>
      </c>
    </row>
    <row r="108" spans="1:9" x14ac:dyDescent="0.25">
      <c r="A108" t="s">
        <v>8932</v>
      </c>
      <c r="C108" s="3" t="str">
        <f>HYPERLINK("http://amigo.geneontology.org/amigo/term/GO:0005356","GO:0005356")</f>
        <v>GO:0005356</v>
      </c>
      <c r="D108" t="s">
        <v>7143</v>
      </c>
      <c r="E108">
        <v>2</v>
      </c>
      <c r="F108">
        <v>2</v>
      </c>
      <c r="G108" s="4">
        <v>2.0237211611918499E-4</v>
      </c>
      <c r="H108">
        <v>9.3091173414825406E-3</v>
      </c>
      <c r="I108" t="s">
        <v>7139</v>
      </c>
    </row>
    <row r="109" spans="1:9" x14ac:dyDescent="0.25">
      <c r="A109" t="s">
        <v>8933</v>
      </c>
      <c r="C109" s="3" t="str">
        <f>HYPERLINK("http://amigo.geneontology.org/amigo/term/GO:0005358","GO:0005358")</f>
        <v>GO:0005358</v>
      </c>
      <c r="D109" t="s">
        <v>7145</v>
      </c>
      <c r="E109">
        <v>2</v>
      </c>
      <c r="F109">
        <v>2</v>
      </c>
      <c r="G109" s="4">
        <v>2.0237211611918499E-4</v>
      </c>
      <c r="H109">
        <v>9.3091173414825406E-3</v>
      </c>
      <c r="I109" t="s">
        <v>7139</v>
      </c>
    </row>
    <row r="110" spans="1:9" x14ac:dyDescent="0.25">
      <c r="A110" t="s">
        <v>7060</v>
      </c>
      <c r="C110" s="3" t="str">
        <f>HYPERLINK("http://amigo.geneontology.org/amigo/term/GO:0016323","GO:0016323")</f>
        <v>GO:0016323</v>
      </c>
      <c r="D110" t="s">
        <v>7147</v>
      </c>
      <c r="E110">
        <v>2</v>
      </c>
      <c r="F110">
        <v>2</v>
      </c>
      <c r="G110" s="4">
        <v>2.0237211611918499E-4</v>
      </c>
      <c r="H110">
        <v>9.5114894576017305E-3</v>
      </c>
      <c r="I110" t="s">
        <v>7148</v>
      </c>
    </row>
    <row r="111" spans="1:9" x14ac:dyDescent="0.25">
      <c r="A111" t="s">
        <v>8934</v>
      </c>
      <c r="C111" s="3" t="str">
        <f>HYPERLINK("http://amigo.geneontology.org/amigo/term/GO:0045178","GO:0045178")</f>
        <v>GO:0045178</v>
      </c>
      <c r="D111" t="s">
        <v>7150</v>
      </c>
      <c r="E111">
        <v>2</v>
      </c>
      <c r="F111">
        <v>2</v>
      </c>
      <c r="G111" s="4">
        <v>2.0237211611918499E-4</v>
      </c>
      <c r="H111">
        <v>9.5114894576017305E-3</v>
      </c>
      <c r="I111" t="s">
        <v>7148</v>
      </c>
    </row>
    <row r="112" spans="1:9" x14ac:dyDescent="0.25">
      <c r="A112" t="s">
        <v>7062</v>
      </c>
      <c r="C112" s="3" t="str">
        <f>HYPERLINK("http://amigo.geneontology.org/amigo/term/GO:0009925","GO:0009925")</f>
        <v>GO:0009925</v>
      </c>
      <c r="D112" t="s">
        <v>7152</v>
      </c>
      <c r="E112">
        <v>2</v>
      </c>
      <c r="F112">
        <v>2</v>
      </c>
      <c r="G112" s="4">
        <v>2.0237211611918499E-4</v>
      </c>
      <c r="H112">
        <v>9.71386157372091E-3</v>
      </c>
      <c r="I112" t="s">
        <v>7148</v>
      </c>
    </row>
    <row r="113" spans="1:9" x14ac:dyDescent="0.25">
      <c r="A113" t="s">
        <v>7063</v>
      </c>
      <c r="C113" s="3" t="str">
        <f>HYPERLINK("http://amigo.geneontology.org/amigo/term/GO:0080161","GO:0080161")</f>
        <v>GO:0080161</v>
      </c>
      <c r="D113" t="s">
        <v>7159</v>
      </c>
      <c r="E113">
        <v>9</v>
      </c>
      <c r="F113">
        <v>3</v>
      </c>
      <c r="G113" s="4">
        <v>2.26506684427205E-4</v>
      </c>
      <c r="H113">
        <v>9.9662941147970405E-3</v>
      </c>
      <c r="I113" t="s">
        <v>7108</v>
      </c>
    </row>
    <row r="114" spans="1:9" x14ac:dyDescent="0.25">
      <c r="A114" t="s">
        <v>8935</v>
      </c>
      <c r="C114" s="3" t="str">
        <f>HYPERLINK("http://amigo.geneontology.org/amigo/term/GO:0009627","GO:0009627")</f>
        <v>GO:0009627</v>
      </c>
      <c r="D114" t="s">
        <v>7432</v>
      </c>
      <c r="E114">
        <v>114</v>
      </c>
      <c r="F114">
        <v>8</v>
      </c>
      <c r="G114" s="4">
        <v>2.39270347490283E-4</v>
      </c>
      <c r="H114">
        <v>1.02886249420822E-2</v>
      </c>
      <c r="I114" t="s">
        <v>8936</v>
      </c>
    </row>
    <row r="115" spans="1:9" x14ac:dyDescent="0.25">
      <c r="A115" t="s">
        <v>8937</v>
      </c>
      <c r="C115" s="3" t="str">
        <f>HYPERLINK("http://amigo.geneontology.org/amigo/term/GO:0032559","GO:0032559")</f>
        <v>GO:0032559</v>
      </c>
      <c r="D115" t="s">
        <v>7026</v>
      </c>
      <c r="E115">
        <v>11290</v>
      </c>
      <c r="F115">
        <v>202</v>
      </c>
      <c r="G115" s="4">
        <v>3.2391050883793197E-4</v>
      </c>
      <c r="H115">
        <v>1.3928151880030999E-2</v>
      </c>
      <c r="I115" t="s">
        <v>8938</v>
      </c>
    </row>
    <row r="116" spans="1:9" x14ac:dyDescent="0.25">
      <c r="A116" t="s">
        <v>7065</v>
      </c>
      <c r="C116" s="3" t="str">
        <f>HYPERLINK("http://amigo.geneontology.org/amigo/term/GO:0010876","GO:0010876")</f>
        <v>GO:0010876</v>
      </c>
      <c r="D116" t="s">
        <v>6676</v>
      </c>
      <c r="E116">
        <v>332</v>
      </c>
      <c r="F116">
        <v>14</v>
      </c>
      <c r="G116" s="4">
        <v>3.4555262747896202E-4</v>
      </c>
      <c r="H116">
        <v>1.4858762981595299E-2</v>
      </c>
      <c r="I116" t="s">
        <v>8915</v>
      </c>
    </row>
    <row r="117" spans="1:9" x14ac:dyDescent="0.25">
      <c r="A117" t="s">
        <v>8939</v>
      </c>
      <c r="C117" s="3" t="str">
        <f>HYPERLINK("http://amigo.geneontology.org/amigo/term/GO:0009699","GO:0009699")</f>
        <v>GO:0009699</v>
      </c>
      <c r="D117" t="s">
        <v>7078</v>
      </c>
      <c r="E117">
        <v>66</v>
      </c>
      <c r="F117">
        <v>6</v>
      </c>
      <c r="G117" s="4">
        <v>3.6012271369723103E-4</v>
      </c>
      <c r="H117">
        <v>1.51251539752837E-2</v>
      </c>
      <c r="I117" t="s">
        <v>8940</v>
      </c>
    </row>
    <row r="118" spans="1:9" x14ac:dyDescent="0.25">
      <c r="A118" t="s">
        <v>7066</v>
      </c>
      <c r="C118" s="3" t="str">
        <f>HYPERLINK("http://amigo.geneontology.org/amigo/term/GO:0046351","GO:0046351")</f>
        <v>GO:0046351</v>
      </c>
      <c r="D118" t="s">
        <v>6268</v>
      </c>
      <c r="E118">
        <v>66</v>
      </c>
      <c r="F118">
        <v>6</v>
      </c>
      <c r="G118" s="4">
        <v>3.6012271369723103E-4</v>
      </c>
      <c r="H118">
        <v>1.51251539752837E-2</v>
      </c>
      <c r="I118" t="s">
        <v>8941</v>
      </c>
    </row>
    <row r="119" spans="1:9" x14ac:dyDescent="0.25">
      <c r="A119" t="s">
        <v>7068</v>
      </c>
      <c r="C119" s="3" t="str">
        <f>HYPERLINK("http://amigo.geneontology.org/amigo/term/GO:0015711","GO:0015711")</f>
        <v>GO:0015711</v>
      </c>
      <c r="D119" t="s">
        <v>7210</v>
      </c>
      <c r="E119">
        <v>295</v>
      </c>
      <c r="F119">
        <v>13</v>
      </c>
      <c r="G119" s="4">
        <v>3.6650138501032102E-4</v>
      </c>
      <c r="H119">
        <v>1.50265567854231E-2</v>
      </c>
      <c r="I119" t="s">
        <v>8942</v>
      </c>
    </row>
    <row r="120" spans="1:9" x14ac:dyDescent="0.25">
      <c r="A120" t="s">
        <v>7070</v>
      </c>
      <c r="C120" s="3" t="str">
        <f>HYPERLINK("http://amigo.geneontology.org/amigo/term/GO:0048523","GO:0048523")</f>
        <v>GO:0048523</v>
      </c>
      <c r="D120" t="s">
        <v>7240</v>
      </c>
      <c r="E120">
        <v>682</v>
      </c>
      <c r="F120">
        <v>22</v>
      </c>
      <c r="G120" s="4">
        <v>3.9947054302884999E-4</v>
      </c>
      <c r="H120">
        <v>1.63782922641828E-2</v>
      </c>
      <c r="I120" t="s">
        <v>8943</v>
      </c>
    </row>
    <row r="121" spans="1:9" x14ac:dyDescent="0.25">
      <c r="A121" t="s">
        <v>7072</v>
      </c>
      <c r="C121" s="3" t="str">
        <f>HYPERLINK("http://amigo.geneontology.org/amigo/term/GO:0043412","GO:0043412")</f>
        <v>GO:0043412</v>
      </c>
      <c r="D121" t="s">
        <v>7041</v>
      </c>
      <c r="E121">
        <v>8613</v>
      </c>
      <c r="F121">
        <v>159</v>
      </c>
      <c r="G121" s="4">
        <v>4.0602230528425401E-4</v>
      </c>
      <c r="H121">
        <v>1.6646914516654399E-2</v>
      </c>
      <c r="I121" t="s">
        <v>8910</v>
      </c>
    </row>
    <row r="122" spans="1:9" x14ac:dyDescent="0.25">
      <c r="A122" t="s">
        <v>8944</v>
      </c>
      <c r="C122" s="3" t="str">
        <f>HYPERLINK("http://amigo.geneontology.org/amigo/term/GO:0043168","GO:0043168")</f>
        <v>GO:0043168</v>
      </c>
      <c r="D122" t="s">
        <v>7011</v>
      </c>
      <c r="E122">
        <v>13483</v>
      </c>
      <c r="F122">
        <v>235</v>
      </c>
      <c r="G122" s="4">
        <v>4.3494495871892699E-4</v>
      </c>
      <c r="H122">
        <v>1.7397798348757099E-2</v>
      </c>
      <c r="I122" t="s">
        <v>8945</v>
      </c>
    </row>
    <row r="123" spans="1:9" x14ac:dyDescent="0.25">
      <c r="A123" t="s">
        <v>7074</v>
      </c>
      <c r="C123" s="3" t="str">
        <f>HYPERLINK("http://amigo.geneontology.org/amigo/term/GO:0032268","GO:0032268")</f>
        <v>GO:0032268</v>
      </c>
      <c r="D123" t="s">
        <v>7306</v>
      </c>
      <c r="E123">
        <v>554</v>
      </c>
      <c r="F123">
        <v>19</v>
      </c>
      <c r="G123" s="4">
        <v>4.65757026904409E-4</v>
      </c>
      <c r="H123">
        <v>1.86302810761763E-2</v>
      </c>
      <c r="I123" t="s">
        <v>8946</v>
      </c>
    </row>
    <row r="124" spans="1:9" x14ac:dyDescent="0.25">
      <c r="A124" t="s">
        <v>7077</v>
      </c>
      <c r="C124" s="3" t="str">
        <f>HYPERLINK("http://amigo.geneontology.org/amigo/term/GO:0030554","GO:0030554")</f>
        <v>GO:0030554</v>
      </c>
      <c r="D124" t="s">
        <v>7029</v>
      </c>
      <c r="E124">
        <v>11378</v>
      </c>
      <c r="F124">
        <v>202</v>
      </c>
      <c r="G124" s="4">
        <v>4.8407126153599401E-4</v>
      </c>
      <c r="H124">
        <v>1.88787791999037E-2</v>
      </c>
      <c r="I124" t="s">
        <v>8938</v>
      </c>
    </row>
    <row r="125" spans="1:9" x14ac:dyDescent="0.25">
      <c r="A125" t="s">
        <v>7079</v>
      </c>
      <c r="C125" s="3" t="str">
        <f>HYPERLINK("http://amigo.geneontology.org/amigo/term/GO:0015748","GO:0015748")</f>
        <v>GO:0015748</v>
      </c>
      <c r="D125" t="s">
        <v>7395</v>
      </c>
      <c r="E125">
        <v>70</v>
      </c>
      <c r="F125">
        <v>6</v>
      </c>
      <c r="G125" s="4">
        <v>4.9531153771650599E-4</v>
      </c>
      <c r="H125">
        <v>1.9317149970943699E-2</v>
      </c>
      <c r="I125" t="s">
        <v>8947</v>
      </c>
    </row>
    <row r="126" spans="1:9" x14ac:dyDescent="0.25">
      <c r="A126" t="s">
        <v>7081</v>
      </c>
      <c r="C126" s="3" t="str">
        <f>HYPERLINK("http://amigo.geneontology.org/amigo/term/GO:0015238","GO:0015238")</f>
        <v>GO:0015238</v>
      </c>
      <c r="D126" t="s">
        <v>8948</v>
      </c>
      <c r="E126">
        <v>271</v>
      </c>
      <c r="F126">
        <v>12</v>
      </c>
      <c r="G126" s="4">
        <v>5.8232046651463497E-4</v>
      </c>
      <c r="H126">
        <v>2.27104981940707E-2</v>
      </c>
      <c r="I126" t="s">
        <v>8949</v>
      </c>
    </row>
    <row r="127" spans="1:9" x14ac:dyDescent="0.25">
      <c r="A127" t="s">
        <v>8950</v>
      </c>
      <c r="C127" s="3" t="str">
        <f>HYPERLINK("http://amigo.geneontology.org/amigo/term/GO:0046864","GO:0046864")</f>
        <v>GO:0046864</v>
      </c>
      <c r="D127" t="s">
        <v>7540</v>
      </c>
      <c r="E127">
        <v>3</v>
      </c>
      <c r="F127">
        <v>2</v>
      </c>
      <c r="G127" s="4">
        <v>6.0136631996824102E-4</v>
      </c>
      <c r="H127">
        <v>2.2851920158793101E-2</v>
      </c>
      <c r="I127" t="s">
        <v>8951</v>
      </c>
    </row>
    <row r="128" spans="1:9" x14ac:dyDescent="0.25">
      <c r="A128" t="s">
        <v>8952</v>
      </c>
      <c r="C128" s="3" t="str">
        <f>HYPERLINK("http://amigo.geneontology.org/amigo/term/GO:0046865","GO:0046865")</f>
        <v>GO:0046865</v>
      </c>
      <c r="D128" t="s">
        <v>7543</v>
      </c>
      <c r="E128">
        <v>3</v>
      </c>
      <c r="F128">
        <v>2</v>
      </c>
      <c r="G128" s="4">
        <v>6.0136631996824102E-4</v>
      </c>
      <c r="H128">
        <v>2.2851920158793101E-2</v>
      </c>
      <c r="I128" t="s">
        <v>8951</v>
      </c>
    </row>
    <row r="129" spans="1:9" x14ac:dyDescent="0.25">
      <c r="A129" t="s">
        <v>8953</v>
      </c>
      <c r="C129" s="3" t="str">
        <f>HYPERLINK("http://amigo.geneontology.org/amigo/term/GO:0080168","GO:0080168")</f>
        <v>GO:0080168</v>
      </c>
      <c r="D129" t="s">
        <v>7545</v>
      </c>
      <c r="E129">
        <v>3</v>
      </c>
      <c r="F129">
        <v>2</v>
      </c>
      <c r="G129" s="4">
        <v>6.0136631996824102E-4</v>
      </c>
      <c r="H129">
        <v>2.2851920158793101E-2</v>
      </c>
      <c r="I129" t="s">
        <v>8951</v>
      </c>
    </row>
    <row r="130" spans="1:9" x14ac:dyDescent="0.25">
      <c r="A130" t="s">
        <v>7083</v>
      </c>
      <c r="C130" s="3" t="str">
        <f>HYPERLINK("http://amigo.geneontology.org/amigo/term/GO:0016740","GO:0016740")</f>
        <v>GO:0016740</v>
      </c>
      <c r="D130" t="s">
        <v>855</v>
      </c>
      <c r="E130">
        <v>12925</v>
      </c>
      <c r="F130">
        <v>225</v>
      </c>
      <c r="G130" s="4">
        <v>6.3607607244675504E-4</v>
      </c>
      <c r="H130">
        <v>2.3534814680529901E-2</v>
      </c>
      <c r="I130" t="s">
        <v>8954</v>
      </c>
    </row>
    <row r="131" spans="1:9" x14ac:dyDescent="0.25">
      <c r="A131" t="s">
        <v>7086</v>
      </c>
      <c r="C131" s="3" t="str">
        <f>HYPERLINK("http://amigo.geneontology.org/amigo/term/GO:0015291","GO:0015291")</f>
        <v>GO:0015291</v>
      </c>
      <c r="D131" t="s">
        <v>439</v>
      </c>
      <c r="E131">
        <v>527</v>
      </c>
      <c r="F131">
        <v>18</v>
      </c>
      <c r="G131" s="4">
        <v>6.7948137111357098E-4</v>
      </c>
      <c r="H131">
        <v>2.5140810731202098E-2</v>
      </c>
      <c r="I131" t="s">
        <v>8955</v>
      </c>
    </row>
    <row r="132" spans="1:9" x14ac:dyDescent="0.25">
      <c r="A132" t="s">
        <v>7089</v>
      </c>
      <c r="C132" s="3" t="str">
        <f>HYPERLINK("http://amigo.geneontology.org/amigo/term/GO:0004557","GO:0004557")</f>
        <v>GO:0004557</v>
      </c>
      <c r="D132" t="s">
        <v>5324</v>
      </c>
      <c r="E132">
        <v>13</v>
      </c>
      <c r="F132">
        <v>3</v>
      </c>
      <c r="G132" s="4">
        <v>7.3905321777253995E-4</v>
      </c>
      <c r="H132">
        <v>2.73449690575839E-2</v>
      </c>
      <c r="I132" t="s">
        <v>7191</v>
      </c>
    </row>
    <row r="133" spans="1:9" x14ac:dyDescent="0.25">
      <c r="A133" t="s">
        <v>8956</v>
      </c>
      <c r="C133" s="3" t="str">
        <f>HYPERLINK("http://amigo.geneontology.org/amigo/term/GO:0052692","GO:0052692")</f>
        <v>GO:0052692</v>
      </c>
      <c r="D133" t="s">
        <v>5326</v>
      </c>
      <c r="E133">
        <v>13</v>
      </c>
      <c r="F133">
        <v>3</v>
      </c>
      <c r="G133" s="4">
        <v>7.3905321777253995E-4</v>
      </c>
      <c r="H133">
        <v>2.73449690575839E-2</v>
      </c>
      <c r="I133" t="s">
        <v>7191</v>
      </c>
    </row>
    <row r="134" spans="1:9" x14ac:dyDescent="0.25">
      <c r="A134" t="s">
        <v>8957</v>
      </c>
      <c r="C134" s="3" t="str">
        <f>HYPERLINK("http://amigo.geneontology.org/amigo/term/GO:0051246","GO:0051246")</f>
        <v>GO:0051246</v>
      </c>
      <c r="D134" t="s">
        <v>7327</v>
      </c>
      <c r="E134">
        <v>576</v>
      </c>
      <c r="F134">
        <v>19</v>
      </c>
      <c r="G134" s="4">
        <v>7.4046272376427497E-4</v>
      </c>
      <c r="H134">
        <v>2.6656658055513899E-2</v>
      </c>
      <c r="I134" t="s">
        <v>8946</v>
      </c>
    </row>
    <row r="135" spans="1:9" x14ac:dyDescent="0.25">
      <c r="A135" t="s">
        <v>8958</v>
      </c>
      <c r="C135" s="3" t="str">
        <f>HYPERLINK("http://amigo.geneontology.org/amigo/term/GO:1901565","GO:1901565")</f>
        <v>GO:1901565</v>
      </c>
      <c r="D135" t="s">
        <v>7125</v>
      </c>
      <c r="E135">
        <v>1263</v>
      </c>
      <c r="F135">
        <v>33</v>
      </c>
      <c r="G135" s="4">
        <v>7.7121849489528898E-4</v>
      </c>
      <c r="H135">
        <v>2.7763865816230401E-2</v>
      </c>
      <c r="I135" t="s">
        <v>8959</v>
      </c>
    </row>
    <row r="136" spans="1:9" x14ac:dyDescent="0.25">
      <c r="A136" t="s">
        <v>7091</v>
      </c>
      <c r="C136" s="3" t="str">
        <f>HYPERLINK("http://amigo.geneontology.org/amigo/term/GO:0044238","GO:0044238")</f>
        <v>GO:0044238</v>
      </c>
      <c r="D136" t="s">
        <v>612</v>
      </c>
      <c r="E136">
        <v>23308</v>
      </c>
      <c r="F136">
        <v>380</v>
      </c>
      <c r="G136" s="4">
        <v>8.7884916833365096E-4</v>
      </c>
      <c r="H136">
        <v>3.1638570060011403E-2</v>
      </c>
      <c r="I136" t="s">
        <v>8960</v>
      </c>
    </row>
    <row r="137" spans="1:9" x14ac:dyDescent="0.25">
      <c r="A137" t="s">
        <v>8961</v>
      </c>
      <c r="C137" s="3" t="str">
        <f>HYPERLINK("http://amigo.geneontology.org/amigo/term/GO:0032553","GO:0032553")</f>
        <v>GO:0032553</v>
      </c>
      <c r="D137" t="s">
        <v>7031</v>
      </c>
      <c r="E137">
        <v>12119</v>
      </c>
      <c r="F137">
        <v>211</v>
      </c>
      <c r="G137" s="4">
        <v>9.6816955653665699E-4</v>
      </c>
      <c r="H137">
        <v>3.3885934478782999E-2</v>
      </c>
      <c r="I137" t="s">
        <v>8962</v>
      </c>
    </row>
    <row r="138" spans="1:9" x14ac:dyDescent="0.25">
      <c r="A138" t="s">
        <v>7093</v>
      </c>
      <c r="C138" s="3" t="str">
        <f>HYPERLINK("http://amigo.geneontology.org/amigo/term/GO:0043207","GO:0043207")</f>
        <v>GO:0043207</v>
      </c>
      <c r="D138" t="s">
        <v>8963</v>
      </c>
      <c r="E138">
        <v>546</v>
      </c>
      <c r="F138">
        <v>18</v>
      </c>
      <c r="G138">
        <v>1.0133445582358E-3</v>
      </c>
      <c r="H138">
        <v>3.5467059538253E-2</v>
      </c>
      <c r="I138" t="s">
        <v>8964</v>
      </c>
    </row>
    <row r="139" spans="1:9" x14ac:dyDescent="0.25">
      <c r="A139" t="s">
        <v>7096</v>
      </c>
      <c r="C139" s="3" t="str">
        <f>HYPERLINK("http://amigo.geneontology.org/amigo/term/GO:0051707","GO:0051707")</f>
        <v>GO:0051707</v>
      </c>
      <c r="D139" t="s">
        <v>8965</v>
      </c>
      <c r="E139">
        <v>546</v>
      </c>
      <c r="F139">
        <v>18</v>
      </c>
      <c r="G139">
        <v>1.0133445582358E-3</v>
      </c>
      <c r="H139">
        <v>3.5467059538253E-2</v>
      </c>
      <c r="I139" t="s">
        <v>8964</v>
      </c>
    </row>
    <row r="140" spans="1:9" x14ac:dyDescent="0.25">
      <c r="A140" t="s">
        <v>7098</v>
      </c>
      <c r="C140" s="3" t="str">
        <f>HYPERLINK("http://amigo.geneontology.org/amigo/term/GO:0009056","GO:0009056")</f>
        <v>GO:0009056</v>
      </c>
      <c r="D140" t="s">
        <v>5309</v>
      </c>
      <c r="E140">
        <v>2670</v>
      </c>
      <c r="F140">
        <v>58</v>
      </c>
      <c r="G140">
        <v>1.1552725801040201E-3</v>
      </c>
      <c r="H140">
        <v>4.0434540303640902E-2</v>
      </c>
      <c r="I140" t="s">
        <v>8966</v>
      </c>
    </row>
    <row r="141" spans="1:9" x14ac:dyDescent="0.25">
      <c r="A141" t="s">
        <v>7101</v>
      </c>
      <c r="C141" s="3" t="str">
        <f>HYPERLINK("http://amigo.geneontology.org/amigo/term/GO:1901564","GO:1901564")</f>
        <v>GO:1901564</v>
      </c>
      <c r="D141" t="s">
        <v>7043</v>
      </c>
      <c r="E141">
        <v>15308</v>
      </c>
      <c r="F141">
        <v>259</v>
      </c>
      <c r="G141">
        <v>1.1875770472428999E-3</v>
      </c>
      <c r="H141">
        <v>4.0377619606258602E-2</v>
      </c>
      <c r="I141" t="s">
        <v>8967</v>
      </c>
    </row>
    <row r="142" spans="1:9" x14ac:dyDescent="0.25">
      <c r="A142" t="s">
        <v>7103</v>
      </c>
      <c r="C142" s="3" t="str">
        <f>HYPERLINK("http://amigo.geneontology.org/amigo/term/GO:0015149","GO:0015149")</f>
        <v>GO:0015149</v>
      </c>
      <c r="D142" t="s">
        <v>7204</v>
      </c>
      <c r="E142">
        <v>4</v>
      </c>
      <c r="F142">
        <v>2</v>
      </c>
      <c r="G142">
        <v>1.1913550051545201E-3</v>
      </c>
      <c r="H142">
        <v>4.0506070175253699E-2</v>
      </c>
      <c r="I142" t="s">
        <v>7139</v>
      </c>
    </row>
    <row r="143" spans="1:9" x14ac:dyDescent="0.25">
      <c r="A143" t="s">
        <v>7106</v>
      </c>
      <c r="C143" s="3" t="str">
        <f>HYPERLINK("http://amigo.geneontology.org/amigo/term/GO:0004197","GO:0004197")</f>
        <v>GO:0004197</v>
      </c>
      <c r="D143" t="s">
        <v>7128</v>
      </c>
      <c r="E143">
        <v>56</v>
      </c>
      <c r="F143">
        <v>5</v>
      </c>
      <c r="G143">
        <v>1.2125465750324701E-3</v>
      </c>
      <c r="H143">
        <v>4.1226583551104201E-2</v>
      </c>
      <c r="I143" t="s">
        <v>8968</v>
      </c>
    </row>
    <row r="144" spans="1:9" x14ac:dyDescent="0.25">
      <c r="A144" t="s">
        <v>7109</v>
      </c>
      <c r="C144" s="3" t="str">
        <f>HYPERLINK("http://amigo.geneontology.org/amigo/term/GO:0071704","GO:0071704")</f>
        <v>GO:0071704</v>
      </c>
      <c r="D144" t="s">
        <v>472</v>
      </c>
      <c r="E144">
        <v>24369</v>
      </c>
      <c r="F144">
        <v>394</v>
      </c>
      <c r="G144">
        <v>1.2512790592552701E-3</v>
      </c>
      <c r="H144">
        <v>4.1292208955424001E-2</v>
      </c>
      <c r="I144" t="s">
        <v>8969</v>
      </c>
    </row>
    <row r="145" spans="1:9" x14ac:dyDescent="0.25">
      <c r="A145" t="s">
        <v>8970</v>
      </c>
      <c r="C145" s="3" t="str">
        <f>HYPERLINK("http://amigo.geneontology.org/amigo/term/GO:1901606","GO:1901606")</f>
        <v>GO:1901606</v>
      </c>
      <c r="D145" t="s">
        <v>6977</v>
      </c>
      <c r="E145">
        <v>220</v>
      </c>
      <c r="F145">
        <v>10</v>
      </c>
      <c r="G145">
        <v>1.3376107436502201E-3</v>
      </c>
      <c r="H145">
        <v>4.4141154540457299E-2</v>
      </c>
      <c r="I145" t="s">
        <v>8904</v>
      </c>
    </row>
    <row r="146" spans="1:9" x14ac:dyDescent="0.25">
      <c r="A146" t="s">
        <v>8971</v>
      </c>
      <c r="C146" s="3" t="str">
        <f>HYPERLINK("http://amigo.geneontology.org/amigo/term/GO:0009312","GO:0009312")</f>
        <v>GO:0009312</v>
      </c>
      <c r="D146" t="s">
        <v>6334</v>
      </c>
      <c r="E146">
        <v>85</v>
      </c>
      <c r="F146">
        <v>6</v>
      </c>
      <c r="G146">
        <v>1.38052894168653E-3</v>
      </c>
      <c r="H146">
        <v>4.5557455075655701E-2</v>
      </c>
      <c r="I146" t="s">
        <v>8941</v>
      </c>
    </row>
    <row r="147" spans="1:9" x14ac:dyDescent="0.25">
      <c r="A147" t="s">
        <v>7111</v>
      </c>
      <c r="C147" s="3" t="str">
        <f>HYPERLINK("http://amigo.geneontology.org/amigo/term/GO:0015865","GO:0015865")</f>
        <v>GO:0015865</v>
      </c>
      <c r="D147" t="s">
        <v>8972</v>
      </c>
      <c r="E147">
        <v>16</v>
      </c>
      <c r="F147">
        <v>3</v>
      </c>
      <c r="G147">
        <v>1.4017291030607199E-3</v>
      </c>
      <c r="H147">
        <v>4.6257060401003802E-2</v>
      </c>
      <c r="I147" t="s">
        <v>8973</v>
      </c>
    </row>
    <row r="148" spans="1:9" x14ac:dyDescent="0.25">
      <c r="A148" t="s">
        <v>7112</v>
      </c>
      <c r="C148" s="3" t="str">
        <f>HYPERLINK("http://amigo.geneontology.org/amigo/term/GO:0022804","GO:0022804")</f>
        <v>GO:0022804</v>
      </c>
      <c r="D148" t="s">
        <v>676</v>
      </c>
      <c r="E148">
        <v>1000</v>
      </c>
      <c r="F148">
        <v>27</v>
      </c>
      <c r="G148">
        <v>1.40238585245841E-3</v>
      </c>
      <c r="H148">
        <v>4.48763472786693E-2</v>
      </c>
      <c r="I148" t="s">
        <v>8974</v>
      </c>
    </row>
    <row r="149" spans="1:9" x14ac:dyDescent="0.25">
      <c r="A149" t="s">
        <v>7115</v>
      </c>
      <c r="C149" s="3" t="str">
        <f>HYPERLINK("http://amigo.geneontology.org/amigo/term/GO:0004556","GO:0004556")</f>
        <v>GO:0004556</v>
      </c>
      <c r="D149" t="s">
        <v>7131</v>
      </c>
      <c r="E149">
        <v>36</v>
      </c>
      <c r="F149">
        <v>4</v>
      </c>
      <c r="G149">
        <v>1.67305715710394E-3</v>
      </c>
      <c r="H149">
        <v>5.3537829027326303E-2</v>
      </c>
      <c r="I149" t="s">
        <v>8975</v>
      </c>
    </row>
    <row r="150" spans="1:9" x14ac:dyDescent="0.25">
      <c r="A150" t="s">
        <v>7117</v>
      </c>
      <c r="C150" s="3" t="str">
        <f>HYPERLINK("http://amigo.geneontology.org/amigo/term/GO:0009063","GO:0009063")</f>
        <v>GO:0009063</v>
      </c>
      <c r="D150" t="s">
        <v>5306</v>
      </c>
      <c r="E150">
        <v>227</v>
      </c>
      <c r="F150">
        <v>10</v>
      </c>
      <c r="G150">
        <v>1.68643629053529E-3</v>
      </c>
      <c r="H150">
        <v>5.39659612971293E-2</v>
      </c>
      <c r="I150" t="s">
        <v>8904</v>
      </c>
    </row>
    <row r="151" spans="1:9" x14ac:dyDescent="0.25">
      <c r="A151" t="s">
        <v>7119</v>
      </c>
      <c r="C151" s="3" t="str">
        <f>HYPERLINK("http://amigo.geneontology.org/amigo/term/GO:0009963","GO:0009963")</f>
        <v>GO:0009963</v>
      </c>
      <c r="D151" t="s">
        <v>8976</v>
      </c>
      <c r="E151">
        <v>18</v>
      </c>
      <c r="F151">
        <v>3</v>
      </c>
      <c r="G151">
        <v>1.9996813849105198E-3</v>
      </c>
      <c r="H151">
        <v>6.1990122932226298E-2</v>
      </c>
      <c r="I151" t="s">
        <v>8977</v>
      </c>
    </row>
    <row r="152" spans="1:9" x14ac:dyDescent="0.25">
      <c r="A152" t="s">
        <v>7120</v>
      </c>
      <c r="C152" s="3" t="str">
        <f>HYPERLINK("http://amigo.geneontology.org/amigo/term/GO:0015216","GO:0015216")</f>
        <v>GO:0015216</v>
      </c>
      <c r="D152" t="s">
        <v>8978</v>
      </c>
      <c r="E152">
        <v>18</v>
      </c>
      <c r="F152">
        <v>3</v>
      </c>
      <c r="G152">
        <v>1.9996813849105198E-3</v>
      </c>
      <c r="H152">
        <v>6.1990122932226298E-2</v>
      </c>
      <c r="I152" t="s">
        <v>8973</v>
      </c>
    </row>
    <row r="153" spans="1:9" x14ac:dyDescent="0.25">
      <c r="A153" t="s">
        <v>7122</v>
      </c>
      <c r="C153" s="3" t="str">
        <f>HYPERLINK("http://amigo.geneontology.org/amigo/term/GO:0000295","GO:0000295")</f>
        <v>GO:0000295</v>
      </c>
      <c r="D153" t="s">
        <v>8979</v>
      </c>
      <c r="E153">
        <v>18</v>
      </c>
      <c r="F153">
        <v>3</v>
      </c>
      <c r="G153">
        <v>1.9996813849105198E-3</v>
      </c>
      <c r="H153">
        <v>6.39898043171368E-2</v>
      </c>
      <c r="I153" t="s">
        <v>8973</v>
      </c>
    </row>
    <row r="154" spans="1:9" x14ac:dyDescent="0.25">
      <c r="A154" t="s">
        <v>8980</v>
      </c>
      <c r="C154" s="3" t="str">
        <f>HYPERLINK("http://amigo.geneontology.org/amigo/term/GO:0005346","GO:0005346")</f>
        <v>GO:0005346</v>
      </c>
      <c r="D154" t="s">
        <v>8981</v>
      </c>
      <c r="E154">
        <v>18</v>
      </c>
      <c r="F154">
        <v>3</v>
      </c>
      <c r="G154">
        <v>1.9996813849105198E-3</v>
      </c>
      <c r="H154">
        <v>6.39898043171368E-2</v>
      </c>
      <c r="I154" t="s">
        <v>8973</v>
      </c>
    </row>
    <row r="155" spans="1:9" x14ac:dyDescent="0.25">
      <c r="A155" t="s">
        <v>7124</v>
      </c>
      <c r="C155" s="3" t="str">
        <f>HYPERLINK("http://amigo.geneontology.org/amigo/term/GO:0031224","GO:0031224")</f>
        <v>GO:0031224</v>
      </c>
      <c r="D155" t="s">
        <v>191</v>
      </c>
      <c r="E155">
        <v>7435</v>
      </c>
      <c r="F155">
        <v>135</v>
      </c>
      <c r="G155">
        <v>2.10549221901971E-3</v>
      </c>
      <c r="H155">
        <v>6.5270258789611194E-2</v>
      </c>
      <c r="I155" t="s">
        <v>8982</v>
      </c>
    </row>
    <row r="156" spans="1:9" x14ac:dyDescent="0.25">
      <c r="A156" t="s">
        <v>7127</v>
      </c>
      <c r="C156" s="3" t="str">
        <f>HYPERLINK("http://amigo.geneontology.org/amigo/term/GO:0042578","GO:0042578")</f>
        <v>GO:0042578</v>
      </c>
      <c r="D156" t="s">
        <v>430</v>
      </c>
      <c r="E156">
        <v>827</v>
      </c>
      <c r="F156">
        <v>23</v>
      </c>
      <c r="G156">
        <v>2.11342839771975E-3</v>
      </c>
      <c r="H156">
        <v>6.5516280329312296E-2</v>
      </c>
      <c r="I156" t="s">
        <v>8983</v>
      </c>
    </row>
    <row r="157" spans="1:9" x14ac:dyDescent="0.25">
      <c r="A157" t="s">
        <v>8984</v>
      </c>
      <c r="C157" s="3" t="str">
        <f>HYPERLINK("http://amigo.geneontology.org/amigo/term/GO:0042537","GO:0042537")</f>
        <v>GO:0042537</v>
      </c>
      <c r="D157" t="s">
        <v>7087</v>
      </c>
      <c r="E157">
        <v>125</v>
      </c>
      <c r="F157">
        <v>7</v>
      </c>
      <c r="G157">
        <v>2.1674822125398599E-3</v>
      </c>
      <c r="H157">
        <v>6.5024466376195994E-2</v>
      </c>
      <c r="I157" t="s">
        <v>8985</v>
      </c>
    </row>
    <row r="158" spans="1:9" x14ac:dyDescent="0.25">
      <c r="A158" t="s">
        <v>7130</v>
      </c>
      <c r="C158" s="3" t="str">
        <f>HYPERLINK("http://amigo.geneontology.org/amigo/term/GO:0009814","GO:0009814")</f>
        <v>GO:0009814</v>
      </c>
      <c r="D158" t="s">
        <v>7455</v>
      </c>
      <c r="E158">
        <v>161</v>
      </c>
      <c r="F158">
        <v>8</v>
      </c>
      <c r="G158">
        <v>2.2821732678439299E-3</v>
      </c>
      <c r="H158">
        <v>6.8465198035318003E-2</v>
      </c>
      <c r="I158" t="s">
        <v>8936</v>
      </c>
    </row>
    <row r="159" spans="1:9" x14ac:dyDescent="0.25">
      <c r="A159" t="s">
        <v>7133</v>
      </c>
      <c r="C159" s="3" t="str">
        <f>HYPERLINK("http://amigo.geneontology.org/amigo/term/GO:0015297","GO:0015297")</f>
        <v>GO:0015297</v>
      </c>
      <c r="D159" t="s">
        <v>387</v>
      </c>
      <c r="E159">
        <v>362</v>
      </c>
      <c r="F159">
        <v>13</v>
      </c>
      <c r="G159">
        <v>2.3345278084449502E-3</v>
      </c>
      <c r="H159">
        <v>7.0035834253348694E-2</v>
      </c>
      <c r="I159" t="s">
        <v>8986</v>
      </c>
    </row>
    <row r="160" spans="1:9" x14ac:dyDescent="0.25">
      <c r="A160" t="s">
        <v>8987</v>
      </c>
      <c r="C160" s="3" t="str">
        <f>HYPERLINK("http://amigo.geneontology.org/amigo/term/GO:0004351","GO:0004351")</f>
        <v>GO:0004351</v>
      </c>
      <c r="D160" t="s">
        <v>4290</v>
      </c>
      <c r="E160">
        <v>19</v>
      </c>
      <c r="F160">
        <v>3</v>
      </c>
      <c r="G160">
        <v>2.34961569708474E-3</v>
      </c>
      <c r="H160">
        <v>7.0488470912542206E-2</v>
      </c>
      <c r="I160" t="s">
        <v>7232</v>
      </c>
    </row>
    <row r="161" spans="1:9" x14ac:dyDescent="0.25">
      <c r="A161" t="s">
        <v>7134</v>
      </c>
      <c r="C161" s="3" t="str">
        <f>HYPERLINK("http://amigo.geneontology.org/amigo/term/GO:0010286","GO:0010286")</f>
        <v>GO:0010286</v>
      </c>
      <c r="D161" t="s">
        <v>8988</v>
      </c>
      <c r="E161">
        <v>40</v>
      </c>
      <c r="F161">
        <v>4</v>
      </c>
      <c r="G161">
        <v>2.4817726310694399E-3</v>
      </c>
      <c r="H161">
        <v>7.4453178932083294E-2</v>
      </c>
      <c r="I161" t="s">
        <v>8989</v>
      </c>
    </row>
    <row r="162" spans="1:9" x14ac:dyDescent="0.25">
      <c r="A162" t="s">
        <v>7137</v>
      </c>
      <c r="C162" s="3" t="str">
        <f>HYPERLINK("http://amigo.geneontology.org/amigo/term/GO:0006855","GO:0006855")</f>
        <v>GO:0006855</v>
      </c>
      <c r="D162" t="s">
        <v>8990</v>
      </c>
      <c r="E162">
        <v>242</v>
      </c>
      <c r="F162">
        <v>10</v>
      </c>
      <c r="G162">
        <v>2.68294161920606E-3</v>
      </c>
      <c r="H162">
        <v>7.7805306956975698E-2</v>
      </c>
      <c r="I162" t="s">
        <v>8991</v>
      </c>
    </row>
    <row r="163" spans="1:9" x14ac:dyDescent="0.25">
      <c r="A163" t="s">
        <v>7140</v>
      </c>
      <c r="C163" s="3" t="str">
        <f>HYPERLINK("http://amigo.geneontology.org/amigo/term/GO:0016021","GO:0016021")</f>
        <v>GO:0016021</v>
      </c>
      <c r="D163" t="s">
        <v>203</v>
      </c>
      <c r="E163">
        <v>7362</v>
      </c>
      <c r="F163">
        <v>133</v>
      </c>
      <c r="G163">
        <v>2.7112884333771198E-3</v>
      </c>
      <c r="H163">
        <v>7.8627364567936606E-2</v>
      </c>
      <c r="I163" t="s">
        <v>8992</v>
      </c>
    </row>
    <row r="164" spans="1:9" x14ac:dyDescent="0.25">
      <c r="A164" t="s">
        <v>7142</v>
      </c>
      <c r="C164" s="3" t="str">
        <f>HYPERLINK("http://amigo.geneontology.org/amigo/term/GO:0010928","GO:0010928")</f>
        <v>GO:0010928</v>
      </c>
      <c r="D164" t="s">
        <v>7237</v>
      </c>
      <c r="E164">
        <v>20</v>
      </c>
      <c r="F164">
        <v>3</v>
      </c>
      <c r="G164">
        <v>2.73516636753008E-3</v>
      </c>
      <c r="H164">
        <v>7.9319824658372506E-2</v>
      </c>
      <c r="I164" t="s">
        <v>7108</v>
      </c>
    </row>
    <row r="165" spans="1:9" x14ac:dyDescent="0.25">
      <c r="A165" t="s">
        <v>7144</v>
      </c>
      <c r="C165" s="3" t="str">
        <f>HYPERLINK("http://amigo.geneontology.org/amigo/term/GO:0050307","GO:0050307")</f>
        <v>GO:0050307</v>
      </c>
      <c r="D165" t="s">
        <v>8993</v>
      </c>
      <c r="E165">
        <v>6</v>
      </c>
      <c r="F165">
        <v>2</v>
      </c>
      <c r="G165">
        <v>2.92240365681056E-3</v>
      </c>
      <c r="H165">
        <v>8.18273023906958E-2</v>
      </c>
      <c r="I165" t="s">
        <v>8994</v>
      </c>
    </row>
    <row r="166" spans="1:9" x14ac:dyDescent="0.25">
      <c r="A166" t="s">
        <v>7146</v>
      </c>
      <c r="C166" s="3" t="str">
        <f>HYPERLINK("http://amigo.geneontology.org/amigo/term/GO:0008898","GO:0008898")</f>
        <v>GO:0008898</v>
      </c>
      <c r="D166" t="s">
        <v>7254</v>
      </c>
      <c r="E166">
        <v>6</v>
      </c>
      <c r="F166">
        <v>2</v>
      </c>
      <c r="G166">
        <v>2.92240365681056E-3</v>
      </c>
      <c r="H166">
        <v>8.18273023906958E-2</v>
      </c>
      <c r="I166" t="s">
        <v>7136</v>
      </c>
    </row>
    <row r="167" spans="1:9" x14ac:dyDescent="0.25">
      <c r="A167" t="s">
        <v>7149</v>
      </c>
      <c r="C167" s="3" t="str">
        <f>HYPERLINK("http://amigo.geneontology.org/amigo/term/GO:0015145","GO:0015145")</f>
        <v>GO:0015145</v>
      </c>
      <c r="D167" t="s">
        <v>7256</v>
      </c>
      <c r="E167">
        <v>6</v>
      </c>
      <c r="F167">
        <v>2</v>
      </c>
      <c r="G167">
        <v>2.92240365681056E-3</v>
      </c>
      <c r="H167">
        <v>8.18273023906958E-2</v>
      </c>
      <c r="I167" t="s">
        <v>7139</v>
      </c>
    </row>
    <row r="168" spans="1:9" x14ac:dyDescent="0.25">
      <c r="A168" t="s">
        <v>8995</v>
      </c>
      <c r="C168" s="3" t="str">
        <f>HYPERLINK("http://amigo.geneontology.org/amigo/term/GO:0015749","GO:0015749")</f>
        <v>GO:0015749</v>
      </c>
      <c r="D168" t="s">
        <v>7258</v>
      </c>
      <c r="E168">
        <v>6</v>
      </c>
      <c r="F168">
        <v>2</v>
      </c>
      <c r="G168">
        <v>2.92240365681056E-3</v>
      </c>
      <c r="H168">
        <v>8.4749706047506396E-2</v>
      </c>
      <c r="I168" t="s">
        <v>7139</v>
      </c>
    </row>
    <row r="169" spans="1:9" x14ac:dyDescent="0.25">
      <c r="A169" t="s">
        <v>7151</v>
      </c>
      <c r="C169" s="3" t="str">
        <f>HYPERLINK("http://amigo.geneontology.org/amigo/term/GO:0098590","GO:0098590")</f>
        <v>GO:0098590</v>
      </c>
      <c r="D169" t="s">
        <v>781</v>
      </c>
      <c r="E169">
        <v>6</v>
      </c>
      <c r="F169">
        <v>2</v>
      </c>
      <c r="G169">
        <v>2.92240365681056E-3</v>
      </c>
      <c r="H169">
        <v>8.4749706047506396E-2</v>
      </c>
      <c r="I169" t="s">
        <v>7148</v>
      </c>
    </row>
    <row r="170" spans="1:9" x14ac:dyDescent="0.25">
      <c r="A170" t="s">
        <v>7153</v>
      </c>
      <c r="C170" s="3" t="str">
        <f>HYPERLINK("http://amigo.geneontology.org/amigo/term/GO:1901575","GO:1901575")</f>
        <v>GO:1901575</v>
      </c>
      <c r="D170" t="s">
        <v>5759</v>
      </c>
      <c r="E170">
        <v>2326</v>
      </c>
      <c r="F170">
        <v>50</v>
      </c>
      <c r="G170">
        <v>3.0007231055505E-3</v>
      </c>
      <c r="H170">
        <v>8.4020246955414199E-2</v>
      </c>
      <c r="I170" t="s">
        <v>8996</v>
      </c>
    </row>
    <row r="171" spans="1:9" x14ac:dyDescent="0.25">
      <c r="A171" t="s">
        <v>8997</v>
      </c>
      <c r="C171" s="3" t="str">
        <f>HYPERLINK("http://amigo.geneontology.org/amigo/term/GO:0032555","GO:0032555")</f>
        <v>GO:0032555</v>
      </c>
      <c r="D171" t="s">
        <v>7046</v>
      </c>
      <c r="E171">
        <v>11962</v>
      </c>
      <c r="F171">
        <v>204</v>
      </c>
      <c r="G171">
        <v>3.1232450236405801E-3</v>
      </c>
      <c r="H171">
        <v>8.7450860661936497E-2</v>
      </c>
      <c r="I171" t="s">
        <v>8998</v>
      </c>
    </row>
    <row r="172" spans="1:9" x14ac:dyDescent="0.25">
      <c r="A172" t="s">
        <v>8999</v>
      </c>
      <c r="C172" s="3" t="str">
        <f>HYPERLINK("http://amigo.geneontology.org/amigo/term/GO:0009962","GO:0009962")</f>
        <v>GO:0009962</v>
      </c>
      <c r="D172" t="s">
        <v>9000</v>
      </c>
      <c r="E172">
        <v>21</v>
      </c>
      <c r="F172">
        <v>3</v>
      </c>
      <c r="G172">
        <v>3.15747419031185E-3</v>
      </c>
      <c r="H172">
        <v>8.8409277328731897E-2</v>
      </c>
      <c r="I172" t="s">
        <v>8977</v>
      </c>
    </row>
    <row r="173" spans="1:9" x14ac:dyDescent="0.25">
      <c r="A173" t="s">
        <v>9001</v>
      </c>
      <c r="C173" s="3" t="str">
        <f>HYPERLINK("http://amigo.geneontology.org/amigo/term/GO:0006820","GO:0006820")</f>
        <v>GO:0006820</v>
      </c>
      <c r="D173" t="s">
        <v>5482</v>
      </c>
      <c r="E173">
        <v>514</v>
      </c>
      <c r="F173">
        <v>16</v>
      </c>
      <c r="G173">
        <v>3.2927194088945302E-3</v>
      </c>
      <c r="H173">
        <v>8.8903424040152404E-2</v>
      </c>
      <c r="I173" t="s">
        <v>9002</v>
      </c>
    </row>
    <row r="174" spans="1:9" x14ac:dyDescent="0.25">
      <c r="A174" t="s">
        <v>7155</v>
      </c>
      <c r="C174" s="3" t="str">
        <f>HYPERLINK("http://amigo.geneontology.org/amigo/term/GO:0010310","GO:0010310")</f>
        <v>GO:0010310</v>
      </c>
      <c r="D174" t="s">
        <v>7266</v>
      </c>
      <c r="E174">
        <v>44</v>
      </c>
      <c r="F174">
        <v>4</v>
      </c>
      <c r="G174">
        <v>3.52493997871518E-3</v>
      </c>
      <c r="H174">
        <v>9.5173379425309901E-2</v>
      </c>
      <c r="I174" t="s">
        <v>7267</v>
      </c>
    </row>
    <row r="175" spans="1:9" x14ac:dyDescent="0.25">
      <c r="A175" t="s">
        <v>9003</v>
      </c>
      <c r="C175" s="3" t="str">
        <f>HYPERLINK("http://amigo.geneontology.org/amigo/term/GO:0016054","GO:0016054")</f>
        <v>GO:0016054</v>
      </c>
      <c r="D175" t="s">
        <v>5292</v>
      </c>
      <c r="E175">
        <v>381</v>
      </c>
      <c r="F175">
        <v>13</v>
      </c>
      <c r="G175">
        <v>3.6012186060138201E-3</v>
      </c>
      <c r="H175">
        <v>9.7232902362373197E-2</v>
      </c>
      <c r="I175" t="s">
        <v>9004</v>
      </c>
    </row>
    <row r="176" spans="1:9" x14ac:dyDescent="0.25">
      <c r="A176" t="s">
        <v>9005</v>
      </c>
      <c r="C176" s="3" t="str">
        <f>HYPERLINK("http://amigo.geneontology.org/amigo/term/GO:0046395","GO:0046395")</f>
        <v>GO:0046395</v>
      </c>
      <c r="D176" t="s">
        <v>5294</v>
      </c>
      <c r="E176">
        <v>381</v>
      </c>
      <c r="F176">
        <v>13</v>
      </c>
      <c r="G176">
        <v>3.6012186060138201E-3</v>
      </c>
      <c r="H176">
        <v>9.7232902362373197E-2</v>
      </c>
      <c r="I176" t="s">
        <v>9004</v>
      </c>
    </row>
    <row r="177" spans="1:9" x14ac:dyDescent="0.25">
      <c r="A177" t="s">
        <v>7158</v>
      </c>
      <c r="C177" s="3" t="str">
        <f>HYPERLINK("http://amigo.geneontology.org/amigo/term/GO:0015215","GO:0015215")</f>
        <v>GO:0015215</v>
      </c>
      <c r="D177" t="s">
        <v>9006</v>
      </c>
      <c r="E177">
        <v>22</v>
      </c>
      <c r="F177">
        <v>3</v>
      </c>
      <c r="G177">
        <v>3.6176088124788299E-3</v>
      </c>
      <c r="H177">
        <v>9.7675437936928594E-2</v>
      </c>
      <c r="I177" t="s">
        <v>8973</v>
      </c>
    </row>
    <row r="178" spans="1:9" x14ac:dyDescent="0.25">
      <c r="A178" t="s">
        <v>7160</v>
      </c>
      <c r="C178" s="3" t="str">
        <f>HYPERLINK("http://amigo.geneontology.org/amigo/term/GO:0044248","GO:0044248")</f>
        <v>GO:0044248</v>
      </c>
      <c r="D178" t="s">
        <v>5244</v>
      </c>
      <c r="E178">
        <v>2352</v>
      </c>
      <c r="F178">
        <v>50</v>
      </c>
      <c r="G178">
        <v>3.7118585543427498E-3</v>
      </c>
      <c r="H178">
        <v>0.10022018096725401</v>
      </c>
      <c r="I178" t="s">
        <v>9007</v>
      </c>
    </row>
    <row r="179" spans="1:9" x14ac:dyDescent="0.25">
      <c r="A179" t="s">
        <v>7162</v>
      </c>
      <c r="C179" s="3" t="str">
        <f>HYPERLINK("http://amigo.geneontology.org/amigo/term/GO:0015669","GO:0015669")</f>
        <v>GO:0015669</v>
      </c>
      <c r="D179" t="s">
        <v>7274</v>
      </c>
      <c r="E179">
        <v>7</v>
      </c>
      <c r="F179">
        <v>2</v>
      </c>
      <c r="G179">
        <v>4.0527998918477E-3</v>
      </c>
      <c r="H179">
        <v>0.10537279718804</v>
      </c>
      <c r="I179" t="s">
        <v>7275</v>
      </c>
    </row>
    <row r="180" spans="1:9" x14ac:dyDescent="0.25">
      <c r="A180" t="s">
        <v>9008</v>
      </c>
      <c r="C180" s="3" t="str">
        <f>HYPERLINK("http://amigo.geneontology.org/amigo/term/GO:0015671","GO:0015671")</f>
        <v>GO:0015671</v>
      </c>
      <c r="D180" t="s">
        <v>7277</v>
      </c>
      <c r="E180">
        <v>7</v>
      </c>
      <c r="F180">
        <v>2</v>
      </c>
      <c r="G180">
        <v>4.0527998918477E-3</v>
      </c>
      <c r="H180">
        <v>0.10537279718804</v>
      </c>
      <c r="I180" t="s">
        <v>7275</v>
      </c>
    </row>
    <row r="181" spans="1:9" x14ac:dyDescent="0.25">
      <c r="A181" t="s">
        <v>7165</v>
      </c>
      <c r="C181" s="3" t="str">
        <f>HYPERLINK("http://amigo.geneontology.org/amigo/term/GO:0004029","GO:0004029")</f>
        <v>GO:0004029</v>
      </c>
      <c r="D181" t="s">
        <v>9009</v>
      </c>
      <c r="E181">
        <v>7</v>
      </c>
      <c r="F181">
        <v>2</v>
      </c>
      <c r="G181">
        <v>4.0527998918477E-3</v>
      </c>
      <c r="H181">
        <v>0.10537279718804</v>
      </c>
      <c r="I181" t="s">
        <v>9010</v>
      </c>
    </row>
    <row r="182" spans="1:9" x14ac:dyDescent="0.25">
      <c r="A182" t="s">
        <v>7166</v>
      </c>
      <c r="C182" s="3" t="str">
        <f>HYPERLINK("http://amigo.geneontology.org/amigo/term/GO:0015605","GO:0015605")</f>
        <v>GO:0015605</v>
      </c>
      <c r="D182" t="s">
        <v>9011</v>
      </c>
      <c r="E182">
        <v>23</v>
      </c>
      <c r="F182">
        <v>3</v>
      </c>
      <c r="G182">
        <v>4.1165709696963197E-3</v>
      </c>
      <c r="H182">
        <v>0.107030845212104</v>
      </c>
      <c r="I182" t="s">
        <v>8973</v>
      </c>
    </row>
    <row r="183" spans="1:9" x14ac:dyDescent="0.25">
      <c r="A183" t="s">
        <v>7168</v>
      </c>
      <c r="C183" s="3" t="str">
        <f>HYPERLINK("http://amigo.geneontology.org/amigo/term/GO:0001101","GO:0001101")</f>
        <v>GO:0001101</v>
      </c>
      <c r="D183" t="s">
        <v>148</v>
      </c>
      <c r="E183">
        <v>529</v>
      </c>
      <c r="F183">
        <v>16</v>
      </c>
      <c r="G183">
        <v>4.3280074489337097E-3</v>
      </c>
      <c r="H183">
        <v>0.112528193672276</v>
      </c>
      <c r="I183" t="s">
        <v>9012</v>
      </c>
    </row>
    <row r="184" spans="1:9" x14ac:dyDescent="0.25">
      <c r="A184" t="s">
        <v>7170</v>
      </c>
      <c r="C184" s="3" t="str">
        <f>HYPERLINK("http://amigo.geneontology.org/amigo/term/GO:0017076","GO:0017076")</f>
        <v>GO:0017076</v>
      </c>
      <c r="D184" t="s">
        <v>7057</v>
      </c>
      <c r="E184">
        <v>12052</v>
      </c>
      <c r="F184">
        <v>204</v>
      </c>
      <c r="G184">
        <v>4.3402468716961101E-3</v>
      </c>
      <c r="H184">
        <v>0.112846418664098</v>
      </c>
      <c r="I184" t="s">
        <v>8998</v>
      </c>
    </row>
    <row r="185" spans="1:9" x14ac:dyDescent="0.25">
      <c r="A185" t="s">
        <v>9013</v>
      </c>
      <c r="C185" s="3" t="str">
        <f>HYPERLINK("http://amigo.geneontology.org/amigo/term/GO:0019400","GO:0019400")</f>
        <v>GO:0019400</v>
      </c>
      <c r="D185" t="s">
        <v>958</v>
      </c>
      <c r="E185">
        <v>47</v>
      </c>
      <c r="F185">
        <v>4</v>
      </c>
      <c r="G185">
        <v>4.4787239511490697E-3</v>
      </c>
      <c r="H185">
        <v>0.111968098778726</v>
      </c>
      <c r="I185" t="s">
        <v>7279</v>
      </c>
    </row>
    <row r="186" spans="1:9" x14ac:dyDescent="0.25">
      <c r="A186" t="s">
        <v>7172</v>
      </c>
      <c r="C186" s="3" t="str">
        <f>HYPERLINK("http://amigo.geneontology.org/amigo/term/GO:0006071","GO:0006071")</f>
        <v>GO:0006071</v>
      </c>
      <c r="D186" t="s">
        <v>960</v>
      </c>
      <c r="E186">
        <v>47</v>
      </c>
      <c r="F186">
        <v>4</v>
      </c>
      <c r="G186">
        <v>4.4787239511490697E-3</v>
      </c>
      <c r="H186">
        <v>0.111968098778726</v>
      </c>
      <c r="I186" t="s">
        <v>7279</v>
      </c>
    </row>
    <row r="187" spans="1:9" x14ac:dyDescent="0.25">
      <c r="A187" t="s">
        <v>7174</v>
      </c>
      <c r="C187" s="3" t="str">
        <f>HYPERLINK("http://amigo.geneontology.org/amigo/term/GO:0008081","GO:0008081")</f>
        <v>GO:0008081</v>
      </c>
      <c r="D187" t="s">
        <v>338</v>
      </c>
      <c r="E187">
        <v>143</v>
      </c>
      <c r="F187">
        <v>7</v>
      </c>
      <c r="G187">
        <v>4.5686436432028302E-3</v>
      </c>
      <c r="H187">
        <v>0.11421609108007</v>
      </c>
      <c r="I187" t="s">
        <v>9014</v>
      </c>
    </row>
    <row r="188" spans="1:9" x14ac:dyDescent="0.25">
      <c r="A188" t="s">
        <v>7176</v>
      </c>
      <c r="C188" s="3" t="str">
        <f>HYPERLINK("http://amigo.geneontology.org/amigo/term/GO:0009505","GO:0009505")</f>
        <v>GO:0009505</v>
      </c>
      <c r="D188" t="s">
        <v>6690</v>
      </c>
      <c r="E188">
        <v>77</v>
      </c>
      <c r="F188">
        <v>5</v>
      </c>
      <c r="G188">
        <v>4.9140913694749998E-3</v>
      </c>
      <c r="H188">
        <v>0.122852284236875</v>
      </c>
      <c r="I188" t="s">
        <v>9015</v>
      </c>
    </row>
    <row r="189" spans="1:9" x14ac:dyDescent="0.25">
      <c r="A189" t="s">
        <v>7178</v>
      </c>
      <c r="C189" s="3" t="str">
        <f>HYPERLINK("http://amigo.geneontology.org/amigo/term/GO:0071310","GO:0071310")</f>
        <v>GO:0071310</v>
      </c>
      <c r="D189" t="s">
        <v>6841</v>
      </c>
      <c r="E189">
        <v>490</v>
      </c>
      <c r="F189">
        <v>15</v>
      </c>
      <c r="G189">
        <v>5.0463748867105298E-3</v>
      </c>
      <c r="H189">
        <v>0.12615937216776299</v>
      </c>
      <c r="I189" t="s">
        <v>9016</v>
      </c>
    </row>
    <row r="190" spans="1:9" x14ac:dyDescent="0.25">
      <c r="A190" t="s">
        <v>9017</v>
      </c>
      <c r="C190" s="3" t="str">
        <f>HYPERLINK("http://amigo.geneontology.org/amigo/term/GO:0042493","GO:0042493")</f>
        <v>GO:0042493</v>
      </c>
      <c r="D190" t="s">
        <v>9018</v>
      </c>
      <c r="E190">
        <v>496</v>
      </c>
      <c r="F190">
        <v>15</v>
      </c>
      <c r="G190">
        <v>5.6229335889298199E-3</v>
      </c>
      <c r="H190">
        <v>0.14057333972324501</v>
      </c>
      <c r="I190" t="s">
        <v>9019</v>
      </c>
    </row>
    <row r="191" spans="1:9" x14ac:dyDescent="0.25">
      <c r="A191" t="s">
        <v>9020</v>
      </c>
      <c r="C191" s="3" t="str">
        <f>HYPERLINK("http://amigo.geneontology.org/amigo/term/GO:0006207","GO:0006207")</f>
        <v>GO:0006207</v>
      </c>
      <c r="D191" t="s">
        <v>9021</v>
      </c>
      <c r="E191">
        <v>26</v>
      </c>
      <c r="F191">
        <v>3</v>
      </c>
      <c r="G191">
        <v>5.8554417605364796E-3</v>
      </c>
      <c r="H191">
        <v>0.14638604401341199</v>
      </c>
      <c r="I191" t="s">
        <v>8913</v>
      </c>
    </row>
    <row r="192" spans="1:9" x14ac:dyDescent="0.25">
      <c r="A192" t="s">
        <v>9022</v>
      </c>
      <c r="C192" s="3" t="str">
        <f>HYPERLINK("http://amigo.geneontology.org/amigo/term/GO:0005986","GO:0005986")</f>
        <v>GO:0005986</v>
      </c>
      <c r="D192" t="s">
        <v>9023</v>
      </c>
      <c r="E192">
        <v>9</v>
      </c>
      <c r="F192">
        <v>2</v>
      </c>
      <c r="G192">
        <v>6.8175307278431196E-3</v>
      </c>
      <c r="H192">
        <v>0.16362073746823499</v>
      </c>
      <c r="I192" t="s">
        <v>8994</v>
      </c>
    </row>
    <row r="193" spans="1:9" x14ac:dyDescent="0.25">
      <c r="A193" t="s">
        <v>7180</v>
      </c>
      <c r="C193" s="3" t="str">
        <f>HYPERLINK("http://amigo.geneontology.org/amigo/term/GO:0044205","GO:0044205")</f>
        <v>GO:0044205</v>
      </c>
      <c r="D193" t="s">
        <v>7292</v>
      </c>
      <c r="E193">
        <v>9</v>
      </c>
      <c r="F193">
        <v>2</v>
      </c>
      <c r="G193">
        <v>6.8175307278431196E-3</v>
      </c>
      <c r="H193">
        <v>0.16362073746823499</v>
      </c>
      <c r="I193" t="s">
        <v>7223</v>
      </c>
    </row>
    <row r="194" spans="1:9" x14ac:dyDescent="0.25">
      <c r="A194" t="s">
        <v>7182</v>
      </c>
      <c r="C194" s="3" t="str">
        <f>HYPERLINK("http://amigo.geneontology.org/amigo/term/GO:0071495","GO:0071495")</f>
        <v>GO:0071495</v>
      </c>
      <c r="D194" t="s">
        <v>6829</v>
      </c>
      <c r="E194">
        <v>413</v>
      </c>
      <c r="F194">
        <v>13</v>
      </c>
      <c r="G194">
        <v>6.9493298534673903E-3</v>
      </c>
      <c r="H194">
        <v>0.166783916483217</v>
      </c>
      <c r="I194" t="s">
        <v>9024</v>
      </c>
    </row>
    <row r="195" spans="1:9" x14ac:dyDescent="0.25">
      <c r="A195" t="s">
        <v>7183</v>
      </c>
      <c r="C195" s="3" t="str">
        <f>HYPERLINK("http://amigo.geneontology.org/amigo/term/GO:0032870","GO:0032870")</f>
        <v>GO:0032870</v>
      </c>
      <c r="D195" t="s">
        <v>6828</v>
      </c>
      <c r="E195">
        <v>413</v>
      </c>
      <c r="F195">
        <v>13</v>
      </c>
      <c r="G195">
        <v>6.9493298534673903E-3</v>
      </c>
      <c r="H195">
        <v>0.166783916483217</v>
      </c>
      <c r="I195" t="s">
        <v>9024</v>
      </c>
    </row>
    <row r="196" spans="1:9" x14ac:dyDescent="0.25">
      <c r="A196" t="s">
        <v>9025</v>
      </c>
      <c r="C196" s="3" t="str">
        <f>HYPERLINK("http://amigo.geneontology.org/amigo/term/GO:0019538","GO:0019538")</f>
        <v>GO:0019538</v>
      </c>
      <c r="D196" t="s">
        <v>7094</v>
      </c>
      <c r="E196">
        <v>12454</v>
      </c>
      <c r="F196">
        <v>208</v>
      </c>
      <c r="G196">
        <v>7.0311223687941496E-3</v>
      </c>
      <c r="H196">
        <v>0.16874693685105899</v>
      </c>
      <c r="I196" t="s">
        <v>9026</v>
      </c>
    </row>
    <row r="197" spans="1:9" x14ac:dyDescent="0.25">
      <c r="A197" t="s">
        <v>7184</v>
      </c>
      <c r="C197" s="3" t="str">
        <f>HYPERLINK("http://amigo.geneontology.org/amigo/term/GO:0050662","GO:0050662")</f>
        <v>GO:0050662</v>
      </c>
      <c r="D197" t="s">
        <v>4434</v>
      </c>
      <c r="E197">
        <v>1801</v>
      </c>
      <c r="F197">
        <v>39</v>
      </c>
      <c r="G197">
        <v>7.2350990262868E-3</v>
      </c>
      <c r="H197">
        <v>0.173642376630883</v>
      </c>
      <c r="I197" t="s">
        <v>9027</v>
      </c>
    </row>
    <row r="198" spans="1:9" x14ac:dyDescent="0.25">
      <c r="A198" t="s">
        <v>7187</v>
      </c>
      <c r="C198" s="3" t="str">
        <f>HYPERLINK("http://amigo.geneontology.org/amigo/term/GO:0031348","GO:0031348")</f>
        <v>GO:0031348</v>
      </c>
      <c r="D198" t="s">
        <v>7475</v>
      </c>
      <c r="E198">
        <v>86</v>
      </c>
      <c r="F198">
        <v>5</v>
      </c>
      <c r="G198">
        <v>7.8068670082482097E-3</v>
      </c>
      <c r="H198">
        <v>0.18736480819795701</v>
      </c>
      <c r="I198" t="s">
        <v>9028</v>
      </c>
    </row>
    <row r="199" spans="1:9" x14ac:dyDescent="0.25">
      <c r="A199" t="s">
        <v>9029</v>
      </c>
      <c r="C199" s="3" t="str">
        <f>HYPERLINK("http://amigo.geneontology.org/amigo/term/GO:0043169","GO:0043169")</f>
        <v>GO:0043169</v>
      </c>
      <c r="D199" t="s">
        <v>1535</v>
      </c>
      <c r="E199">
        <v>11833</v>
      </c>
      <c r="F199">
        <v>198</v>
      </c>
      <c r="G199">
        <v>7.9721754543123496E-3</v>
      </c>
      <c r="H199">
        <v>0.191332210903496</v>
      </c>
      <c r="I199" t="s">
        <v>9030</v>
      </c>
    </row>
    <row r="200" spans="1:9" x14ac:dyDescent="0.25">
      <c r="A200" t="s">
        <v>9031</v>
      </c>
      <c r="C200" s="3" t="str">
        <f>HYPERLINK("http://amigo.geneontology.org/amigo/term/GO:0005548","GO:0005548")</f>
        <v>GO:0005548</v>
      </c>
      <c r="D200" t="s">
        <v>7299</v>
      </c>
      <c r="E200">
        <v>29</v>
      </c>
      <c r="F200">
        <v>3</v>
      </c>
      <c r="G200">
        <v>7.9736188935321806E-3</v>
      </c>
      <c r="H200">
        <v>0.18339323455123999</v>
      </c>
      <c r="I200" t="s">
        <v>7300</v>
      </c>
    </row>
    <row r="201" spans="1:9" x14ac:dyDescent="0.25">
      <c r="A201" t="s">
        <v>9032</v>
      </c>
      <c r="C201" s="3" t="str">
        <f>HYPERLINK("http://amigo.geneontology.org/amigo/term/GO:0004012","GO:0004012")</f>
        <v>GO:0004012</v>
      </c>
      <c r="D201" t="s">
        <v>7302</v>
      </c>
      <c r="E201">
        <v>29</v>
      </c>
      <c r="F201">
        <v>3</v>
      </c>
      <c r="G201">
        <v>7.9736188935321806E-3</v>
      </c>
      <c r="H201">
        <v>0.18339323455123999</v>
      </c>
      <c r="I201" t="s">
        <v>7300</v>
      </c>
    </row>
    <row r="202" spans="1:9" x14ac:dyDescent="0.25">
      <c r="A202" t="s">
        <v>7189</v>
      </c>
      <c r="C202" s="3" t="str">
        <f>HYPERLINK("http://amigo.geneontology.org/amigo/term/GO:0015914","GO:0015914")</f>
        <v>GO:0015914</v>
      </c>
      <c r="D202" t="s">
        <v>7304</v>
      </c>
      <c r="E202">
        <v>29</v>
      </c>
      <c r="F202">
        <v>3</v>
      </c>
      <c r="G202">
        <v>7.9736188935321806E-3</v>
      </c>
      <c r="H202">
        <v>0.18339323455123999</v>
      </c>
      <c r="I202" t="s">
        <v>7300</v>
      </c>
    </row>
    <row r="203" spans="1:9" x14ac:dyDescent="0.25">
      <c r="A203" t="s">
        <v>9033</v>
      </c>
      <c r="C203" s="3" t="str">
        <f>HYPERLINK("http://amigo.geneontology.org/amigo/term/GO:0005992","GO:0005992")</f>
        <v>GO:0005992</v>
      </c>
      <c r="D203" t="s">
        <v>6217</v>
      </c>
      <c r="E203">
        <v>56</v>
      </c>
      <c r="F203">
        <v>4</v>
      </c>
      <c r="G203">
        <v>8.3426112481726593E-3</v>
      </c>
      <c r="H203">
        <v>0.19188005870797101</v>
      </c>
      <c r="I203" t="s">
        <v>9034</v>
      </c>
    </row>
    <row r="204" spans="1:9" x14ac:dyDescent="0.25">
      <c r="A204" t="s">
        <v>7190</v>
      </c>
      <c r="C204" s="3" t="str">
        <f>HYPERLINK("http://amigo.geneontology.org/amigo/term/GO:0045493","GO:0045493")</f>
        <v>GO:0045493</v>
      </c>
      <c r="D204" t="s">
        <v>7309</v>
      </c>
      <c r="E204">
        <v>10</v>
      </c>
      <c r="F204">
        <v>2</v>
      </c>
      <c r="G204">
        <v>8.4418756469789805E-3</v>
      </c>
      <c r="H204">
        <v>0.19416313988051601</v>
      </c>
      <c r="I204" t="s">
        <v>7310</v>
      </c>
    </row>
    <row r="205" spans="1:9" x14ac:dyDescent="0.25">
      <c r="A205" t="s">
        <v>7192</v>
      </c>
      <c r="C205" s="3" t="str">
        <f>HYPERLINK("http://amigo.geneontology.org/amigo/term/GO:0034219","GO:0034219")</f>
        <v>GO:0034219</v>
      </c>
      <c r="D205" t="s">
        <v>7312</v>
      </c>
      <c r="E205">
        <v>10</v>
      </c>
      <c r="F205">
        <v>2</v>
      </c>
      <c r="G205">
        <v>8.4418756469789805E-3</v>
      </c>
      <c r="H205">
        <v>0.19416313988051601</v>
      </c>
      <c r="I205" t="s">
        <v>7139</v>
      </c>
    </row>
    <row r="206" spans="1:9" x14ac:dyDescent="0.25">
      <c r="A206" t="s">
        <v>7193</v>
      </c>
      <c r="C206" s="3" t="str">
        <f>HYPERLINK("http://amigo.geneontology.org/amigo/term/GO:0019825","GO:0019825")</f>
        <v>GO:0019825</v>
      </c>
      <c r="D206" t="s">
        <v>7314</v>
      </c>
      <c r="E206">
        <v>10</v>
      </c>
      <c r="F206">
        <v>2</v>
      </c>
      <c r="G206">
        <v>8.4418756469789805E-3</v>
      </c>
      <c r="H206">
        <v>0.19416313988051601</v>
      </c>
      <c r="I206" t="s">
        <v>7275</v>
      </c>
    </row>
    <row r="207" spans="1:9" x14ac:dyDescent="0.25">
      <c r="A207" t="s">
        <v>7196</v>
      </c>
      <c r="C207" s="3" t="str">
        <f>HYPERLINK("http://amigo.geneontology.org/amigo/term/GO:0000323","GO:0000323")</f>
        <v>GO:0000323</v>
      </c>
      <c r="D207" t="s">
        <v>7316</v>
      </c>
      <c r="E207">
        <v>10</v>
      </c>
      <c r="F207">
        <v>2</v>
      </c>
      <c r="G207">
        <v>8.4418756469789805E-3</v>
      </c>
      <c r="H207">
        <v>0.19416313988051601</v>
      </c>
      <c r="I207" t="s">
        <v>7148</v>
      </c>
    </row>
    <row r="208" spans="1:9" x14ac:dyDescent="0.25">
      <c r="A208" t="s">
        <v>9035</v>
      </c>
      <c r="C208" s="3" t="str">
        <f>HYPERLINK("http://amigo.geneontology.org/amigo/term/GO:0010181","GO:0010181")</f>
        <v>GO:0010181</v>
      </c>
      <c r="D208" t="s">
        <v>7320</v>
      </c>
      <c r="E208">
        <v>161</v>
      </c>
      <c r="F208">
        <v>7</v>
      </c>
      <c r="G208">
        <v>8.5775834676978992E-3</v>
      </c>
      <c r="H208">
        <v>0.188706836289353</v>
      </c>
      <c r="I208" t="s">
        <v>9036</v>
      </c>
    </row>
    <row r="209" spans="1:9" x14ac:dyDescent="0.25">
      <c r="A209" t="s">
        <v>9037</v>
      </c>
      <c r="C209" s="3" t="str">
        <f>HYPERLINK("http://amigo.geneontology.org/amigo/term/GO:0048519","GO:0048519")</f>
        <v>GO:0048519</v>
      </c>
      <c r="D209" t="s">
        <v>9038</v>
      </c>
      <c r="E209">
        <v>1095</v>
      </c>
      <c r="F209">
        <v>26</v>
      </c>
      <c r="G209">
        <v>8.7775251841852794E-3</v>
      </c>
      <c r="H209">
        <v>0.19310555405207599</v>
      </c>
      <c r="I209" t="s">
        <v>9039</v>
      </c>
    </row>
    <row r="210" spans="1:9" x14ac:dyDescent="0.25">
      <c r="A210" t="s">
        <v>9040</v>
      </c>
      <c r="C210" s="3" t="str">
        <f>HYPERLINK("http://amigo.geneontology.org/amigo/term/GO:0051193","GO:0051193")</f>
        <v>GO:0051193</v>
      </c>
      <c r="D210" t="s">
        <v>7318</v>
      </c>
      <c r="E210">
        <v>57</v>
      </c>
      <c r="F210">
        <v>4</v>
      </c>
      <c r="G210">
        <v>8.8730931360285707E-3</v>
      </c>
      <c r="H210">
        <v>0.195208048992628</v>
      </c>
      <c r="I210" t="s">
        <v>7267</v>
      </c>
    </row>
    <row r="211" spans="1:9" x14ac:dyDescent="0.25">
      <c r="A211" t="s">
        <v>9041</v>
      </c>
      <c r="C211" s="3" t="str">
        <f>HYPERLINK("http://amigo.geneontology.org/amigo/term/GO:0010605","GO:0010605")</f>
        <v>GO:0010605</v>
      </c>
      <c r="D211" t="s">
        <v>7497</v>
      </c>
      <c r="E211">
        <v>779</v>
      </c>
      <c r="F211">
        <v>20</v>
      </c>
      <c r="G211">
        <v>9.2004943823996398E-3</v>
      </c>
      <c r="H211">
        <v>0.20241087641279201</v>
      </c>
      <c r="I211" t="s">
        <v>8911</v>
      </c>
    </row>
    <row r="212" spans="1:9" x14ac:dyDescent="0.25">
      <c r="A212" t="s">
        <v>7198</v>
      </c>
      <c r="C212" s="3" t="str">
        <f>HYPERLINK("http://amigo.geneontology.org/amigo/term/GO:0036094","GO:0036094")</f>
        <v>GO:0036094</v>
      </c>
      <c r="D212" t="s">
        <v>7049</v>
      </c>
      <c r="E212">
        <v>14544</v>
      </c>
      <c r="F212">
        <v>238</v>
      </c>
      <c r="G212">
        <v>9.7087083478976204E-3</v>
      </c>
      <c r="H212">
        <v>0.213591583653747</v>
      </c>
      <c r="I212" t="s">
        <v>9042</v>
      </c>
    </row>
    <row r="213" spans="1:9" x14ac:dyDescent="0.25">
      <c r="A213" t="s">
        <v>7200</v>
      </c>
      <c r="C213" s="3" t="str">
        <f>HYPERLINK("http://amigo.geneontology.org/amigo/term/GO:0000272","GO:0000272")</f>
        <v>GO:0000272</v>
      </c>
      <c r="D213" t="s">
        <v>290</v>
      </c>
      <c r="E213">
        <v>127</v>
      </c>
      <c r="F213">
        <v>6</v>
      </c>
      <c r="G213">
        <v>9.9117045480612096E-3</v>
      </c>
      <c r="H213">
        <v>0.218057500057346</v>
      </c>
      <c r="I213" t="s">
        <v>9043</v>
      </c>
    </row>
    <row r="214" spans="1:9" x14ac:dyDescent="0.25">
      <c r="A214" t="s">
        <v>7203</v>
      </c>
      <c r="C214" s="3" t="str">
        <f>HYPERLINK("http://amigo.geneontology.org/amigo/term/GO:0005991","GO:0005991")</f>
        <v>GO:0005991</v>
      </c>
      <c r="D214" t="s">
        <v>6235</v>
      </c>
      <c r="E214">
        <v>59</v>
      </c>
      <c r="F214">
        <v>4</v>
      </c>
      <c r="G214">
        <v>9.9989557268246893E-3</v>
      </c>
      <c r="H214">
        <v>0.21997702599014299</v>
      </c>
      <c r="I214" t="s">
        <v>9034</v>
      </c>
    </row>
    <row r="215" spans="1:9" x14ac:dyDescent="0.25">
      <c r="A215" t="s">
        <v>7205</v>
      </c>
      <c r="C215" s="3" t="str">
        <f>HYPERLINK("http://amigo.geneontology.org/amigo/term/GO:0045490","GO:0045490")</f>
        <v>GO:0045490</v>
      </c>
      <c r="D215" t="s">
        <v>544</v>
      </c>
      <c r="E215">
        <v>32</v>
      </c>
      <c r="F215">
        <v>3</v>
      </c>
      <c r="G215">
        <v>1.0488195697995001E-2</v>
      </c>
      <c r="H215">
        <v>0.23074030535589099</v>
      </c>
      <c r="I215" t="s">
        <v>9044</v>
      </c>
    </row>
    <row r="216" spans="1:9" x14ac:dyDescent="0.25">
      <c r="A216" t="s">
        <v>7207</v>
      </c>
      <c r="C216" s="3" t="str">
        <f>HYPERLINK("http://amigo.geneontology.org/amigo/term/GO:0019856","GO:0019856")</f>
        <v>GO:0019856</v>
      </c>
      <c r="D216" t="s">
        <v>9045</v>
      </c>
      <c r="E216">
        <v>32</v>
      </c>
      <c r="F216">
        <v>3</v>
      </c>
      <c r="G216">
        <v>1.0488195697995001E-2</v>
      </c>
      <c r="H216">
        <v>0.23074030535589099</v>
      </c>
      <c r="I216" t="s">
        <v>8913</v>
      </c>
    </row>
    <row r="217" spans="1:9" x14ac:dyDescent="0.25">
      <c r="A217" t="s">
        <v>7209</v>
      </c>
      <c r="C217" s="3" t="str">
        <f>HYPERLINK("http://amigo.geneontology.org/amigo/term/GO:0045087","GO:0045087")</f>
        <v>GO:0045087</v>
      </c>
      <c r="D217" t="s">
        <v>9046</v>
      </c>
      <c r="E217">
        <v>253</v>
      </c>
      <c r="F217">
        <v>9</v>
      </c>
      <c r="G217">
        <v>1.09571278606535E-2</v>
      </c>
      <c r="H217">
        <v>0.230099685073725</v>
      </c>
      <c r="I217" t="s">
        <v>9047</v>
      </c>
    </row>
    <row r="218" spans="1:9" x14ac:dyDescent="0.25">
      <c r="A218" t="s">
        <v>7212</v>
      </c>
      <c r="C218" s="3" t="str">
        <f>HYPERLINK("http://amigo.geneontology.org/amigo/term/GO:0016887","GO:0016887")</f>
        <v>GO:0016887</v>
      </c>
      <c r="D218" t="s">
        <v>7566</v>
      </c>
      <c r="E218">
        <v>1067</v>
      </c>
      <c r="F218">
        <v>25</v>
      </c>
      <c r="G218">
        <v>1.1673839767504499E-2</v>
      </c>
      <c r="H218">
        <v>0.24515063511759499</v>
      </c>
      <c r="I218" t="s">
        <v>9048</v>
      </c>
    </row>
    <row r="219" spans="1:9" x14ac:dyDescent="0.25">
      <c r="A219" t="s">
        <v>7214</v>
      </c>
      <c r="C219" s="3" t="str">
        <f>HYPERLINK("http://amigo.geneontology.org/amigo/term/GO:0009892","GO:0009892")</f>
        <v>GO:0009892</v>
      </c>
      <c r="D219" t="s">
        <v>9049</v>
      </c>
      <c r="E219">
        <v>800</v>
      </c>
      <c r="F219">
        <v>20</v>
      </c>
      <c r="G219">
        <v>1.2003019601162301E-2</v>
      </c>
      <c r="H219">
        <v>0.25206341162440898</v>
      </c>
      <c r="I219" t="s">
        <v>8911</v>
      </c>
    </row>
    <row r="220" spans="1:9" x14ac:dyDescent="0.25">
      <c r="A220" t="s">
        <v>7217</v>
      </c>
      <c r="C220" s="3" t="str">
        <f>HYPERLINK("http://amigo.geneontology.org/amigo/term/GO:0006955","GO:0006955")</f>
        <v>GO:0006955</v>
      </c>
      <c r="D220" t="s">
        <v>9050</v>
      </c>
      <c r="E220">
        <v>257</v>
      </c>
      <c r="F220">
        <v>9</v>
      </c>
      <c r="G220">
        <v>1.2040275975433201E-2</v>
      </c>
      <c r="H220">
        <v>0.25284579548409902</v>
      </c>
      <c r="I220" t="s">
        <v>9047</v>
      </c>
    </row>
    <row r="221" spans="1:9" x14ac:dyDescent="0.25">
      <c r="A221" t="s">
        <v>9051</v>
      </c>
      <c r="C221" s="3" t="str">
        <f>HYPERLINK("http://amigo.geneontology.org/amigo/term/GO:0008172","GO:0008172")</f>
        <v>GO:0008172</v>
      </c>
      <c r="D221" t="s">
        <v>7337</v>
      </c>
      <c r="E221">
        <v>12</v>
      </c>
      <c r="F221">
        <v>2</v>
      </c>
      <c r="G221">
        <v>1.2150356355805501E-2</v>
      </c>
      <c r="H221">
        <v>0.25515748347191702</v>
      </c>
      <c r="I221" t="s">
        <v>7136</v>
      </c>
    </row>
    <row r="222" spans="1:9" x14ac:dyDescent="0.25">
      <c r="A222" t="s">
        <v>7219</v>
      </c>
      <c r="C222" s="3" t="str">
        <f>HYPERLINK("http://amigo.geneontology.org/amigo/term/GO:0009862","GO:0009862")</f>
        <v>GO:0009862</v>
      </c>
      <c r="D222" t="s">
        <v>7343</v>
      </c>
      <c r="E222">
        <v>63</v>
      </c>
      <c r="F222">
        <v>4</v>
      </c>
      <c r="G222">
        <v>1.2518986691639301E-2</v>
      </c>
      <c r="H222">
        <v>0.26289872052442698</v>
      </c>
      <c r="I222" t="s">
        <v>7267</v>
      </c>
    </row>
    <row r="223" spans="1:9" x14ac:dyDescent="0.25">
      <c r="A223" t="s">
        <v>7221</v>
      </c>
      <c r="C223" s="3" t="str">
        <f>HYPERLINK("http://amigo.geneontology.org/amigo/term/GO:2000377","GO:2000377")</f>
        <v>GO:2000377</v>
      </c>
      <c r="D223" t="s">
        <v>7345</v>
      </c>
      <c r="E223">
        <v>63</v>
      </c>
      <c r="F223">
        <v>4</v>
      </c>
      <c r="G223">
        <v>1.2518986691639301E-2</v>
      </c>
      <c r="H223">
        <v>0.26289872052442698</v>
      </c>
      <c r="I223" t="s">
        <v>7267</v>
      </c>
    </row>
    <row r="224" spans="1:9" x14ac:dyDescent="0.25">
      <c r="A224" t="s">
        <v>9052</v>
      </c>
      <c r="C224" s="3" t="str">
        <f>HYPERLINK("http://amigo.geneontology.org/amigo/term/GO:0044550","GO:0044550")</f>
        <v>GO:0044550</v>
      </c>
      <c r="D224" t="s">
        <v>7201</v>
      </c>
      <c r="E224">
        <v>174</v>
      </c>
      <c r="F224">
        <v>7</v>
      </c>
      <c r="G224">
        <v>1.27654880017993E-2</v>
      </c>
      <c r="H224">
        <v>0.26807524803778698</v>
      </c>
      <c r="I224" t="s">
        <v>9053</v>
      </c>
    </row>
    <row r="225" spans="1:9" x14ac:dyDescent="0.25">
      <c r="A225" t="s">
        <v>7224</v>
      </c>
      <c r="C225" s="3" t="str">
        <f>HYPERLINK("http://amigo.geneontology.org/amigo/term/GO:0044282","GO:0044282")</f>
        <v>GO:0044282</v>
      </c>
      <c r="D225" t="s">
        <v>5280</v>
      </c>
      <c r="E225">
        <v>546</v>
      </c>
      <c r="F225">
        <v>15</v>
      </c>
      <c r="G225">
        <v>1.27729836500594E-2</v>
      </c>
      <c r="H225">
        <v>0.26823265665124801</v>
      </c>
      <c r="I225" t="s">
        <v>9054</v>
      </c>
    </row>
    <row r="226" spans="1:9" x14ac:dyDescent="0.25">
      <c r="A226" t="s">
        <v>7226</v>
      </c>
      <c r="C226" s="3" t="str">
        <f>HYPERLINK("http://amigo.geneontology.org/amigo/term/GO:0009620","GO:0009620")</f>
        <v>GO:0009620</v>
      </c>
      <c r="D226" t="s">
        <v>9055</v>
      </c>
      <c r="E226">
        <v>260</v>
      </c>
      <c r="F226">
        <v>9</v>
      </c>
      <c r="G226">
        <v>1.29035710786477E-2</v>
      </c>
      <c r="H226">
        <v>0.27097499265160302</v>
      </c>
      <c r="I226" t="s">
        <v>9056</v>
      </c>
    </row>
    <row r="227" spans="1:9" x14ac:dyDescent="0.25">
      <c r="A227" t="s">
        <v>9057</v>
      </c>
      <c r="C227" s="3" t="str">
        <f>HYPERLINK("http://amigo.geneontology.org/amigo/term/GO:0004857","GO:0004857")</f>
        <v>GO:0004857</v>
      </c>
      <c r="D227" t="s">
        <v>347</v>
      </c>
      <c r="E227">
        <v>860</v>
      </c>
      <c r="F227">
        <v>21</v>
      </c>
      <c r="G227">
        <v>1.30164197977088E-2</v>
      </c>
      <c r="H227">
        <v>0.26032839595417701</v>
      </c>
      <c r="I227" t="s">
        <v>9058</v>
      </c>
    </row>
    <row r="228" spans="1:9" x14ac:dyDescent="0.25">
      <c r="A228" t="s">
        <v>9059</v>
      </c>
      <c r="C228" s="3" t="str">
        <f>HYPERLINK("http://amigo.geneontology.org/amigo/term/GO:0070887","GO:0070887")</f>
        <v>GO:0070887</v>
      </c>
      <c r="D228" t="s">
        <v>6846</v>
      </c>
      <c r="E228">
        <v>551</v>
      </c>
      <c r="F228">
        <v>15</v>
      </c>
      <c r="G228">
        <v>1.3763886419598701E-2</v>
      </c>
      <c r="H228">
        <v>0.27527772839197401</v>
      </c>
      <c r="I228" t="s">
        <v>9016</v>
      </c>
    </row>
    <row r="229" spans="1:9" x14ac:dyDescent="0.25">
      <c r="A229" t="s">
        <v>7228</v>
      </c>
      <c r="C229" s="3" t="str">
        <f>HYPERLINK("http://amigo.geneontology.org/amigo/term/GO:0016160","GO:0016160")</f>
        <v>GO:0016160</v>
      </c>
      <c r="D229" t="s">
        <v>692</v>
      </c>
      <c r="E229">
        <v>65</v>
      </c>
      <c r="F229">
        <v>4</v>
      </c>
      <c r="G229">
        <v>1.3917767310117001E-2</v>
      </c>
      <c r="H229">
        <v>0.27835534620233998</v>
      </c>
      <c r="I229" t="s">
        <v>8975</v>
      </c>
    </row>
    <row r="230" spans="1:9" x14ac:dyDescent="0.25">
      <c r="A230" t="s">
        <v>7229</v>
      </c>
      <c r="C230" s="3" t="str">
        <f>HYPERLINK("http://amigo.geneontology.org/amigo/term/GO:0031331","GO:0031331")</f>
        <v>GO:0031331</v>
      </c>
      <c r="D230" t="s">
        <v>9060</v>
      </c>
      <c r="E230">
        <v>13</v>
      </c>
      <c r="F230">
        <v>2</v>
      </c>
      <c r="G230">
        <v>1.42251387448908E-2</v>
      </c>
      <c r="H230">
        <v>0.284502774897817</v>
      </c>
      <c r="I230" t="s">
        <v>9061</v>
      </c>
    </row>
    <row r="231" spans="1:9" x14ac:dyDescent="0.25">
      <c r="A231" t="s">
        <v>7231</v>
      </c>
      <c r="C231" s="3" t="str">
        <f>HYPERLINK("http://amigo.geneontology.org/amigo/term/GO:0015868","GO:0015868")</f>
        <v>GO:0015868</v>
      </c>
      <c r="D231" t="s">
        <v>9062</v>
      </c>
      <c r="E231">
        <v>13</v>
      </c>
      <c r="F231">
        <v>2</v>
      </c>
      <c r="G231">
        <v>1.42251387448908E-2</v>
      </c>
      <c r="H231">
        <v>0.284502774897817</v>
      </c>
      <c r="I231" t="s">
        <v>9063</v>
      </c>
    </row>
    <row r="232" spans="1:9" x14ac:dyDescent="0.25">
      <c r="A232" t="s">
        <v>9064</v>
      </c>
      <c r="C232" s="3" t="str">
        <f>HYPERLINK("http://amigo.geneontology.org/amigo/term/GO:0033949","GO:0033949")</f>
        <v>GO:0033949</v>
      </c>
      <c r="D232" t="s">
        <v>7350</v>
      </c>
      <c r="E232">
        <v>1</v>
      </c>
      <c r="F232">
        <v>1</v>
      </c>
      <c r="G232">
        <v>1.42321514290304E-2</v>
      </c>
      <c r="H232">
        <v>0.27041087715157702</v>
      </c>
      <c r="I232" t="s">
        <v>7351</v>
      </c>
    </row>
    <row r="233" spans="1:9" x14ac:dyDescent="0.25">
      <c r="A233" t="s">
        <v>7233</v>
      </c>
      <c r="C233" s="3" t="str">
        <f>HYPERLINK("http://amigo.geneontology.org/amigo/term/GO:0043394","GO:0043394")</f>
        <v>GO:0043394</v>
      </c>
      <c r="D233" t="s">
        <v>9065</v>
      </c>
      <c r="E233">
        <v>1</v>
      </c>
      <c r="F233">
        <v>1</v>
      </c>
      <c r="G233">
        <v>1.42321514290304E-2</v>
      </c>
      <c r="H233">
        <v>0.27041087715157702</v>
      </c>
      <c r="I233" t="s">
        <v>9066</v>
      </c>
    </row>
    <row r="234" spans="1:9" x14ac:dyDescent="0.25">
      <c r="A234" t="s">
        <v>7234</v>
      </c>
      <c r="C234" s="3" t="str">
        <f>HYPERLINK("http://amigo.geneontology.org/amigo/term/GO:1901483","GO:1901483")</f>
        <v>GO:1901483</v>
      </c>
      <c r="D234" t="s">
        <v>9067</v>
      </c>
      <c r="E234">
        <v>1</v>
      </c>
      <c r="F234">
        <v>1</v>
      </c>
      <c r="G234">
        <v>1.42321514290304E-2</v>
      </c>
      <c r="H234">
        <v>0.27041087715157702</v>
      </c>
      <c r="I234" t="s">
        <v>9068</v>
      </c>
    </row>
    <row r="235" spans="1:9" x14ac:dyDescent="0.25">
      <c r="A235" t="s">
        <v>7236</v>
      </c>
      <c r="C235" s="3" t="str">
        <f>HYPERLINK("http://amigo.geneontology.org/amigo/term/GO:1901485","GO:1901485")</f>
        <v>GO:1901485</v>
      </c>
      <c r="D235" t="s">
        <v>9069</v>
      </c>
      <c r="E235">
        <v>1</v>
      </c>
      <c r="F235">
        <v>1</v>
      </c>
      <c r="G235">
        <v>1.42321514290304E-2</v>
      </c>
      <c r="H235">
        <v>0.27041087715157702</v>
      </c>
      <c r="I235" t="s">
        <v>9068</v>
      </c>
    </row>
    <row r="236" spans="1:9" x14ac:dyDescent="0.25">
      <c r="A236" t="s">
        <v>7238</v>
      </c>
      <c r="C236" s="3" t="str">
        <f>HYPERLINK("http://amigo.geneontology.org/amigo/term/GO:0071077","GO:0071077")</f>
        <v>GO:0071077</v>
      </c>
      <c r="D236" t="s">
        <v>7361</v>
      </c>
      <c r="E236">
        <v>1</v>
      </c>
      <c r="F236">
        <v>1</v>
      </c>
      <c r="G236">
        <v>1.42321514290304E-2</v>
      </c>
      <c r="H236">
        <v>0.27041087715157702</v>
      </c>
      <c r="I236" t="s">
        <v>7362</v>
      </c>
    </row>
    <row r="237" spans="1:9" x14ac:dyDescent="0.25">
      <c r="A237" t="s">
        <v>7239</v>
      </c>
      <c r="C237" s="3" t="str">
        <f>HYPERLINK("http://amigo.geneontology.org/amigo/term/GO:0015228","GO:0015228")</f>
        <v>GO:0015228</v>
      </c>
      <c r="D237" t="s">
        <v>7364</v>
      </c>
      <c r="E237">
        <v>1</v>
      </c>
      <c r="F237">
        <v>1</v>
      </c>
      <c r="G237">
        <v>1.42321514290304E-2</v>
      </c>
      <c r="H237">
        <v>0.27041087715157702</v>
      </c>
      <c r="I237" t="s">
        <v>7362</v>
      </c>
    </row>
    <row r="238" spans="1:9" x14ac:dyDescent="0.25">
      <c r="A238" t="s">
        <v>7242</v>
      </c>
      <c r="C238" s="3" t="str">
        <f>HYPERLINK("http://amigo.geneontology.org/amigo/term/GO:0015880","GO:0015880")</f>
        <v>GO:0015880</v>
      </c>
      <c r="D238" t="s">
        <v>7366</v>
      </c>
      <c r="E238">
        <v>1</v>
      </c>
      <c r="F238">
        <v>1</v>
      </c>
      <c r="G238">
        <v>1.42321514290304E-2</v>
      </c>
      <c r="H238">
        <v>0.28464302858060803</v>
      </c>
      <c r="I238" t="s">
        <v>7362</v>
      </c>
    </row>
    <row r="239" spans="1:9" x14ac:dyDescent="0.25">
      <c r="A239" t="s">
        <v>7244</v>
      </c>
      <c r="C239" s="3" t="str">
        <f>HYPERLINK("http://amigo.geneontology.org/amigo/term/GO:0071106","GO:0071106")</f>
        <v>GO:0071106</v>
      </c>
      <c r="D239" t="s">
        <v>7368</v>
      </c>
      <c r="E239">
        <v>1</v>
      </c>
      <c r="F239">
        <v>1</v>
      </c>
      <c r="G239">
        <v>1.42321514290304E-2</v>
      </c>
      <c r="H239">
        <v>0.28464302858060803</v>
      </c>
      <c r="I239" t="s">
        <v>7362</v>
      </c>
    </row>
    <row r="240" spans="1:9" x14ac:dyDescent="0.25">
      <c r="A240" t="s">
        <v>9070</v>
      </c>
      <c r="C240" s="3" t="str">
        <f>HYPERLINK("http://amigo.geneontology.org/amigo/term/GO:0035349","GO:0035349")</f>
        <v>GO:0035349</v>
      </c>
      <c r="D240" t="s">
        <v>7370</v>
      </c>
      <c r="E240">
        <v>1</v>
      </c>
      <c r="F240">
        <v>1</v>
      </c>
      <c r="G240">
        <v>1.42321514290304E-2</v>
      </c>
      <c r="H240">
        <v>0.28464302858060803</v>
      </c>
      <c r="I240" t="s">
        <v>7362</v>
      </c>
    </row>
    <row r="241" spans="1:9" x14ac:dyDescent="0.25">
      <c r="A241" t="s">
        <v>7247</v>
      </c>
      <c r="C241" s="3" t="str">
        <f>HYPERLINK("http://amigo.geneontology.org/amigo/term/GO:2000029","GO:2000029")</f>
        <v>GO:2000029</v>
      </c>
      <c r="D241" t="s">
        <v>9071</v>
      </c>
      <c r="E241">
        <v>1</v>
      </c>
      <c r="F241">
        <v>1</v>
      </c>
      <c r="G241">
        <v>1.42321514290304E-2</v>
      </c>
      <c r="H241">
        <v>0.28464302858060803</v>
      </c>
      <c r="I241" t="s">
        <v>9072</v>
      </c>
    </row>
    <row r="242" spans="1:9" x14ac:dyDescent="0.25">
      <c r="A242" t="s">
        <v>9073</v>
      </c>
      <c r="C242" s="3" t="str">
        <f>HYPERLINK("http://amigo.geneontology.org/amigo/term/GO:0042409","GO:0042409")</f>
        <v>GO:0042409</v>
      </c>
      <c r="D242" t="s">
        <v>9074</v>
      </c>
      <c r="E242">
        <v>1</v>
      </c>
      <c r="F242">
        <v>1</v>
      </c>
      <c r="G242">
        <v>1.42321514290304E-2</v>
      </c>
      <c r="H242">
        <v>0.28464302858060803</v>
      </c>
      <c r="I242" t="s">
        <v>9075</v>
      </c>
    </row>
    <row r="243" spans="1:9" x14ac:dyDescent="0.25">
      <c r="A243" t="s">
        <v>7249</v>
      </c>
      <c r="C243" s="3" t="str">
        <f>HYPERLINK("http://amigo.geneontology.org/amigo/term/GO:0009072","GO:0009072")</f>
        <v>GO:0009072</v>
      </c>
      <c r="D243" t="s">
        <v>7036</v>
      </c>
      <c r="E243">
        <v>359</v>
      </c>
      <c r="F243">
        <v>11</v>
      </c>
      <c r="G243">
        <v>1.48666789612947E-2</v>
      </c>
      <c r="H243">
        <v>0.28246690026459997</v>
      </c>
      <c r="I243" t="s">
        <v>9076</v>
      </c>
    </row>
    <row r="244" spans="1:9" x14ac:dyDescent="0.25">
      <c r="A244" t="s">
        <v>9077</v>
      </c>
      <c r="C244" s="3" t="str">
        <f>HYPERLINK("http://amigo.geneontology.org/amigo/term/GO:0009753","GO:0009753")</f>
        <v>GO:0009753</v>
      </c>
      <c r="D244" t="s">
        <v>9078</v>
      </c>
      <c r="E244">
        <v>103</v>
      </c>
      <c r="F244">
        <v>5</v>
      </c>
      <c r="G244">
        <v>1.6143260528487999E-2</v>
      </c>
      <c r="H244">
        <v>0.30672195004127201</v>
      </c>
      <c r="I244" t="s">
        <v>9079</v>
      </c>
    </row>
    <row r="245" spans="1:9" x14ac:dyDescent="0.25">
      <c r="A245" t="s">
        <v>7251</v>
      </c>
      <c r="C245" s="3" t="str">
        <f>HYPERLINK("http://amigo.geneontology.org/amigo/term/GO:0046872","GO:0046872")</f>
        <v>GO:0046872</v>
      </c>
      <c r="D245" t="s">
        <v>1484</v>
      </c>
      <c r="E245">
        <v>11725</v>
      </c>
      <c r="F245">
        <v>193</v>
      </c>
      <c r="G245">
        <v>1.6290869606828601E-2</v>
      </c>
      <c r="H245">
        <v>0.309526522529744</v>
      </c>
      <c r="I245" t="s">
        <v>9080</v>
      </c>
    </row>
    <row r="246" spans="1:9" x14ac:dyDescent="0.25">
      <c r="A246" t="s">
        <v>7253</v>
      </c>
      <c r="C246" s="3" t="str">
        <f>HYPERLINK("http://amigo.geneontology.org/amigo/term/GO:0009896","GO:0009896")</f>
        <v>GO:0009896</v>
      </c>
      <c r="D246" t="s">
        <v>9081</v>
      </c>
      <c r="E246">
        <v>14</v>
      </c>
      <c r="F246">
        <v>2</v>
      </c>
      <c r="G246">
        <v>1.64408832674388E-2</v>
      </c>
      <c r="H246">
        <v>0.29593589881389898</v>
      </c>
      <c r="I246" t="s">
        <v>9061</v>
      </c>
    </row>
    <row r="247" spans="1:9" x14ac:dyDescent="0.25">
      <c r="A247" t="s">
        <v>7255</v>
      </c>
      <c r="C247" s="3" t="str">
        <f>HYPERLINK("http://amigo.geneontology.org/amigo/term/GO:0008198","GO:0008198")</f>
        <v>GO:0008198</v>
      </c>
      <c r="D247" t="s">
        <v>4402</v>
      </c>
      <c r="E247">
        <v>14</v>
      </c>
      <c r="F247">
        <v>2</v>
      </c>
      <c r="G247">
        <v>1.64408832674388E-2</v>
      </c>
      <c r="H247">
        <v>0.29593589881389898</v>
      </c>
      <c r="I247" t="s">
        <v>9082</v>
      </c>
    </row>
    <row r="248" spans="1:9" x14ac:dyDescent="0.25">
      <c r="A248" t="s">
        <v>7257</v>
      </c>
      <c r="C248" s="3" t="str">
        <f>HYPERLINK("http://amigo.geneontology.org/amigo/term/GO:0051119","GO:0051119")</f>
        <v>GO:0051119</v>
      </c>
      <c r="D248" t="s">
        <v>7384</v>
      </c>
      <c r="E248">
        <v>14</v>
      </c>
      <c r="F248">
        <v>2</v>
      </c>
      <c r="G248">
        <v>1.64408832674388E-2</v>
      </c>
      <c r="H248">
        <v>0.29593589881389898</v>
      </c>
      <c r="I248" t="s">
        <v>7139</v>
      </c>
    </row>
    <row r="249" spans="1:9" x14ac:dyDescent="0.25">
      <c r="A249" t="s">
        <v>9083</v>
      </c>
      <c r="C249" s="3" t="str">
        <f>HYPERLINK("http://amigo.geneontology.org/amigo/term/GO:0051503","GO:0051503")</f>
        <v>GO:0051503</v>
      </c>
      <c r="D249" t="s">
        <v>9084</v>
      </c>
      <c r="E249">
        <v>14</v>
      </c>
      <c r="F249">
        <v>2</v>
      </c>
      <c r="G249">
        <v>1.64408832674388E-2</v>
      </c>
      <c r="H249">
        <v>0.31237678208133801</v>
      </c>
      <c r="I249" t="s">
        <v>9063</v>
      </c>
    </row>
    <row r="250" spans="1:9" x14ac:dyDescent="0.25">
      <c r="A250" t="s">
        <v>7259</v>
      </c>
      <c r="C250" s="3" t="str">
        <f>HYPERLINK("http://amigo.geneontology.org/amigo/term/GO:0015217","GO:0015217")</f>
        <v>GO:0015217</v>
      </c>
      <c r="D250" t="s">
        <v>9085</v>
      </c>
      <c r="E250">
        <v>14</v>
      </c>
      <c r="F250">
        <v>2</v>
      </c>
      <c r="G250">
        <v>1.64408832674388E-2</v>
      </c>
      <c r="H250">
        <v>0.31237678208133801</v>
      </c>
      <c r="I250" t="s">
        <v>9086</v>
      </c>
    </row>
    <row r="251" spans="1:9" x14ac:dyDescent="0.25">
      <c r="A251" t="s">
        <v>7262</v>
      </c>
      <c r="C251" s="3" t="str">
        <f>HYPERLINK("http://amigo.geneontology.org/amigo/term/GO:0005471","GO:0005471")</f>
        <v>GO:0005471</v>
      </c>
      <c r="D251" t="s">
        <v>9087</v>
      </c>
      <c r="E251">
        <v>14</v>
      </c>
      <c r="F251">
        <v>2</v>
      </c>
      <c r="G251">
        <v>1.64408832674388E-2</v>
      </c>
      <c r="H251">
        <v>0.31237678208133801</v>
      </c>
      <c r="I251" t="s">
        <v>9086</v>
      </c>
    </row>
    <row r="252" spans="1:9" x14ac:dyDescent="0.25">
      <c r="A252" t="s">
        <v>7263</v>
      </c>
      <c r="C252" s="3" t="str">
        <f>HYPERLINK("http://amigo.geneontology.org/amigo/term/GO:1901265","GO:1901265")</f>
        <v>GO:1901265</v>
      </c>
      <c r="D252" t="s">
        <v>7052</v>
      </c>
      <c r="E252">
        <v>13996</v>
      </c>
      <c r="F252">
        <v>227</v>
      </c>
      <c r="G252">
        <v>1.6734181827816601E-2</v>
      </c>
      <c r="H252">
        <v>0.30121527290069899</v>
      </c>
      <c r="I252" t="s">
        <v>9088</v>
      </c>
    </row>
    <row r="253" spans="1:9" x14ac:dyDescent="0.25">
      <c r="A253" t="s">
        <v>7265</v>
      </c>
      <c r="C253" s="3" t="str">
        <f>HYPERLINK("http://amigo.geneontology.org/amigo/term/GO:0000166","GO:0000166")</f>
        <v>GO:0000166</v>
      </c>
      <c r="D253" t="s">
        <v>7055</v>
      </c>
      <c r="E253">
        <v>13996</v>
      </c>
      <c r="F253">
        <v>227</v>
      </c>
      <c r="G253">
        <v>1.6734181827816601E-2</v>
      </c>
      <c r="H253">
        <v>0.30121527290069899</v>
      </c>
      <c r="I253" t="s">
        <v>9088</v>
      </c>
    </row>
    <row r="254" spans="1:9" x14ac:dyDescent="0.25">
      <c r="A254" t="s">
        <v>7268</v>
      </c>
      <c r="C254" s="3" t="str">
        <f>HYPERLINK("http://amigo.geneontology.org/amigo/term/GO:0016614","GO:0016614")</f>
        <v>GO:0016614</v>
      </c>
      <c r="D254" t="s">
        <v>5631</v>
      </c>
      <c r="E254">
        <v>617</v>
      </c>
      <c r="F254">
        <v>16</v>
      </c>
      <c r="G254">
        <v>1.69450118084787E-2</v>
      </c>
      <c r="H254">
        <v>0.30501021255261701</v>
      </c>
      <c r="I254" t="s">
        <v>9089</v>
      </c>
    </row>
    <row r="255" spans="1:9" x14ac:dyDescent="0.25">
      <c r="A255" t="s">
        <v>9090</v>
      </c>
      <c r="C255" s="3" t="str">
        <f>HYPERLINK("http://amigo.geneontology.org/amigo/term/GO:0034976","GO:0034976")</f>
        <v>GO:0034976</v>
      </c>
      <c r="D255" t="s">
        <v>9091</v>
      </c>
      <c r="E255">
        <v>143</v>
      </c>
      <c r="F255">
        <v>6</v>
      </c>
      <c r="G255">
        <v>1.6965067013309999E-2</v>
      </c>
      <c r="H255">
        <v>0.30537120623957997</v>
      </c>
      <c r="I255" t="s">
        <v>9092</v>
      </c>
    </row>
    <row r="256" spans="1:9" x14ac:dyDescent="0.25">
      <c r="A256" t="s">
        <v>7270</v>
      </c>
      <c r="C256" s="3" t="str">
        <f>HYPERLINK("http://amigo.geneontology.org/amigo/term/GO:0006206","GO:0006206")</f>
        <v>GO:0006206</v>
      </c>
      <c r="D256" t="s">
        <v>9093</v>
      </c>
      <c r="E256">
        <v>39</v>
      </c>
      <c r="F256">
        <v>3</v>
      </c>
      <c r="G256">
        <v>1.7961812408116101E-2</v>
      </c>
      <c r="H256">
        <v>0.32331262334609001</v>
      </c>
      <c r="I256" t="s">
        <v>8913</v>
      </c>
    </row>
    <row r="257" spans="1:9" x14ac:dyDescent="0.25">
      <c r="A257" t="s">
        <v>7271</v>
      </c>
      <c r="C257" s="3" t="str">
        <f>HYPERLINK("http://amigo.geneontology.org/amigo/term/GO:0004619","GO:0004619")</f>
        <v>GO:0004619</v>
      </c>
      <c r="D257" t="s">
        <v>9094</v>
      </c>
      <c r="E257">
        <v>15</v>
      </c>
      <c r="F257">
        <v>2</v>
      </c>
      <c r="G257">
        <v>1.8793164864462301E-2</v>
      </c>
      <c r="H257">
        <v>0.338276967560321</v>
      </c>
      <c r="I257" t="s">
        <v>9095</v>
      </c>
    </row>
    <row r="258" spans="1:9" x14ac:dyDescent="0.25">
      <c r="A258" t="s">
        <v>7273</v>
      </c>
      <c r="C258" s="3" t="str">
        <f>HYPERLINK("http://amigo.geneontology.org/amigo/term/GO:0015301","GO:0015301")</f>
        <v>GO:0015301</v>
      </c>
      <c r="D258" t="s">
        <v>9096</v>
      </c>
      <c r="E258">
        <v>15</v>
      </c>
      <c r="F258">
        <v>2</v>
      </c>
      <c r="G258">
        <v>1.8793164864462301E-2</v>
      </c>
      <c r="H258">
        <v>0.338276967560321</v>
      </c>
      <c r="I258" t="s">
        <v>9086</v>
      </c>
    </row>
    <row r="259" spans="1:9" x14ac:dyDescent="0.25">
      <c r="A259" t="s">
        <v>9097</v>
      </c>
      <c r="C259" s="3" t="str">
        <f>HYPERLINK("http://amigo.geneontology.org/amigo/term/GO:0009057","GO:0009057")</f>
        <v>GO:0009057</v>
      </c>
      <c r="D259" t="s">
        <v>9098</v>
      </c>
      <c r="E259">
        <v>1228</v>
      </c>
      <c r="F259">
        <v>27</v>
      </c>
      <c r="G259">
        <v>1.8997680239333899E-2</v>
      </c>
      <c r="H259">
        <v>0.34195824430801097</v>
      </c>
      <c r="I259" t="s">
        <v>9099</v>
      </c>
    </row>
    <row r="260" spans="1:9" x14ac:dyDescent="0.25">
      <c r="A260" t="s">
        <v>7276</v>
      </c>
      <c r="C260" s="3" t="str">
        <f>HYPERLINK("http://amigo.geneontology.org/amigo/term/GO:0015925","GO:0015925")</f>
        <v>GO:0015925</v>
      </c>
      <c r="D260" t="s">
        <v>847</v>
      </c>
      <c r="E260">
        <v>40</v>
      </c>
      <c r="F260">
        <v>3</v>
      </c>
      <c r="G260">
        <v>1.921695076972E-2</v>
      </c>
      <c r="H260">
        <v>0.32668816308524001</v>
      </c>
      <c r="I260" t="s">
        <v>7191</v>
      </c>
    </row>
    <row r="261" spans="1:9" x14ac:dyDescent="0.25">
      <c r="A261" t="s">
        <v>7278</v>
      </c>
      <c r="C261" s="3" t="str">
        <f>HYPERLINK("http://amigo.geneontology.org/amigo/term/GO:0006536","GO:0006536")</f>
        <v>GO:0006536</v>
      </c>
      <c r="D261" t="s">
        <v>4436</v>
      </c>
      <c r="E261">
        <v>40</v>
      </c>
      <c r="F261">
        <v>3</v>
      </c>
      <c r="G261">
        <v>1.921695076972E-2</v>
      </c>
      <c r="H261">
        <v>0.34590511385495998</v>
      </c>
      <c r="I261" t="s">
        <v>7232</v>
      </c>
    </row>
    <row r="262" spans="1:9" x14ac:dyDescent="0.25">
      <c r="A262" t="s">
        <v>9100</v>
      </c>
      <c r="C262" s="3" t="str">
        <f>HYPERLINK("http://amigo.geneontology.org/amigo/term/GO:0006862","GO:0006862")</f>
        <v>GO:0006862</v>
      </c>
      <c r="D262" t="s">
        <v>9101</v>
      </c>
      <c r="E262">
        <v>40</v>
      </c>
      <c r="F262">
        <v>3</v>
      </c>
      <c r="G262">
        <v>1.921695076972E-2</v>
      </c>
      <c r="H262">
        <v>0.34590511385495998</v>
      </c>
      <c r="I262" t="s">
        <v>8973</v>
      </c>
    </row>
    <row r="263" spans="1:9" x14ac:dyDescent="0.25">
      <c r="A263" t="s">
        <v>9102</v>
      </c>
      <c r="C263" s="3" t="str">
        <f>HYPERLINK("http://amigo.geneontology.org/amigo/term/GO:0009605","GO:0009605")</f>
        <v>GO:0009605</v>
      </c>
      <c r="D263" t="s">
        <v>6694</v>
      </c>
      <c r="E263">
        <v>791</v>
      </c>
      <c r="F263">
        <v>19</v>
      </c>
      <c r="G263">
        <v>2.0353250140276301E-2</v>
      </c>
      <c r="H263">
        <v>0.34600525238469798</v>
      </c>
      <c r="I263" t="s">
        <v>9103</v>
      </c>
    </row>
    <row r="264" spans="1:9" x14ac:dyDescent="0.25">
      <c r="A264" t="s">
        <v>9104</v>
      </c>
      <c r="C264" s="3" t="str">
        <f>HYPERLINK("http://amigo.geneontology.org/amigo/term/GO:0006865","GO:0006865")</f>
        <v>GO:0006865</v>
      </c>
      <c r="D264" t="s">
        <v>5232</v>
      </c>
      <c r="E264">
        <v>151</v>
      </c>
      <c r="F264">
        <v>6</v>
      </c>
      <c r="G264">
        <v>2.1537973940105998E-2</v>
      </c>
      <c r="H264">
        <v>0.36614555698180201</v>
      </c>
      <c r="I264" t="s">
        <v>9105</v>
      </c>
    </row>
    <row r="265" spans="1:9" x14ac:dyDescent="0.25">
      <c r="A265" t="s">
        <v>9106</v>
      </c>
      <c r="C265" s="3" t="str">
        <f>HYPERLINK("http://amigo.geneontology.org/amigo/term/GO:0042221","GO:0042221")</f>
        <v>GO:0042221</v>
      </c>
      <c r="D265" t="s">
        <v>6812</v>
      </c>
      <c r="E265">
        <v>2003</v>
      </c>
      <c r="F265">
        <v>40</v>
      </c>
      <c r="G265">
        <v>2.18622890415489E-2</v>
      </c>
      <c r="H265">
        <v>0.37165891370633197</v>
      </c>
      <c r="I265" t="s">
        <v>9107</v>
      </c>
    </row>
    <row r="266" spans="1:9" x14ac:dyDescent="0.25">
      <c r="A266" t="s">
        <v>7280</v>
      </c>
      <c r="C266" s="3" t="str">
        <f>HYPERLINK("http://amigo.geneontology.org/amigo/term/GO:0004601","GO:0004601")</f>
        <v>GO:0004601</v>
      </c>
      <c r="D266" t="s">
        <v>640</v>
      </c>
      <c r="E266">
        <v>798</v>
      </c>
      <c r="F266">
        <v>19</v>
      </c>
      <c r="G266">
        <v>2.2029293228020001E-2</v>
      </c>
      <c r="H266">
        <v>0.37449798487634101</v>
      </c>
      <c r="I266" t="s">
        <v>9108</v>
      </c>
    </row>
    <row r="267" spans="1:9" x14ac:dyDescent="0.25">
      <c r="A267" t="s">
        <v>7281</v>
      </c>
      <c r="C267" s="3" t="str">
        <f>HYPERLINK("http://amigo.geneontology.org/amigo/term/GO:0016684","GO:0016684")</f>
        <v>GO:0016684</v>
      </c>
      <c r="D267" t="s">
        <v>643</v>
      </c>
      <c r="E267">
        <v>799</v>
      </c>
      <c r="F267">
        <v>19</v>
      </c>
      <c r="G267">
        <v>2.2277110469579399E-2</v>
      </c>
      <c r="H267">
        <v>0.37871087798285002</v>
      </c>
      <c r="I267" t="s">
        <v>9108</v>
      </c>
    </row>
    <row r="268" spans="1:9" x14ac:dyDescent="0.25">
      <c r="A268" t="s">
        <v>7283</v>
      </c>
      <c r="C268" s="3" t="str">
        <f>HYPERLINK("http://amigo.geneontology.org/amigo/term/GO:0043067","GO:0043067")</f>
        <v>GO:0043067</v>
      </c>
      <c r="D268" t="s">
        <v>5726</v>
      </c>
      <c r="E268">
        <v>112</v>
      </c>
      <c r="F268">
        <v>5</v>
      </c>
      <c r="G268">
        <v>2.2322580828942999E-2</v>
      </c>
      <c r="H268">
        <v>0.37948387409203099</v>
      </c>
      <c r="I268" t="s">
        <v>9109</v>
      </c>
    </row>
    <row r="269" spans="1:9" x14ac:dyDescent="0.25">
      <c r="A269" t="s">
        <v>7285</v>
      </c>
      <c r="C269" s="3" t="str">
        <f>HYPERLINK("http://amigo.geneontology.org/amigo/term/GO:0048583","GO:0048583")</f>
        <v>GO:0048583</v>
      </c>
      <c r="D269" t="s">
        <v>7374</v>
      </c>
      <c r="E269">
        <v>589</v>
      </c>
      <c r="F269">
        <v>15</v>
      </c>
      <c r="G269">
        <v>2.3366028252568699E-2</v>
      </c>
      <c r="H269">
        <v>0.39722248029366902</v>
      </c>
      <c r="I269" t="s">
        <v>9110</v>
      </c>
    </row>
    <row r="270" spans="1:9" x14ac:dyDescent="0.25">
      <c r="A270" t="s">
        <v>7287</v>
      </c>
      <c r="C270" s="3" t="str">
        <f>HYPERLINK("http://amigo.geneontology.org/amigo/term/GO:0045730","GO:0045730")</f>
        <v>GO:0045730</v>
      </c>
      <c r="D270" t="s">
        <v>7417</v>
      </c>
      <c r="E270">
        <v>17</v>
      </c>
      <c r="F270">
        <v>2</v>
      </c>
      <c r="G270">
        <v>2.38901232211708E-2</v>
      </c>
      <c r="H270">
        <v>0.40613209475990503</v>
      </c>
      <c r="I270" t="s">
        <v>7418</v>
      </c>
    </row>
    <row r="271" spans="1:9" x14ac:dyDescent="0.25">
      <c r="A271" t="s">
        <v>7289</v>
      </c>
      <c r="C271" s="3" t="str">
        <f>HYPERLINK("http://amigo.geneontology.org/amigo/term/GO:0002679","GO:0002679")</f>
        <v>GO:0002679</v>
      </c>
      <c r="D271" t="s">
        <v>7420</v>
      </c>
      <c r="E271">
        <v>17</v>
      </c>
      <c r="F271">
        <v>2</v>
      </c>
      <c r="G271">
        <v>2.38901232211708E-2</v>
      </c>
      <c r="H271">
        <v>0.40613209475990503</v>
      </c>
      <c r="I271" t="s">
        <v>7418</v>
      </c>
    </row>
    <row r="272" spans="1:9" x14ac:dyDescent="0.25">
      <c r="A272" t="s">
        <v>7290</v>
      </c>
      <c r="C272" s="3" t="str">
        <f>HYPERLINK("http://amigo.geneontology.org/amigo/term/GO:0005347","GO:0005347")</f>
        <v>GO:0005347</v>
      </c>
      <c r="D272" t="s">
        <v>9111</v>
      </c>
      <c r="E272">
        <v>17</v>
      </c>
      <c r="F272">
        <v>2</v>
      </c>
      <c r="G272">
        <v>2.38901232211708E-2</v>
      </c>
      <c r="H272">
        <v>0.40613209475990503</v>
      </c>
      <c r="I272" t="s">
        <v>9086</v>
      </c>
    </row>
    <row r="273" spans="1:9" x14ac:dyDescent="0.25">
      <c r="A273" t="s">
        <v>9112</v>
      </c>
      <c r="C273" s="3" t="str">
        <f>HYPERLINK("http://amigo.geneontology.org/amigo/term/GO:0002213","GO:0002213")</f>
        <v>GO:0002213</v>
      </c>
      <c r="D273" t="s">
        <v>7422</v>
      </c>
      <c r="E273">
        <v>17</v>
      </c>
      <c r="F273">
        <v>2</v>
      </c>
      <c r="G273">
        <v>2.38901232211708E-2</v>
      </c>
      <c r="H273">
        <v>0.40613209475990503</v>
      </c>
      <c r="I273" t="s">
        <v>7423</v>
      </c>
    </row>
    <row r="274" spans="1:9" x14ac:dyDescent="0.25">
      <c r="A274" t="s">
        <v>9113</v>
      </c>
      <c r="C274" s="3" t="str">
        <f>HYPERLINK("http://amigo.geneontology.org/amigo/term/GO:0004175","GO:0004175")</f>
        <v>GO:0004175</v>
      </c>
      <c r="D274" t="s">
        <v>4314</v>
      </c>
      <c r="E274">
        <v>1198</v>
      </c>
      <c r="F274">
        <v>26</v>
      </c>
      <c r="G274">
        <v>2.4183314138875301E-2</v>
      </c>
      <c r="H274">
        <v>0.41111634036088102</v>
      </c>
      <c r="I274" t="s">
        <v>9114</v>
      </c>
    </row>
    <row r="275" spans="1:9" x14ac:dyDescent="0.25">
      <c r="A275" t="s">
        <v>7291</v>
      </c>
      <c r="C275" s="3" t="str">
        <f>HYPERLINK("http://amigo.geneontology.org/amigo/term/GO:0009755","GO:0009755")</f>
        <v>GO:0009755</v>
      </c>
      <c r="D275" t="s">
        <v>6823</v>
      </c>
      <c r="E275">
        <v>387</v>
      </c>
      <c r="F275">
        <v>11</v>
      </c>
      <c r="G275">
        <v>2.4241849364554601E-2</v>
      </c>
      <c r="H275">
        <v>0.41211143919742899</v>
      </c>
      <c r="I275" t="s">
        <v>9115</v>
      </c>
    </row>
    <row r="276" spans="1:9" x14ac:dyDescent="0.25">
      <c r="A276" t="s">
        <v>9116</v>
      </c>
      <c r="C276" s="3" t="str">
        <f>HYPERLINK("http://amigo.geneontology.org/amigo/term/GO:0015849","GO:0015849")</f>
        <v>GO:0015849</v>
      </c>
      <c r="D276" t="s">
        <v>5320</v>
      </c>
      <c r="E276">
        <v>244</v>
      </c>
      <c r="F276">
        <v>8</v>
      </c>
      <c r="G276">
        <v>2.4552318220790102E-2</v>
      </c>
      <c r="H276">
        <v>0.39283709153264201</v>
      </c>
      <c r="I276" t="s">
        <v>9117</v>
      </c>
    </row>
    <row r="277" spans="1:9" x14ac:dyDescent="0.25">
      <c r="A277" t="s">
        <v>9118</v>
      </c>
      <c r="C277" s="3" t="str">
        <f>HYPERLINK("http://amigo.geneontology.org/amigo/term/GO:0046942","GO:0046942")</f>
        <v>GO:0046942</v>
      </c>
      <c r="D277" t="s">
        <v>5322</v>
      </c>
      <c r="E277">
        <v>244</v>
      </c>
      <c r="F277">
        <v>8</v>
      </c>
      <c r="G277">
        <v>2.4552318220790102E-2</v>
      </c>
      <c r="H277">
        <v>0.41738940975343197</v>
      </c>
      <c r="I277" t="s">
        <v>9117</v>
      </c>
    </row>
    <row r="278" spans="1:9" x14ac:dyDescent="0.25">
      <c r="A278" t="s">
        <v>9119</v>
      </c>
      <c r="C278" s="3" t="str">
        <f>HYPERLINK("http://amigo.geneontology.org/amigo/term/GO:0051187","GO:0051187")</f>
        <v>GO:0051187</v>
      </c>
      <c r="D278" t="s">
        <v>4229</v>
      </c>
      <c r="E278">
        <v>340</v>
      </c>
      <c r="F278">
        <v>10</v>
      </c>
      <c r="G278">
        <v>2.5131480937844401E-2</v>
      </c>
      <c r="H278">
        <v>0.40210369500551102</v>
      </c>
      <c r="I278" t="s">
        <v>9120</v>
      </c>
    </row>
    <row r="279" spans="1:9" x14ac:dyDescent="0.25">
      <c r="A279" t="s">
        <v>9121</v>
      </c>
      <c r="C279" s="3" t="str">
        <f>HYPERLINK("http://amigo.geneontology.org/amigo/term/GO:0009698","GO:0009698")</f>
        <v>GO:0009698</v>
      </c>
      <c r="D279" t="s">
        <v>5618</v>
      </c>
      <c r="E279">
        <v>157</v>
      </c>
      <c r="F279">
        <v>6</v>
      </c>
      <c r="G279">
        <v>2.5468498727389099E-2</v>
      </c>
      <c r="H279">
        <v>0.40749597963822598</v>
      </c>
      <c r="I279" t="s">
        <v>8940</v>
      </c>
    </row>
    <row r="280" spans="1:9" x14ac:dyDescent="0.25">
      <c r="A280" t="s">
        <v>7293</v>
      </c>
      <c r="C280" s="3" t="str">
        <f>HYPERLINK("http://amigo.geneontology.org/amigo/term/GO:0043090","GO:0043090")</f>
        <v>GO:0043090</v>
      </c>
      <c r="D280" t="s">
        <v>7437</v>
      </c>
      <c r="E280">
        <v>18</v>
      </c>
      <c r="F280">
        <v>2</v>
      </c>
      <c r="G280">
        <v>2.6626428448514001E-2</v>
      </c>
      <c r="H280">
        <v>0.42602285517622401</v>
      </c>
      <c r="I280" t="s">
        <v>7139</v>
      </c>
    </row>
    <row r="281" spans="1:9" x14ac:dyDescent="0.25">
      <c r="A281" t="s">
        <v>9122</v>
      </c>
      <c r="C281" s="3" t="str">
        <f>HYPERLINK("http://amigo.geneontology.org/amigo/term/GO:0003978","GO:0003978")</f>
        <v>GO:0003978</v>
      </c>
      <c r="D281" t="s">
        <v>9123</v>
      </c>
      <c r="E281">
        <v>18</v>
      </c>
      <c r="F281">
        <v>2</v>
      </c>
      <c r="G281">
        <v>2.6626428448514001E-2</v>
      </c>
      <c r="H281">
        <v>0.42602285517622401</v>
      </c>
      <c r="I281" t="s">
        <v>9124</v>
      </c>
    </row>
    <row r="282" spans="1:9" x14ac:dyDescent="0.25">
      <c r="A282" t="s">
        <v>7295</v>
      </c>
      <c r="C282" s="3" t="str">
        <f>HYPERLINK("http://amigo.geneontology.org/amigo/term/GO:0001871","GO:0001871")</f>
        <v>GO:0001871</v>
      </c>
      <c r="D282" t="s">
        <v>7099</v>
      </c>
      <c r="E282">
        <v>653</v>
      </c>
      <c r="F282">
        <v>16</v>
      </c>
      <c r="G282">
        <v>2.68128052379667E-2</v>
      </c>
      <c r="H282">
        <v>0.42900488380746699</v>
      </c>
      <c r="I282" t="s">
        <v>9125</v>
      </c>
    </row>
    <row r="283" spans="1:9" x14ac:dyDescent="0.25">
      <c r="A283" t="s">
        <v>7298</v>
      </c>
      <c r="C283" s="3" t="str">
        <f>HYPERLINK("http://amigo.geneontology.org/amigo/term/GO:0030247","GO:0030247")</f>
        <v>GO:0030247</v>
      </c>
      <c r="D283" t="s">
        <v>7102</v>
      </c>
      <c r="E283">
        <v>653</v>
      </c>
      <c r="F283">
        <v>16</v>
      </c>
      <c r="G283">
        <v>2.68128052379667E-2</v>
      </c>
      <c r="H283">
        <v>0.42900488380746699</v>
      </c>
      <c r="I283" t="s">
        <v>9125</v>
      </c>
    </row>
    <row r="284" spans="1:9" x14ac:dyDescent="0.25">
      <c r="A284" t="s">
        <v>7301</v>
      </c>
      <c r="C284" s="3" t="str">
        <f>HYPERLINK("http://amigo.geneontology.org/amigo/term/GO:0006979","GO:0006979")</f>
        <v>GO:0006979</v>
      </c>
      <c r="D284" t="s">
        <v>985</v>
      </c>
      <c r="E284">
        <v>985</v>
      </c>
      <c r="F284">
        <v>22</v>
      </c>
      <c r="G284">
        <v>2.7405264928901399E-2</v>
      </c>
      <c r="H284">
        <v>0.43848423886242199</v>
      </c>
      <c r="I284" t="s">
        <v>9126</v>
      </c>
    </row>
    <row r="285" spans="1:9" x14ac:dyDescent="0.25">
      <c r="A285" t="s">
        <v>9127</v>
      </c>
      <c r="C285" s="3" t="str">
        <f>HYPERLINK("http://amigo.geneontology.org/amigo/term/GO:0005618","GO:0005618")</f>
        <v>GO:0005618</v>
      </c>
      <c r="D285" t="s">
        <v>218</v>
      </c>
      <c r="E285">
        <v>446</v>
      </c>
      <c r="F285">
        <v>12</v>
      </c>
      <c r="G285">
        <v>2.77461758843566E-2</v>
      </c>
      <c r="H285">
        <v>0.44393881414970698</v>
      </c>
      <c r="I285" t="s">
        <v>9128</v>
      </c>
    </row>
    <row r="286" spans="1:9" x14ac:dyDescent="0.25">
      <c r="A286" t="s">
        <v>7303</v>
      </c>
      <c r="C286" s="3" t="str">
        <f>HYPERLINK("http://amigo.geneontology.org/amigo/term/GO:1900425","GO:1900425")</f>
        <v>GO:1900425</v>
      </c>
      <c r="D286" t="s">
        <v>9129</v>
      </c>
      <c r="E286">
        <v>2</v>
      </c>
      <c r="F286">
        <v>1</v>
      </c>
      <c r="G286">
        <v>2.8261930740990801E-2</v>
      </c>
      <c r="H286">
        <v>0.423928961114862</v>
      </c>
      <c r="I286" t="s">
        <v>9068</v>
      </c>
    </row>
    <row r="287" spans="1:9" x14ac:dyDescent="0.25">
      <c r="A287" t="s">
        <v>7305</v>
      </c>
      <c r="C287" s="3" t="str">
        <f>HYPERLINK("http://amigo.geneontology.org/amigo/term/GO:0001561","GO:0001561")</f>
        <v>GO:0001561</v>
      </c>
      <c r="D287" t="s">
        <v>9130</v>
      </c>
      <c r="E287">
        <v>2</v>
      </c>
      <c r="F287">
        <v>1</v>
      </c>
      <c r="G287">
        <v>2.8261930740990801E-2</v>
      </c>
      <c r="H287">
        <v>0.45219089185585198</v>
      </c>
      <c r="I287" t="s">
        <v>9131</v>
      </c>
    </row>
    <row r="288" spans="1:9" x14ac:dyDescent="0.25">
      <c r="A288" t="s">
        <v>7308</v>
      </c>
      <c r="C288" s="3" t="str">
        <f>HYPERLINK("http://amigo.geneontology.org/amigo/term/GO:0044277","GO:0044277")</f>
        <v>GO:0044277</v>
      </c>
      <c r="D288" t="s">
        <v>9132</v>
      </c>
      <c r="E288">
        <v>2</v>
      </c>
      <c r="F288">
        <v>1</v>
      </c>
      <c r="G288">
        <v>2.8261930740990801E-2</v>
      </c>
      <c r="H288">
        <v>0.45219089185585198</v>
      </c>
      <c r="I288" t="s">
        <v>9131</v>
      </c>
    </row>
    <row r="289" spans="1:9" x14ac:dyDescent="0.25">
      <c r="A289" t="s">
        <v>7311</v>
      </c>
      <c r="C289" s="3" t="str">
        <f>HYPERLINK("http://amigo.geneontology.org/amigo/term/GO:0009830","GO:0009830")</f>
        <v>GO:0009830</v>
      </c>
      <c r="D289" t="s">
        <v>9133</v>
      </c>
      <c r="E289">
        <v>2</v>
      </c>
      <c r="F289">
        <v>1</v>
      </c>
      <c r="G289">
        <v>2.8261930740990801E-2</v>
      </c>
      <c r="H289">
        <v>0.45219089185585198</v>
      </c>
      <c r="I289" t="s">
        <v>9131</v>
      </c>
    </row>
    <row r="290" spans="1:9" x14ac:dyDescent="0.25">
      <c r="A290" t="s">
        <v>9134</v>
      </c>
      <c r="C290" s="3" t="str">
        <f>HYPERLINK("http://amigo.geneontology.org/amigo/term/GO:1902609","GO:1902609")</f>
        <v>GO:1902609</v>
      </c>
      <c r="D290" t="s">
        <v>9135</v>
      </c>
      <c r="E290">
        <v>2</v>
      </c>
      <c r="F290">
        <v>1</v>
      </c>
      <c r="G290">
        <v>2.8261930740990801E-2</v>
      </c>
      <c r="H290">
        <v>0.45219089185585198</v>
      </c>
      <c r="I290" t="s">
        <v>9131</v>
      </c>
    </row>
    <row r="291" spans="1:9" x14ac:dyDescent="0.25">
      <c r="A291" t="s">
        <v>9136</v>
      </c>
      <c r="C291" s="3" t="str">
        <f>HYPERLINK("http://amigo.geneontology.org/amigo/term/GO:1901976","GO:1901976")</f>
        <v>GO:1901976</v>
      </c>
      <c r="D291" t="s">
        <v>7444</v>
      </c>
      <c r="E291">
        <v>2</v>
      </c>
      <c r="F291">
        <v>1</v>
      </c>
      <c r="G291">
        <v>2.8261930740990801E-2</v>
      </c>
      <c r="H291">
        <v>0.45219089185585198</v>
      </c>
      <c r="I291" t="s">
        <v>7445</v>
      </c>
    </row>
    <row r="292" spans="1:9" x14ac:dyDescent="0.25">
      <c r="A292" t="s">
        <v>9137</v>
      </c>
      <c r="C292" s="3" t="str">
        <f>HYPERLINK("http://amigo.geneontology.org/amigo/term/GO:0090231","GO:0090231")</f>
        <v>GO:0090231</v>
      </c>
      <c r="D292" t="s">
        <v>7447</v>
      </c>
      <c r="E292">
        <v>2</v>
      </c>
      <c r="F292">
        <v>1</v>
      </c>
      <c r="G292">
        <v>2.8261930740990801E-2</v>
      </c>
      <c r="H292">
        <v>0.45219089185585198</v>
      </c>
      <c r="I292" t="s">
        <v>7445</v>
      </c>
    </row>
    <row r="293" spans="1:9" x14ac:dyDescent="0.25">
      <c r="A293" t="s">
        <v>7313</v>
      </c>
      <c r="C293" s="3" t="str">
        <f>HYPERLINK("http://amigo.geneontology.org/amigo/term/GO:1903504","GO:1903504")</f>
        <v>GO:1903504</v>
      </c>
      <c r="D293" t="s">
        <v>7449</v>
      </c>
      <c r="E293">
        <v>2</v>
      </c>
      <c r="F293">
        <v>1</v>
      </c>
      <c r="G293">
        <v>2.8261930740990801E-2</v>
      </c>
      <c r="H293">
        <v>0.45219089185585198</v>
      </c>
      <c r="I293" t="s">
        <v>7445</v>
      </c>
    </row>
    <row r="294" spans="1:9" x14ac:dyDescent="0.25">
      <c r="A294" t="s">
        <v>7315</v>
      </c>
      <c r="C294" s="3" t="str">
        <f>HYPERLINK("http://amigo.geneontology.org/amigo/term/GO:0090266","GO:0090266")</f>
        <v>GO:0090266</v>
      </c>
      <c r="D294" t="s">
        <v>7451</v>
      </c>
      <c r="E294">
        <v>2</v>
      </c>
      <c r="F294">
        <v>1</v>
      </c>
      <c r="G294">
        <v>2.8261930740990801E-2</v>
      </c>
      <c r="H294">
        <v>0.45219089185585198</v>
      </c>
      <c r="I294" t="s">
        <v>7445</v>
      </c>
    </row>
    <row r="295" spans="1:9" x14ac:dyDescent="0.25">
      <c r="A295" t="s">
        <v>9138</v>
      </c>
      <c r="C295" s="3" t="str">
        <f>HYPERLINK("http://amigo.geneontology.org/amigo/term/GO:0030312","GO:0030312")</f>
        <v>GO:0030312</v>
      </c>
      <c r="D295" t="s">
        <v>209</v>
      </c>
      <c r="E295">
        <v>450</v>
      </c>
      <c r="F295">
        <v>12</v>
      </c>
      <c r="G295">
        <v>2.9420013716074798E-2</v>
      </c>
      <c r="H295">
        <v>0.441300205741122</v>
      </c>
      <c r="I295" t="s">
        <v>9128</v>
      </c>
    </row>
    <row r="296" spans="1:9" x14ac:dyDescent="0.25">
      <c r="A296" t="s">
        <v>7317</v>
      </c>
      <c r="C296" s="3" t="str">
        <f>HYPERLINK("http://amigo.geneontology.org/amigo/term/GO:0098542","GO:0098542")</f>
        <v>GO:0098542</v>
      </c>
      <c r="D296" t="s">
        <v>9139</v>
      </c>
      <c r="E296">
        <v>452</v>
      </c>
      <c r="F296">
        <v>12</v>
      </c>
      <c r="G296">
        <v>3.0283731890557001E-2</v>
      </c>
      <c r="H296">
        <v>0.45425597835835602</v>
      </c>
      <c r="I296" t="s">
        <v>9140</v>
      </c>
    </row>
    <row r="297" spans="1:9" x14ac:dyDescent="0.25">
      <c r="A297" t="s">
        <v>9141</v>
      </c>
      <c r="C297" s="3" t="str">
        <f>HYPERLINK("http://amigo.geneontology.org/amigo/term/GO:0016791","GO:0016791")</f>
        <v>GO:0016791</v>
      </c>
      <c r="D297" t="s">
        <v>962</v>
      </c>
      <c r="E297">
        <v>664</v>
      </c>
      <c r="F297">
        <v>16</v>
      </c>
      <c r="G297">
        <v>3.0547523719305199E-2</v>
      </c>
      <c r="H297">
        <v>0.45821285578957899</v>
      </c>
      <c r="I297" t="s">
        <v>9142</v>
      </c>
    </row>
    <row r="298" spans="1:9" x14ac:dyDescent="0.25">
      <c r="A298" t="s">
        <v>9143</v>
      </c>
      <c r="C298" s="3" t="str">
        <f>HYPERLINK("http://amigo.geneontology.org/amigo/term/GO:0031347","GO:0031347")</f>
        <v>GO:0031347</v>
      </c>
      <c r="D298" t="s">
        <v>9144</v>
      </c>
      <c r="E298">
        <v>210</v>
      </c>
      <c r="F298">
        <v>7</v>
      </c>
      <c r="G298">
        <v>3.1672868372851597E-2</v>
      </c>
      <c r="H298">
        <v>0.475093025592774</v>
      </c>
      <c r="I298" t="s">
        <v>9145</v>
      </c>
    </row>
    <row r="299" spans="1:9" x14ac:dyDescent="0.25">
      <c r="A299" t="s">
        <v>9146</v>
      </c>
      <c r="C299" s="3" t="str">
        <f>HYPERLINK("http://amigo.geneontology.org/amigo/term/GO:0010941","GO:0010941")</f>
        <v>GO:0010941</v>
      </c>
      <c r="D299" t="s">
        <v>5738</v>
      </c>
      <c r="E299">
        <v>123</v>
      </c>
      <c r="F299">
        <v>5</v>
      </c>
      <c r="G299">
        <v>3.1726863782124103E-2</v>
      </c>
      <c r="H299">
        <v>0.475902956731862</v>
      </c>
      <c r="I299" t="s">
        <v>9109</v>
      </c>
    </row>
    <row r="300" spans="1:9" x14ac:dyDescent="0.25">
      <c r="A300" t="s">
        <v>9147</v>
      </c>
      <c r="C300" s="3" t="str">
        <f>HYPERLINK("http://amigo.geneontology.org/amigo/term/GO:0034204","GO:0034204")</f>
        <v>GO:0034204</v>
      </c>
      <c r="D300" t="s">
        <v>7460</v>
      </c>
      <c r="E300">
        <v>20</v>
      </c>
      <c r="F300">
        <v>2</v>
      </c>
      <c r="G300">
        <v>3.2454452698799402E-2</v>
      </c>
      <c r="H300">
        <v>0.486816790481991</v>
      </c>
      <c r="I300" t="s">
        <v>7461</v>
      </c>
    </row>
    <row r="301" spans="1:9" x14ac:dyDescent="0.25">
      <c r="A301" t="s">
        <v>7319</v>
      </c>
      <c r="C301" s="3" t="str">
        <f>HYPERLINK("http://amigo.geneontology.org/amigo/term/GO:0045332","GO:0045332")</f>
        <v>GO:0045332</v>
      </c>
      <c r="D301" t="s">
        <v>7463</v>
      </c>
      <c r="E301">
        <v>20</v>
      </c>
      <c r="F301">
        <v>2</v>
      </c>
      <c r="G301">
        <v>3.2454452698799402E-2</v>
      </c>
      <c r="H301">
        <v>0.486816790481991</v>
      </c>
      <c r="I301" t="s">
        <v>7461</v>
      </c>
    </row>
    <row r="302" spans="1:9" x14ac:dyDescent="0.25">
      <c r="A302" t="s">
        <v>7322</v>
      </c>
      <c r="C302" s="3" t="str">
        <f>HYPERLINK("http://amigo.geneontology.org/amigo/term/GO:1901505","GO:1901505")</f>
        <v>GO:1901505</v>
      </c>
      <c r="D302" t="s">
        <v>9148</v>
      </c>
      <c r="E302">
        <v>49</v>
      </c>
      <c r="F302">
        <v>3</v>
      </c>
      <c r="G302">
        <v>3.2640644374041003E-2</v>
      </c>
      <c r="H302">
        <v>0.48960966561061597</v>
      </c>
      <c r="I302" t="s">
        <v>8973</v>
      </c>
    </row>
    <row r="303" spans="1:9" x14ac:dyDescent="0.25">
      <c r="A303" t="s">
        <v>7324</v>
      </c>
      <c r="C303" s="3" t="str">
        <f>HYPERLINK("http://amigo.geneontology.org/amigo/term/GO:0016311","GO:0016311")</f>
        <v>GO:0016311</v>
      </c>
      <c r="D303" t="s">
        <v>529</v>
      </c>
      <c r="E303">
        <v>565</v>
      </c>
      <c r="F303">
        <v>14</v>
      </c>
      <c r="G303">
        <v>3.3798765903889701E-2</v>
      </c>
      <c r="H303">
        <v>0.50698148855834502</v>
      </c>
      <c r="I303" t="s">
        <v>9149</v>
      </c>
    </row>
    <row r="304" spans="1:9" x14ac:dyDescent="0.25">
      <c r="A304" t="s">
        <v>7326</v>
      </c>
      <c r="C304" s="3" t="str">
        <f>HYPERLINK("http://amigo.geneontology.org/amigo/term/GO:0008037","GO:0008037")</f>
        <v>GO:0008037</v>
      </c>
      <c r="D304" t="s">
        <v>7499</v>
      </c>
      <c r="E304">
        <v>461</v>
      </c>
      <c r="F304">
        <v>12</v>
      </c>
      <c r="G304">
        <v>3.4397194526724802E-2</v>
      </c>
      <c r="H304">
        <v>0.51595791790087198</v>
      </c>
      <c r="I304" t="s">
        <v>9150</v>
      </c>
    </row>
    <row r="305" spans="1:9" x14ac:dyDescent="0.25">
      <c r="A305" t="s">
        <v>9151</v>
      </c>
      <c r="C305" s="3" t="str">
        <f>HYPERLINK("http://amigo.geneontology.org/amigo/term/GO:0048544","GO:0048544")</f>
        <v>GO:0048544</v>
      </c>
      <c r="D305" t="s">
        <v>7502</v>
      </c>
      <c r="E305">
        <v>461</v>
      </c>
      <c r="F305">
        <v>12</v>
      </c>
      <c r="G305">
        <v>3.4397194526724802E-2</v>
      </c>
      <c r="H305">
        <v>0.51595791790087198</v>
      </c>
      <c r="I305" t="s">
        <v>9150</v>
      </c>
    </row>
    <row r="306" spans="1:9" x14ac:dyDescent="0.25">
      <c r="A306" t="s">
        <v>7328</v>
      </c>
      <c r="C306" s="3" t="str">
        <f>HYPERLINK("http://amigo.geneontology.org/amigo/term/GO:0009875","GO:0009875")</f>
        <v>GO:0009875</v>
      </c>
      <c r="D306" t="s">
        <v>7506</v>
      </c>
      <c r="E306">
        <v>463</v>
      </c>
      <c r="F306">
        <v>12</v>
      </c>
      <c r="G306">
        <v>3.5362734519401202E-2</v>
      </c>
      <c r="H306">
        <v>0.53044101779101904</v>
      </c>
      <c r="I306" t="s">
        <v>9150</v>
      </c>
    </row>
    <row r="307" spans="1:9" x14ac:dyDescent="0.25">
      <c r="A307" t="s">
        <v>9152</v>
      </c>
      <c r="C307" s="3" t="str">
        <f>HYPERLINK("http://amigo.geneontology.org/amigo/term/GO:0097035","GO:0097035")</f>
        <v>GO:0097035</v>
      </c>
      <c r="D307" t="s">
        <v>7469</v>
      </c>
      <c r="E307">
        <v>21</v>
      </c>
      <c r="F307">
        <v>2</v>
      </c>
      <c r="G307">
        <v>3.5538345171653697E-2</v>
      </c>
      <c r="H307">
        <v>0.53307517757480605</v>
      </c>
      <c r="I307" t="s">
        <v>7461</v>
      </c>
    </row>
    <row r="308" spans="1:9" x14ac:dyDescent="0.25">
      <c r="A308" t="s">
        <v>7330</v>
      </c>
      <c r="C308" s="3" t="str">
        <f>HYPERLINK("http://amigo.geneontology.org/amigo/term/GO:0015850","GO:0015850")</f>
        <v>GO:0015850</v>
      </c>
      <c r="D308" t="s">
        <v>9153</v>
      </c>
      <c r="E308">
        <v>21</v>
      </c>
      <c r="F308">
        <v>2</v>
      </c>
      <c r="G308">
        <v>3.5538345171653697E-2</v>
      </c>
      <c r="H308">
        <v>0.53307517757480605</v>
      </c>
      <c r="I308" t="s">
        <v>8951</v>
      </c>
    </row>
    <row r="309" spans="1:9" x14ac:dyDescent="0.25">
      <c r="A309" t="s">
        <v>9154</v>
      </c>
      <c r="C309" s="3" t="str">
        <f>HYPERLINK("http://amigo.geneontology.org/amigo/term/GO:0009958","GO:0009958")</f>
        <v>GO:0009958</v>
      </c>
      <c r="D309" t="s">
        <v>7473</v>
      </c>
      <c r="E309">
        <v>21</v>
      </c>
      <c r="F309">
        <v>2</v>
      </c>
      <c r="G309">
        <v>3.5538345171653697E-2</v>
      </c>
      <c r="H309">
        <v>0.53307517757480605</v>
      </c>
      <c r="I309" t="s">
        <v>7148</v>
      </c>
    </row>
    <row r="310" spans="1:9" x14ac:dyDescent="0.25">
      <c r="A310" t="s">
        <v>9155</v>
      </c>
      <c r="C310" s="3" t="str">
        <f>HYPERLINK("http://amigo.geneontology.org/amigo/term/GO:0009914","GO:0009914")</f>
        <v>GO:0009914</v>
      </c>
      <c r="D310" t="s">
        <v>7479</v>
      </c>
      <c r="E310">
        <v>51</v>
      </c>
      <c r="F310">
        <v>3</v>
      </c>
      <c r="G310">
        <v>3.6140007241014502E-2</v>
      </c>
      <c r="H310">
        <v>0.54210010861521696</v>
      </c>
      <c r="I310" t="s">
        <v>7108</v>
      </c>
    </row>
    <row r="311" spans="1:9" x14ac:dyDescent="0.25">
      <c r="A311" t="s">
        <v>9156</v>
      </c>
      <c r="C311" s="3" t="str">
        <f>HYPERLINK("http://amigo.geneontology.org/amigo/term/GO:0060918","GO:0060918")</f>
        <v>GO:0060918</v>
      </c>
      <c r="D311" t="s">
        <v>7481</v>
      </c>
      <c r="E311">
        <v>51</v>
      </c>
      <c r="F311">
        <v>3</v>
      </c>
      <c r="G311">
        <v>3.6140007241014502E-2</v>
      </c>
      <c r="H311">
        <v>0.54210010861521696</v>
      </c>
      <c r="I311" t="s">
        <v>7108</v>
      </c>
    </row>
    <row r="312" spans="1:9" x14ac:dyDescent="0.25">
      <c r="A312" t="s">
        <v>7332</v>
      </c>
      <c r="C312" s="3" t="str">
        <f>HYPERLINK("http://amigo.geneontology.org/amigo/term/GO:0008233","GO:0008233")</f>
        <v>GO:0008233</v>
      </c>
      <c r="D312" t="s">
        <v>154</v>
      </c>
      <c r="E312">
        <v>2332</v>
      </c>
      <c r="F312">
        <v>44</v>
      </c>
      <c r="G312">
        <v>3.7878231647964201E-2</v>
      </c>
      <c r="H312">
        <v>0.568173474719463</v>
      </c>
      <c r="I312" t="s">
        <v>9157</v>
      </c>
    </row>
    <row r="313" spans="1:9" x14ac:dyDescent="0.25">
      <c r="A313" t="s">
        <v>9158</v>
      </c>
      <c r="C313" s="3" t="str">
        <f>HYPERLINK("http://amigo.geneontology.org/amigo/term/GO:0046112","GO:0046112")</f>
        <v>GO:0046112</v>
      </c>
      <c r="D313" t="s">
        <v>9159</v>
      </c>
      <c r="E313">
        <v>52</v>
      </c>
      <c r="F313">
        <v>3</v>
      </c>
      <c r="G313">
        <v>3.7959041231768097E-2</v>
      </c>
      <c r="H313">
        <v>0.53142657724475395</v>
      </c>
      <c r="I313" t="s">
        <v>8913</v>
      </c>
    </row>
    <row r="314" spans="1:9" x14ac:dyDescent="0.25">
      <c r="A314" t="s">
        <v>7333</v>
      </c>
      <c r="C314" s="3" t="str">
        <f>HYPERLINK("http://amigo.geneontology.org/amigo/term/GO:0002238","GO:0002238")</f>
        <v>GO:0002238</v>
      </c>
      <c r="D314" t="s">
        <v>9160</v>
      </c>
      <c r="E314">
        <v>22</v>
      </c>
      <c r="F314">
        <v>2</v>
      </c>
      <c r="G314">
        <v>3.8730418805300697E-2</v>
      </c>
      <c r="H314">
        <v>0.54222586327421096</v>
      </c>
      <c r="I314" t="s">
        <v>9161</v>
      </c>
    </row>
    <row r="315" spans="1:9" x14ac:dyDescent="0.25">
      <c r="A315" t="s">
        <v>7334</v>
      </c>
      <c r="C315" s="3" t="str">
        <f>HYPERLINK("http://amigo.geneontology.org/amigo/term/GO:0043476","GO:0043476")</f>
        <v>GO:0043476</v>
      </c>
      <c r="D315" t="s">
        <v>7487</v>
      </c>
      <c r="E315">
        <v>22</v>
      </c>
      <c r="F315">
        <v>2</v>
      </c>
      <c r="G315">
        <v>3.8730418805300697E-2</v>
      </c>
      <c r="H315">
        <v>0.54222586327421096</v>
      </c>
      <c r="I315" t="s">
        <v>7148</v>
      </c>
    </row>
    <row r="316" spans="1:9" x14ac:dyDescent="0.25">
      <c r="A316" t="s">
        <v>7335</v>
      </c>
      <c r="C316" s="3" t="str">
        <f>HYPERLINK("http://amigo.geneontology.org/amigo/term/GO:0043478","GO:0043478")</f>
        <v>GO:0043478</v>
      </c>
      <c r="D316" t="s">
        <v>7489</v>
      </c>
      <c r="E316">
        <v>22</v>
      </c>
      <c r="F316">
        <v>2</v>
      </c>
      <c r="G316">
        <v>3.8730418805300697E-2</v>
      </c>
      <c r="H316">
        <v>0.54222586327421096</v>
      </c>
      <c r="I316" t="s">
        <v>7148</v>
      </c>
    </row>
    <row r="317" spans="1:9" x14ac:dyDescent="0.25">
      <c r="A317" t="s">
        <v>7336</v>
      </c>
      <c r="C317" s="3" t="str">
        <f>HYPERLINK("http://amigo.geneontology.org/amigo/term/GO:0043480","GO:0043480")</f>
        <v>GO:0043480</v>
      </c>
      <c r="D317" t="s">
        <v>7491</v>
      </c>
      <c r="E317">
        <v>22</v>
      </c>
      <c r="F317">
        <v>2</v>
      </c>
      <c r="G317">
        <v>3.8730418805300697E-2</v>
      </c>
      <c r="H317">
        <v>0.54222586327421096</v>
      </c>
      <c r="I317" t="s">
        <v>7148</v>
      </c>
    </row>
    <row r="318" spans="1:9" x14ac:dyDescent="0.25">
      <c r="A318" t="s">
        <v>7338</v>
      </c>
      <c r="C318" s="3" t="str">
        <f>HYPERLINK("http://amigo.geneontology.org/amigo/term/GO:0043479","GO:0043479")</f>
        <v>GO:0043479</v>
      </c>
      <c r="D318" t="s">
        <v>7493</v>
      </c>
      <c r="E318">
        <v>22</v>
      </c>
      <c r="F318">
        <v>2</v>
      </c>
      <c r="G318">
        <v>3.8730418805300697E-2</v>
      </c>
      <c r="H318">
        <v>0.54222586327421096</v>
      </c>
      <c r="I318" t="s">
        <v>7148</v>
      </c>
    </row>
    <row r="319" spans="1:9" x14ac:dyDescent="0.25">
      <c r="A319" t="s">
        <v>7340</v>
      </c>
      <c r="C319" s="3" t="str">
        <f>HYPERLINK("http://amigo.geneontology.org/amigo/term/GO:0043481","GO:0043481")</f>
        <v>GO:0043481</v>
      </c>
      <c r="D319" t="s">
        <v>7495</v>
      </c>
      <c r="E319">
        <v>22</v>
      </c>
      <c r="F319">
        <v>2</v>
      </c>
      <c r="G319">
        <v>3.8730418805300697E-2</v>
      </c>
      <c r="H319">
        <v>0.54222586327421096</v>
      </c>
      <c r="I319" t="s">
        <v>7148</v>
      </c>
    </row>
    <row r="320" spans="1:9" x14ac:dyDescent="0.25">
      <c r="A320" t="s">
        <v>7342</v>
      </c>
      <c r="C320" s="3" t="str">
        <f>HYPERLINK("http://amigo.geneontology.org/amigo/term/GO:0016757","GO:0016757")</f>
        <v>GO:0016757</v>
      </c>
      <c r="D320" t="s">
        <v>977</v>
      </c>
      <c r="E320">
        <v>2155</v>
      </c>
      <c r="F320">
        <v>41</v>
      </c>
      <c r="G320">
        <v>3.9373838060996799E-2</v>
      </c>
      <c r="H320">
        <v>0.55123373285395605</v>
      </c>
      <c r="I320" t="s">
        <v>9162</v>
      </c>
    </row>
    <row r="321" spans="1:9" x14ac:dyDescent="0.25">
      <c r="A321" t="s">
        <v>7344</v>
      </c>
      <c r="C321" s="3" t="str">
        <f>HYPERLINK("http://amigo.geneontology.org/amigo/term/GO:0006986","GO:0006986")</f>
        <v>GO:0006986</v>
      </c>
      <c r="D321" t="s">
        <v>1325</v>
      </c>
      <c r="E321">
        <v>53</v>
      </c>
      <c r="F321">
        <v>3</v>
      </c>
      <c r="G321">
        <v>3.9823967770961297E-2</v>
      </c>
      <c r="H321">
        <v>0.55753554879345801</v>
      </c>
      <c r="I321" t="s">
        <v>7508</v>
      </c>
    </row>
    <row r="322" spans="1:9" x14ac:dyDescent="0.25">
      <c r="A322" t="s">
        <v>7346</v>
      </c>
      <c r="C322" s="3" t="str">
        <f>HYPERLINK("http://amigo.geneontology.org/amigo/term/GO:0035967","GO:0035967")</f>
        <v>GO:0035967</v>
      </c>
      <c r="D322" t="s">
        <v>1328</v>
      </c>
      <c r="E322">
        <v>53</v>
      </c>
      <c r="F322">
        <v>3</v>
      </c>
      <c r="G322">
        <v>3.9823967770961297E-2</v>
      </c>
      <c r="H322">
        <v>0.55753554879345801</v>
      </c>
      <c r="I322" t="s">
        <v>7508</v>
      </c>
    </row>
    <row r="323" spans="1:9" x14ac:dyDescent="0.25">
      <c r="A323" t="s">
        <v>7348</v>
      </c>
      <c r="C323" s="3" t="str">
        <f>HYPERLINK("http://amigo.geneontology.org/amigo/term/GO:0034620","GO:0034620")</f>
        <v>GO:0034620</v>
      </c>
      <c r="D323" t="s">
        <v>1330</v>
      </c>
      <c r="E323">
        <v>53</v>
      </c>
      <c r="F323">
        <v>3</v>
      </c>
      <c r="G323">
        <v>3.9823967770961297E-2</v>
      </c>
      <c r="H323">
        <v>0.55753554879345801</v>
      </c>
      <c r="I323" t="s">
        <v>7508</v>
      </c>
    </row>
    <row r="324" spans="1:9" x14ac:dyDescent="0.25">
      <c r="A324" t="s">
        <v>7349</v>
      </c>
      <c r="C324" s="3" t="str">
        <f>HYPERLINK("http://amigo.geneontology.org/amigo/term/GO:0030968","GO:0030968")</f>
        <v>GO:0030968</v>
      </c>
      <c r="D324" t="s">
        <v>1332</v>
      </c>
      <c r="E324">
        <v>53</v>
      </c>
      <c r="F324">
        <v>3</v>
      </c>
      <c r="G324">
        <v>3.9823967770961297E-2</v>
      </c>
      <c r="H324">
        <v>0.55753554879345801</v>
      </c>
      <c r="I324" t="s">
        <v>7508</v>
      </c>
    </row>
    <row r="325" spans="1:9" x14ac:dyDescent="0.25">
      <c r="A325" t="s">
        <v>7352</v>
      </c>
      <c r="C325" s="3" t="str">
        <f>HYPERLINK("http://amigo.geneontology.org/amigo/term/GO:0071407","GO:0071407")</f>
        <v>GO:0071407</v>
      </c>
      <c r="D325" t="s">
        <v>7560</v>
      </c>
      <c r="E325">
        <v>131</v>
      </c>
      <c r="F325">
        <v>5</v>
      </c>
      <c r="G325">
        <v>3.9915318317219999E-2</v>
      </c>
      <c r="H325">
        <v>0.55881445644107997</v>
      </c>
      <c r="I325" t="s">
        <v>7561</v>
      </c>
    </row>
    <row r="326" spans="1:9" x14ac:dyDescent="0.25">
      <c r="A326" t="s">
        <v>9163</v>
      </c>
      <c r="C326" s="3" t="str">
        <f>HYPERLINK("http://amigo.geneontology.org/amigo/term/GO:0015932","GO:0015932")</f>
        <v>GO:0015932</v>
      </c>
      <c r="D326" t="s">
        <v>9164</v>
      </c>
      <c r="E326">
        <v>54</v>
      </c>
      <c r="F326">
        <v>3</v>
      </c>
      <c r="G326">
        <v>4.1734502411066701E-2</v>
      </c>
      <c r="H326">
        <v>0.58428303375493396</v>
      </c>
      <c r="I326" t="s">
        <v>8973</v>
      </c>
    </row>
    <row r="327" spans="1:9" x14ac:dyDescent="0.25">
      <c r="A327" t="s">
        <v>7355</v>
      </c>
      <c r="C327" s="3" t="str">
        <f>HYPERLINK("http://amigo.geneontology.org/amigo/term/GO:0044425","GO:0044425")</f>
        <v>GO:0044425</v>
      </c>
      <c r="D327" t="s">
        <v>215</v>
      </c>
      <c r="E327">
        <v>8465</v>
      </c>
      <c r="F327">
        <v>139</v>
      </c>
      <c r="G327">
        <v>4.1860533671020203E-2</v>
      </c>
      <c r="H327">
        <v>0.58604747139428304</v>
      </c>
      <c r="I327" t="s">
        <v>9165</v>
      </c>
    </row>
    <row r="328" spans="1:9" x14ac:dyDescent="0.25">
      <c r="A328" t="s">
        <v>9166</v>
      </c>
      <c r="C328" s="3" t="str">
        <f>HYPERLINK("http://amigo.geneontology.org/amigo/term/GO:0031329","GO:0031329")</f>
        <v>GO:0031329</v>
      </c>
      <c r="D328" t="s">
        <v>9167</v>
      </c>
      <c r="E328">
        <v>23</v>
      </c>
      <c r="F328">
        <v>2</v>
      </c>
      <c r="G328">
        <v>4.2026975743755399E-2</v>
      </c>
      <c r="H328">
        <v>0.588377660412576</v>
      </c>
      <c r="I328" t="s">
        <v>9061</v>
      </c>
    </row>
    <row r="329" spans="1:9" x14ac:dyDescent="0.25">
      <c r="A329" t="s">
        <v>7358</v>
      </c>
      <c r="C329" s="3" t="str">
        <f>HYPERLINK("http://amigo.geneontology.org/amigo/term/GO:0005402","GO:0005402")</f>
        <v>GO:0005402</v>
      </c>
      <c r="D329" t="s">
        <v>7550</v>
      </c>
      <c r="E329">
        <v>23</v>
      </c>
      <c r="F329">
        <v>2</v>
      </c>
      <c r="G329">
        <v>4.2026975743755399E-2</v>
      </c>
      <c r="H329">
        <v>0.588377660412576</v>
      </c>
      <c r="I329" t="s">
        <v>7139</v>
      </c>
    </row>
    <row r="330" spans="1:9" x14ac:dyDescent="0.25">
      <c r="A330" t="s">
        <v>9168</v>
      </c>
      <c r="C330" s="3" t="str">
        <f>HYPERLINK("http://amigo.geneontology.org/amigo/term/GO:0005351","GO:0005351")</f>
        <v>GO:0005351</v>
      </c>
      <c r="D330" t="s">
        <v>7552</v>
      </c>
      <c r="E330">
        <v>23</v>
      </c>
      <c r="F330">
        <v>2</v>
      </c>
      <c r="G330">
        <v>4.2026975743755399E-2</v>
      </c>
      <c r="H330">
        <v>0.588377660412576</v>
      </c>
      <c r="I330" t="s">
        <v>7139</v>
      </c>
    </row>
    <row r="331" spans="1:9" x14ac:dyDescent="0.25">
      <c r="A331" t="s">
        <v>7360</v>
      </c>
      <c r="C331" s="3" t="str">
        <f>HYPERLINK("http://amigo.geneontology.org/amigo/term/GO:0000038","GO:0000038")</f>
        <v>GO:0000038</v>
      </c>
      <c r="D331" t="s">
        <v>7557</v>
      </c>
      <c r="E331">
        <v>23</v>
      </c>
      <c r="F331">
        <v>2</v>
      </c>
      <c r="G331">
        <v>4.2026975743755399E-2</v>
      </c>
      <c r="H331">
        <v>0.588377660412576</v>
      </c>
      <c r="I331" t="s">
        <v>7558</v>
      </c>
    </row>
    <row r="332" spans="1:9" x14ac:dyDescent="0.25">
      <c r="A332" t="s">
        <v>9169</v>
      </c>
      <c r="C332" s="3" t="str">
        <f>HYPERLINK("http://amigo.geneontology.org/amigo/term/GO:0052317","GO:0052317")</f>
        <v>GO:0052317</v>
      </c>
      <c r="D332" t="s">
        <v>7516</v>
      </c>
      <c r="E332">
        <v>3</v>
      </c>
      <c r="F332">
        <v>1</v>
      </c>
      <c r="G332">
        <v>4.2092212947854001E-2</v>
      </c>
      <c r="H332">
        <v>0.54719876832210201</v>
      </c>
      <c r="I332" t="s">
        <v>6888</v>
      </c>
    </row>
    <row r="333" spans="1:9" x14ac:dyDescent="0.25">
      <c r="A333" t="s">
        <v>7363</v>
      </c>
      <c r="C333" s="3" t="str">
        <f>HYPERLINK("http://amigo.geneontology.org/amigo/term/GO:0010120","GO:0010120")</f>
        <v>GO:0010120</v>
      </c>
      <c r="D333" t="s">
        <v>7518</v>
      </c>
      <c r="E333">
        <v>3</v>
      </c>
      <c r="F333">
        <v>1</v>
      </c>
      <c r="G333">
        <v>4.2092212947854001E-2</v>
      </c>
      <c r="H333">
        <v>0.54719876832210201</v>
      </c>
      <c r="I333" t="s">
        <v>6888</v>
      </c>
    </row>
    <row r="334" spans="1:9" x14ac:dyDescent="0.25">
      <c r="A334" t="s">
        <v>7365</v>
      </c>
      <c r="C334" s="3" t="str">
        <f>HYPERLINK("http://amigo.geneontology.org/amigo/term/GO:0016629","GO:0016629")</f>
        <v>GO:0016629</v>
      </c>
      <c r="D334" t="s">
        <v>7525</v>
      </c>
      <c r="E334">
        <v>3</v>
      </c>
      <c r="F334">
        <v>1</v>
      </c>
      <c r="G334">
        <v>4.2092212947854001E-2</v>
      </c>
      <c r="H334">
        <v>0.54719876832210201</v>
      </c>
      <c r="I334" t="s">
        <v>7268</v>
      </c>
    </row>
    <row r="335" spans="1:9" x14ac:dyDescent="0.25">
      <c r="A335" t="s">
        <v>7367</v>
      </c>
      <c r="C335" s="3" t="str">
        <f>HYPERLINK("http://amigo.geneontology.org/amigo/term/GO:0045862","GO:0045862")</f>
        <v>GO:0045862</v>
      </c>
      <c r="D335" t="s">
        <v>9170</v>
      </c>
      <c r="E335">
        <v>3</v>
      </c>
      <c r="F335">
        <v>1</v>
      </c>
      <c r="G335">
        <v>4.2092212947854001E-2</v>
      </c>
      <c r="H335">
        <v>0.54719876832210201</v>
      </c>
      <c r="I335" t="s">
        <v>9068</v>
      </c>
    </row>
    <row r="336" spans="1:9" x14ac:dyDescent="0.25">
      <c r="A336" t="s">
        <v>7369</v>
      </c>
      <c r="C336" s="3" t="str">
        <f>HYPERLINK("http://amigo.geneontology.org/amigo/term/GO:1903364","GO:1903364")</f>
        <v>GO:1903364</v>
      </c>
      <c r="D336" t="s">
        <v>9171</v>
      </c>
      <c r="E336">
        <v>3</v>
      </c>
      <c r="F336">
        <v>1</v>
      </c>
      <c r="G336">
        <v>4.2092212947854001E-2</v>
      </c>
      <c r="H336">
        <v>0.54719876832210201</v>
      </c>
      <c r="I336" t="s">
        <v>9068</v>
      </c>
    </row>
    <row r="337" spans="1:9" x14ac:dyDescent="0.25">
      <c r="A337" t="s">
        <v>7371</v>
      </c>
      <c r="C337" s="3" t="str">
        <f>HYPERLINK("http://amigo.geneontology.org/amigo/term/GO:1903052","GO:1903052")</f>
        <v>GO:1903052</v>
      </c>
      <c r="D337" t="s">
        <v>9172</v>
      </c>
      <c r="E337">
        <v>3</v>
      </c>
      <c r="F337">
        <v>1</v>
      </c>
      <c r="G337">
        <v>4.2092212947854001E-2</v>
      </c>
      <c r="H337">
        <v>0.54719876832210201</v>
      </c>
      <c r="I337" t="s">
        <v>9068</v>
      </c>
    </row>
    <row r="338" spans="1:9" x14ac:dyDescent="0.25">
      <c r="A338" t="s">
        <v>7351</v>
      </c>
      <c r="C338" s="3" t="str">
        <f>HYPERLINK("http://amigo.geneontology.org/amigo/term/GO:1901800","GO:1901800")</f>
        <v>GO:1901800</v>
      </c>
      <c r="D338" t="s">
        <v>9173</v>
      </c>
      <c r="E338">
        <v>3</v>
      </c>
      <c r="F338">
        <v>1</v>
      </c>
      <c r="G338">
        <v>4.2092212947854001E-2</v>
      </c>
      <c r="H338">
        <v>0.54719876832210201</v>
      </c>
      <c r="I338" t="s">
        <v>9068</v>
      </c>
    </row>
    <row r="339" spans="1:9" x14ac:dyDescent="0.25">
      <c r="A339" t="s">
        <v>9174</v>
      </c>
      <c r="C339" s="3" t="str">
        <f>HYPERLINK("http://amigo.geneontology.org/amigo/term/GO:2000060","GO:2000060")</f>
        <v>GO:2000060</v>
      </c>
      <c r="D339" t="s">
        <v>9175</v>
      </c>
      <c r="E339">
        <v>3</v>
      </c>
      <c r="F339">
        <v>1</v>
      </c>
      <c r="G339">
        <v>4.2092212947854001E-2</v>
      </c>
      <c r="H339">
        <v>0.54719876832210201</v>
      </c>
      <c r="I339" t="s">
        <v>9068</v>
      </c>
    </row>
    <row r="340" spans="1:9" x14ac:dyDescent="0.25">
      <c r="A340" t="s">
        <v>7373</v>
      </c>
      <c r="C340" s="3" t="str">
        <f>HYPERLINK("http://amigo.geneontology.org/amigo/term/GO:0032436","GO:0032436")</f>
        <v>GO:0032436</v>
      </c>
      <c r="D340" t="s">
        <v>9176</v>
      </c>
      <c r="E340">
        <v>3</v>
      </c>
      <c r="F340">
        <v>1</v>
      </c>
      <c r="G340">
        <v>4.2092212947854001E-2</v>
      </c>
      <c r="H340">
        <v>0.54719876832210201</v>
      </c>
      <c r="I340" t="s">
        <v>9068</v>
      </c>
    </row>
    <row r="341" spans="1:9" x14ac:dyDescent="0.25">
      <c r="A341" t="s">
        <v>7376</v>
      </c>
      <c r="C341" s="3" t="str">
        <f>HYPERLINK("http://amigo.geneontology.org/amigo/term/GO:0106019","GO:0106019")</f>
        <v>GO:0106019</v>
      </c>
      <c r="D341" t="s">
        <v>52</v>
      </c>
      <c r="E341">
        <v>3</v>
      </c>
      <c r="F341">
        <v>1</v>
      </c>
      <c r="G341">
        <v>4.2092212947854001E-2</v>
      </c>
      <c r="H341">
        <v>0.54719876832210201</v>
      </c>
      <c r="I341" t="s">
        <v>7530</v>
      </c>
    </row>
    <row r="342" spans="1:9" x14ac:dyDescent="0.25">
      <c r="A342" t="s">
        <v>9177</v>
      </c>
      <c r="C342" s="3" t="str">
        <f>HYPERLINK("http://amigo.geneontology.org/amigo/term/GO:0004439","GO:0004439")</f>
        <v>GO:0004439</v>
      </c>
      <c r="D342" t="s">
        <v>55</v>
      </c>
      <c r="E342">
        <v>3</v>
      </c>
      <c r="F342">
        <v>1</v>
      </c>
      <c r="G342">
        <v>4.2092212947854001E-2</v>
      </c>
      <c r="H342">
        <v>0.54719876832210201</v>
      </c>
      <c r="I342" t="s">
        <v>7530</v>
      </c>
    </row>
    <row r="343" spans="1:9" x14ac:dyDescent="0.25">
      <c r="A343" t="s">
        <v>9178</v>
      </c>
      <c r="C343" s="3" t="str">
        <f>HYPERLINK("http://amigo.geneontology.org/amigo/term/GO:0034594","GO:0034594")</f>
        <v>GO:0034594</v>
      </c>
      <c r="D343" t="s">
        <v>60</v>
      </c>
      <c r="E343">
        <v>3</v>
      </c>
      <c r="F343">
        <v>1</v>
      </c>
      <c r="G343">
        <v>4.2092212947854001E-2</v>
      </c>
      <c r="H343">
        <v>0.54719876832210201</v>
      </c>
      <c r="I343" t="s">
        <v>7530</v>
      </c>
    </row>
    <row r="344" spans="1:9" x14ac:dyDescent="0.25">
      <c r="A344" t="s">
        <v>7377</v>
      </c>
      <c r="C344" s="3" t="str">
        <f>HYPERLINK("http://amigo.geneontology.org/amigo/term/GO:0034485","GO:0034485")</f>
        <v>GO:0034485</v>
      </c>
      <c r="D344" t="s">
        <v>62</v>
      </c>
      <c r="E344">
        <v>3</v>
      </c>
      <c r="F344">
        <v>1</v>
      </c>
      <c r="G344">
        <v>4.2092212947854001E-2</v>
      </c>
      <c r="H344">
        <v>0.54719876832210201</v>
      </c>
      <c r="I344" t="s">
        <v>7530</v>
      </c>
    </row>
    <row r="345" spans="1:9" x14ac:dyDescent="0.25">
      <c r="A345" t="s">
        <v>7379</v>
      </c>
      <c r="C345" s="3" t="str">
        <f>HYPERLINK("http://amigo.geneontology.org/amigo/term/GO:0046030","GO:0046030")</f>
        <v>GO:0046030</v>
      </c>
      <c r="D345" t="s">
        <v>57</v>
      </c>
      <c r="E345">
        <v>3</v>
      </c>
      <c r="F345">
        <v>1</v>
      </c>
      <c r="G345">
        <v>4.2092212947854001E-2</v>
      </c>
      <c r="H345">
        <v>0.54719876832210201</v>
      </c>
      <c r="I345" t="s">
        <v>7530</v>
      </c>
    </row>
    <row r="346" spans="1:9" x14ac:dyDescent="0.25">
      <c r="A346" t="s">
        <v>7381</v>
      </c>
      <c r="C346" s="3" t="str">
        <f>HYPERLINK("http://amigo.geneontology.org/amigo/term/GO:0004445","GO:0004445")</f>
        <v>GO:0004445</v>
      </c>
      <c r="D346" t="s">
        <v>59</v>
      </c>
      <c r="E346">
        <v>3</v>
      </c>
      <c r="F346">
        <v>1</v>
      </c>
      <c r="G346">
        <v>4.2092212947854001E-2</v>
      </c>
      <c r="H346">
        <v>0.54719876832210201</v>
      </c>
      <c r="I346" t="s">
        <v>7530</v>
      </c>
    </row>
    <row r="347" spans="1:9" x14ac:dyDescent="0.25">
      <c r="A347" t="s">
        <v>7383</v>
      </c>
      <c r="C347" s="3" t="str">
        <f>HYPERLINK("http://amigo.geneontology.org/amigo/term/GO:0052658","GO:0052658")</f>
        <v>GO:0052658</v>
      </c>
      <c r="D347" t="s">
        <v>64</v>
      </c>
      <c r="E347">
        <v>3</v>
      </c>
      <c r="F347">
        <v>1</v>
      </c>
      <c r="G347">
        <v>4.2092212947854001E-2</v>
      </c>
      <c r="H347">
        <v>0.54719876832210201</v>
      </c>
      <c r="I347" t="s">
        <v>7530</v>
      </c>
    </row>
    <row r="348" spans="1:9" x14ac:dyDescent="0.25">
      <c r="A348" t="s">
        <v>7385</v>
      </c>
      <c r="C348" s="3" t="str">
        <f>HYPERLINK("http://amigo.geneontology.org/amigo/term/GO:0052743","GO:0052743")</f>
        <v>GO:0052743</v>
      </c>
      <c r="D348" t="s">
        <v>66</v>
      </c>
      <c r="E348">
        <v>3</v>
      </c>
      <c r="F348">
        <v>1</v>
      </c>
      <c r="G348">
        <v>4.2092212947854001E-2</v>
      </c>
      <c r="H348">
        <v>0.58929098126995605</v>
      </c>
      <c r="I348" t="s">
        <v>7530</v>
      </c>
    </row>
    <row r="349" spans="1:9" x14ac:dyDescent="0.25">
      <c r="A349" t="s">
        <v>9179</v>
      </c>
      <c r="C349" s="3" t="str">
        <f>HYPERLINK("http://amigo.geneontology.org/amigo/term/GO:0052659","GO:0052659")</f>
        <v>GO:0052659</v>
      </c>
      <c r="D349" t="s">
        <v>68</v>
      </c>
      <c r="E349">
        <v>3</v>
      </c>
      <c r="F349">
        <v>1</v>
      </c>
      <c r="G349">
        <v>4.2092212947854001E-2</v>
      </c>
      <c r="H349">
        <v>0.58929098126995605</v>
      </c>
      <c r="I349" t="s">
        <v>7530</v>
      </c>
    </row>
    <row r="350" spans="1:9" x14ac:dyDescent="0.25">
      <c r="A350" t="s">
        <v>7387</v>
      </c>
      <c r="C350" s="3" t="str">
        <f>HYPERLINK("http://amigo.geneontology.org/amigo/term/GO:0043565","GO:0043565")</f>
        <v>GO:0043565</v>
      </c>
      <c r="D350" t="s">
        <v>5129</v>
      </c>
      <c r="E350">
        <v>1091</v>
      </c>
      <c r="F350">
        <v>23</v>
      </c>
      <c r="G350">
        <v>4.2509629866883301E-2</v>
      </c>
      <c r="H350">
        <v>0.55262518826948304</v>
      </c>
      <c r="I350" t="s">
        <v>9180</v>
      </c>
    </row>
    <row r="351" spans="1:9" x14ac:dyDescent="0.25">
      <c r="A351" t="s">
        <v>9181</v>
      </c>
      <c r="C351" s="3" t="str">
        <f>HYPERLINK("http://amigo.geneontology.org/amigo/term/GO:0010363","GO:0010363")</f>
        <v>GO:0010363</v>
      </c>
      <c r="D351" t="s">
        <v>9182</v>
      </c>
      <c r="E351">
        <v>92</v>
      </c>
      <c r="F351">
        <v>4</v>
      </c>
      <c r="G351">
        <v>4.2709440968107297E-2</v>
      </c>
      <c r="H351">
        <v>0.55522273258539501</v>
      </c>
      <c r="I351" t="s">
        <v>9183</v>
      </c>
    </row>
    <row r="352" spans="1:9" x14ac:dyDescent="0.25">
      <c r="A352" t="s">
        <v>9184</v>
      </c>
      <c r="C352" s="3" t="str">
        <f>HYPERLINK("http://amigo.geneontology.org/amigo/term/GO:0009723","GO:0009723")</f>
        <v>GO:0009723</v>
      </c>
      <c r="D352" t="s">
        <v>9185</v>
      </c>
      <c r="E352">
        <v>92</v>
      </c>
      <c r="F352">
        <v>4</v>
      </c>
      <c r="G352">
        <v>4.2709440968107297E-2</v>
      </c>
      <c r="H352">
        <v>0.55522273258539501</v>
      </c>
      <c r="I352" t="s">
        <v>9186</v>
      </c>
    </row>
    <row r="353" spans="1:9" x14ac:dyDescent="0.25">
      <c r="A353" t="s">
        <v>9187</v>
      </c>
      <c r="C353" s="3" t="str">
        <f>HYPERLINK("http://amigo.geneontology.org/amigo/term/GO:0005543","GO:0005543")</f>
        <v>GO:0005543</v>
      </c>
      <c r="D353" t="s">
        <v>808</v>
      </c>
      <c r="E353">
        <v>134</v>
      </c>
      <c r="F353">
        <v>5</v>
      </c>
      <c r="G353">
        <v>4.3286949604745897E-2</v>
      </c>
      <c r="H353">
        <v>0.56273034486169704</v>
      </c>
      <c r="I353" t="s">
        <v>9188</v>
      </c>
    </row>
    <row r="354" spans="1:9" x14ac:dyDescent="0.25">
      <c r="A354" t="s">
        <v>7390</v>
      </c>
      <c r="C354" s="3" t="str">
        <f>HYPERLINK("http://amigo.geneontology.org/amigo/term/GO:0009695","GO:0009695")</f>
        <v>GO:0009695</v>
      </c>
      <c r="D354" t="s">
        <v>9189</v>
      </c>
      <c r="E354">
        <v>55</v>
      </c>
      <c r="F354">
        <v>3</v>
      </c>
      <c r="G354">
        <v>4.3690339807675803E-2</v>
      </c>
      <c r="H354">
        <v>0.56797441749978494</v>
      </c>
      <c r="I354" t="s">
        <v>9190</v>
      </c>
    </row>
    <row r="355" spans="1:9" x14ac:dyDescent="0.25">
      <c r="A355" t="s">
        <v>9191</v>
      </c>
      <c r="C355" s="3" t="str">
        <f>HYPERLINK("http://amigo.geneontology.org/amigo/term/GO:0005509","GO:0005509")</f>
        <v>GO:0005509</v>
      </c>
      <c r="D355" t="s">
        <v>323</v>
      </c>
      <c r="E355">
        <v>1211</v>
      </c>
      <c r="F355">
        <v>25</v>
      </c>
      <c r="G355">
        <v>4.3724062404086599E-2</v>
      </c>
      <c r="H355">
        <v>0.56841281125312504</v>
      </c>
      <c r="I355" t="s">
        <v>9192</v>
      </c>
    </row>
    <row r="356" spans="1:9" x14ac:dyDescent="0.25">
      <c r="A356" t="s">
        <v>7392</v>
      </c>
      <c r="C356" s="3" t="str">
        <f>HYPERLINK("http://amigo.geneontology.org/amigo/term/GO:0071446","GO:0071446")</f>
        <v>GO:0071446</v>
      </c>
      <c r="D356" t="s">
        <v>7575</v>
      </c>
      <c r="E356">
        <v>93</v>
      </c>
      <c r="F356">
        <v>4</v>
      </c>
      <c r="G356">
        <v>4.41458914207336E-2</v>
      </c>
      <c r="H356">
        <v>0.57389658846953595</v>
      </c>
      <c r="I356" t="s">
        <v>7267</v>
      </c>
    </row>
    <row r="357" spans="1:9" x14ac:dyDescent="0.25">
      <c r="A357" t="s">
        <v>7394</v>
      </c>
      <c r="C357" s="3" t="str">
        <f>HYPERLINK("http://amigo.geneontology.org/amigo/term/GO:0009863","GO:0009863")</f>
        <v>GO:0009863</v>
      </c>
      <c r="D357" t="s">
        <v>7577</v>
      </c>
      <c r="E357">
        <v>93</v>
      </c>
      <c r="F357">
        <v>4</v>
      </c>
      <c r="G357">
        <v>4.41458914207336E-2</v>
      </c>
      <c r="H357">
        <v>0.57389658846953595</v>
      </c>
      <c r="I357" t="s">
        <v>7267</v>
      </c>
    </row>
    <row r="358" spans="1:9" x14ac:dyDescent="0.25">
      <c r="A358" t="s">
        <v>9193</v>
      </c>
      <c r="C358" s="3" t="str">
        <f>HYPERLINK("http://amigo.geneontology.org/amigo/term/GO:1901605","GO:1901605")</f>
        <v>GO:1901605</v>
      </c>
      <c r="D358" t="s">
        <v>7075</v>
      </c>
      <c r="E358">
        <v>811</v>
      </c>
      <c r="F358">
        <v>18</v>
      </c>
      <c r="G358">
        <v>4.4952991706517099E-2</v>
      </c>
      <c r="H358">
        <v>0.58438889218472201</v>
      </c>
      <c r="I358" t="s">
        <v>9194</v>
      </c>
    </row>
    <row r="359" spans="1:9" x14ac:dyDescent="0.25">
      <c r="A359" t="s">
        <v>7397</v>
      </c>
      <c r="C359" s="3" t="str">
        <f>HYPERLINK("http://amigo.geneontology.org/amigo/term/GO:0042744","GO:0042744")</f>
        <v>GO:0042744</v>
      </c>
      <c r="D359" t="s">
        <v>1152</v>
      </c>
      <c r="E359">
        <v>227</v>
      </c>
      <c r="F359">
        <v>7</v>
      </c>
      <c r="G359">
        <v>4.5022217652787598E-2</v>
      </c>
      <c r="H359">
        <v>0.54026661183345104</v>
      </c>
      <c r="I359" t="s">
        <v>9195</v>
      </c>
    </row>
    <row r="360" spans="1:9" x14ac:dyDescent="0.25">
      <c r="A360" t="s">
        <v>7398</v>
      </c>
      <c r="C360" s="3" t="str">
        <f>HYPERLINK("http://amigo.geneontology.org/amigo/term/GO:0008361","GO:0008361")</f>
        <v>GO:0008361</v>
      </c>
      <c r="D360" t="s">
        <v>7570</v>
      </c>
      <c r="E360">
        <v>24</v>
      </c>
      <c r="F360">
        <v>2</v>
      </c>
      <c r="G360">
        <v>4.5424401292732099E-2</v>
      </c>
      <c r="H360">
        <v>0.54509281551278599</v>
      </c>
      <c r="I360" t="s">
        <v>7148</v>
      </c>
    </row>
    <row r="361" spans="1:9" x14ac:dyDescent="0.25">
      <c r="A361" t="s">
        <v>7399</v>
      </c>
      <c r="C361" s="3" t="str">
        <f>HYPERLINK("http://amigo.geneontology.org/amigo/term/GO:0016829","GO:0016829")</f>
        <v>GO:0016829</v>
      </c>
      <c r="D361" t="s">
        <v>523</v>
      </c>
      <c r="E361">
        <v>984</v>
      </c>
      <c r="F361">
        <v>21</v>
      </c>
      <c r="G361">
        <v>4.5724320163479E-2</v>
      </c>
      <c r="H361">
        <v>0.54869184196174803</v>
      </c>
      <c r="I361" t="s">
        <v>9196</v>
      </c>
    </row>
    <row r="362" spans="1:9" x14ac:dyDescent="0.25">
      <c r="A362" t="s">
        <v>7401</v>
      </c>
      <c r="C362" s="3" t="str">
        <f>HYPERLINK("http://amigo.geneontology.org/amigo/term/GO:0016903","GO:0016903")</f>
        <v>GO:0016903</v>
      </c>
      <c r="D362" t="s">
        <v>992</v>
      </c>
      <c r="E362">
        <v>182</v>
      </c>
      <c r="F362">
        <v>6</v>
      </c>
      <c r="G362">
        <v>4.6861198337996401E-2</v>
      </c>
      <c r="H362">
        <v>0.56233438005595704</v>
      </c>
      <c r="I362" t="s">
        <v>9197</v>
      </c>
    </row>
    <row r="363" spans="1:9" x14ac:dyDescent="0.25">
      <c r="A363" t="s">
        <v>9198</v>
      </c>
      <c r="C363" s="3" t="str">
        <f>HYPERLINK("http://amigo.geneontology.org/amigo/term/GO:0017171","GO:0017171")</f>
        <v>GO:0017171</v>
      </c>
      <c r="D363" t="s">
        <v>1186</v>
      </c>
      <c r="E363">
        <v>759</v>
      </c>
      <c r="F363">
        <v>17</v>
      </c>
      <c r="G363">
        <v>4.6903813832338201E-2</v>
      </c>
      <c r="H363">
        <v>0.56284576598805902</v>
      </c>
      <c r="I363" t="s">
        <v>9199</v>
      </c>
    </row>
    <row r="364" spans="1:9" x14ac:dyDescent="0.25">
      <c r="A364" t="s">
        <v>7403</v>
      </c>
      <c r="C364" s="3" t="str">
        <f>HYPERLINK("http://amigo.geneontology.org/amigo/term/GO:0008236","GO:0008236")</f>
        <v>GO:0008236</v>
      </c>
      <c r="D364" t="s">
        <v>1189</v>
      </c>
      <c r="E364">
        <v>759</v>
      </c>
      <c r="F364">
        <v>17</v>
      </c>
      <c r="G364">
        <v>4.6903813832338201E-2</v>
      </c>
      <c r="H364">
        <v>0.56284576598805902</v>
      </c>
      <c r="I364" t="s">
        <v>9199</v>
      </c>
    </row>
    <row r="365" spans="1:9" x14ac:dyDescent="0.25">
      <c r="A365" t="s">
        <v>7405</v>
      </c>
      <c r="C365" s="3" t="str">
        <f>HYPERLINK("http://amigo.geneontology.org/amigo/term/GO:0071236","GO:0071236")</f>
        <v>GO:0071236</v>
      </c>
      <c r="D365" t="s">
        <v>1382</v>
      </c>
      <c r="E365">
        <v>96</v>
      </c>
      <c r="F365">
        <v>4</v>
      </c>
      <c r="G365">
        <v>4.86159694672718E-2</v>
      </c>
      <c r="H365">
        <v>0.58339163360726198</v>
      </c>
      <c r="I365" t="s">
        <v>7267</v>
      </c>
    </row>
    <row r="366" spans="1:9" x14ac:dyDescent="0.25">
      <c r="A366" t="s">
        <v>9200</v>
      </c>
      <c r="C366" s="3" t="str">
        <f>HYPERLINK("http://amigo.geneontology.org/amigo/term/GO:0003993","GO:0003993")</f>
        <v>GO:0003993</v>
      </c>
      <c r="D366" t="s">
        <v>1377</v>
      </c>
      <c r="E366">
        <v>139</v>
      </c>
      <c r="F366">
        <v>5</v>
      </c>
      <c r="G366">
        <v>4.9275362257478E-2</v>
      </c>
      <c r="H366">
        <v>0.591304347089736</v>
      </c>
      <c r="I366" t="s">
        <v>9201</v>
      </c>
    </row>
    <row r="367" spans="1:9" x14ac:dyDescent="0.25">
      <c r="A367" t="s">
        <v>7406</v>
      </c>
    </row>
    <row r="368" spans="1:9" x14ac:dyDescent="0.25">
      <c r="A368" t="s">
        <v>7407</v>
      </c>
    </row>
    <row r="369" spans="1:1" x14ac:dyDescent="0.25">
      <c r="A369" t="s">
        <v>9202</v>
      </c>
    </row>
    <row r="370" spans="1:1" x14ac:dyDescent="0.25">
      <c r="A370" t="s">
        <v>7408</v>
      </c>
    </row>
    <row r="371" spans="1:1" x14ac:dyDescent="0.25">
      <c r="A371" t="s">
        <v>7409</v>
      </c>
    </row>
    <row r="372" spans="1:1" x14ac:dyDescent="0.25">
      <c r="A372" t="s">
        <v>9203</v>
      </c>
    </row>
    <row r="373" spans="1:1" x14ac:dyDescent="0.25">
      <c r="A373" t="s">
        <v>7412</v>
      </c>
    </row>
    <row r="374" spans="1:1" x14ac:dyDescent="0.25">
      <c r="A374" t="s">
        <v>9204</v>
      </c>
    </row>
    <row r="375" spans="1:1" x14ac:dyDescent="0.25">
      <c r="A375" t="s">
        <v>7414</v>
      </c>
    </row>
    <row r="376" spans="1:1" x14ac:dyDescent="0.25">
      <c r="A376" t="s">
        <v>9205</v>
      </c>
    </row>
    <row r="377" spans="1:1" x14ac:dyDescent="0.25">
      <c r="A377" t="s">
        <v>7416</v>
      </c>
    </row>
    <row r="378" spans="1:1" x14ac:dyDescent="0.25">
      <c r="A378" t="s">
        <v>7419</v>
      </c>
    </row>
    <row r="379" spans="1:1" x14ac:dyDescent="0.25">
      <c r="A379" t="s">
        <v>9206</v>
      </c>
    </row>
    <row r="380" spans="1:1" x14ac:dyDescent="0.25">
      <c r="A380" t="s">
        <v>9207</v>
      </c>
    </row>
    <row r="381" spans="1:1" x14ac:dyDescent="0.25">
      <c r="A381" t="s">
        <v>7421</v>
      </c>
    </row>
    <row r="382" spans="1:1" x14ac:dyDescent="0.25">
      <c r="A382" t="s">
        <v>7424</v>
      </c>
    </row>
    <row r="383" spans="1:1" x14ac:dyDescent="0.25">
      <c r="A383" t="s">
        <v>7426</v>
      </c>
    </row>
    <row r="384" spans="1:1" x14ac:dyDescent="0.25">
      <c r="A384" t="s">
        <v>7429</v>
      </c>
    </row>
    <row r="385" spans="1:1" x14ac:dyDescent="0.25">
      <c r="A385" t="s">
        <v>7431</v>
      </c>
    </row>
    <row r="386" spans="1:1" x14ac:dyDescent="0.25">
      <c r="A386" t="s">
        <v>9208</v>
      </c>
    </row>
    <row r="387" spans="1:1" x14ac:dyDescent="0.25">
      <c r="A387" t="s">
        <v>7434</v>
      </c>
    </row>
    <row r="388" spans="1:1" x14ac:dyDescent="0.25">
      <c r="A388" t="s">
        <v>7436</v>
      </c>
    </row>
    <row r="389" spans="1:1" x14ac:dyDescent="0.25">
      <c r="A389" t="s">
        <v>7438</v>
      </c>
    </row>
    <row r="390" spans="1:1" x14ac:dyDescent="0.25">
      <c r="A390" t="s">
        <v>7440</v>
      </c>
    </row>
    <row r="391" spans="1:1" x14ac:dyDescent="0.25">
      <c r="A391" t="s">
        <v>7441</v>
      </c>
    </row>
    <row r="392" spans="1:1" x14ac:dyDescent="0.25">
      <c r="A392" t="s">
        <v>7443</v>
      </c>
    </row>
    <row r="393" spans="1:1" x14ac:dyDescent="0.25">
      <c r="A393" t="s">
        <v>9209</v>
      </c>
    </row>
    <row r="394" spans="1:1" x14ac:dyDescent="0.25">
      <c r="A394" t="s">
        <v>9210</v>
      </c>
    </row>
    <row r="395" spans="1:1" x14ac:dyDescent="0.25">
      <c r="A395" t="s">
        <v>7446</v>
      </c>
    </row>
    <row r="396" spans="1:1" x14ac:dyDescent="0.25">
      <c r="A396" t="s">
        <v>9211</v>
      </c>
    </row>
    <row r="397" spans="1:1" x14ac:dyDescent="0.25">
      <c r="A397" t="s">
        <v>7448</v>
      </c>
    </row>
    <row r="398" spans="1:1" x14ac:dyDescent="0.25">
      <c r="A398" t="s">
        <v>7450</v>
      </c>
    </row>
    <row r="399" spans="1:1" x14ac:dyDescent="0.25">
      <c r="A399" t="s">
        <v>7452</v>
      </c>
    </row>
    <row r="400" spans="1:1" x14ac:dyDescent="0.25">
      <c r="A400" t="s">
        <v>7454</v>
      </c>
    </row>
    <row r="401" spans="1:1" x14ac:dyDescent="0.25">
      <c r="A401" t="s">
        <v>7457</v>
      </c>
    </row>
    <row r="402" spans="1:1" x14ac:dyDescent="0.25">
      <c r="A402" t="s">
        <v>9212</v>
      </c>
    </row>
    <row r="403" spans="1:1" x14ac:dyDescent="0.25">
      <c r="A403" t="s">
        <v>7459</v>
      </c>
    </row>
    <row r="404" spans="1:1" x14ac:dyDescent="0.25">
      <c r="A404" t="s">
        <v>7462</v>
      </c>
    </row>
    <row r="405" spans="1:1" x14ac:dyDescent="0.25">
      <c r="A405" t="s">
        <v>9213</v>
      </c>
    </row>
    <row r="406" spans="1:1" x14ac:dyDescent="0.25">
      <c r="A406" t="s">
        <v>7464</v>
      </c>
    </row>
    <row r="407" spans="1:1" x14ac:dyDescent="0.25">
      <c r="A407" t="s">
        <v>7466</v>
      </c>
    </row>
    <row r="408" spans="1:1" x14ac:dyDescent="0.25">
      <c r="A408" t="s">
        <v>7468</v>
      </c>
    </row>
    <row r="409" spans="1:1" x14ac:dyDescent="0.25">
      <c r="A409" t="s">
        <v>7470</v>
      </c>
    </row>
    <row r="410" spans="1:1" x14ac:dyDescent="0.25">
      <c r="A410" t="s">
        <v>7472</v>
      </c>
    </row>
    <row r="411" spans="1:1" x14ac:dyDescent="0.25">
      <c r="A411" t="s">
        <v>9214</v>
      </c>
    </row>
    <row r="412" spans="1:1" x14ac:dyDescent="0.25">
      <c r="A412" t="s">
        <v>7474</v>
      </c>
    </row>
    <row r="413" spans="1:1" x14ac:dyDescent="0.25">
      <c r="A413" t="s">
        <v>9215</v>
      </c>
    </row>
    <row r="414" spans="1:1" x14ac:dyDescent="0.25">
      <c r="A414" t="s">
        <v>9216</v>
      </c>
    </row>
    <row r="415" spans="1:1" x14ac:dyDescent="0.25">
      <c r="A415" t="s">
        <v>7477</v>
      </c>
    </row>
    <row r="416" spans="1:1" x14ac:dyDescent="0.25">
      <c r="A416" t="s">
        <v>7478</v>
      </c>
    </row>
    <row r="417" spans="1:1" x14ac:dyDescent="0.25">
      <c r="A417" t="s">
        <v>7480</v>
      </c>
    </row>
    <row r="418" spans="1:1" x14ac:dyDescent="0.25">
      <c r="A418" t="s">
        <v>7482</v>
      </c>
    </row>
    <row r="419" spans="1:1" x14ac:dyDescent="0.25">
      <c r="A419" t="s">
        <v>9217</v>
      </c>
    </row>
    <row r="420" spans="1:1" x14ac:dyDescent="0.25">
      <c r="A420" t="s">
        <v>7484</v>
      </c>
    </row>
    <row r="421" spans="1:1" x14ac:dyDescent="0.25">
      <c r="A421" t="s">
        <v>9218</v>
      </c>
    </row>
    <row r="422" spans="1:1" x14ac:dyDescent="0.25">
      <c r="A422" t="s">
        <v>9219</v>
      </c>
    </row>
    <row r="423" spans="1:1" x14ac:dyDescent="0.25">
      <c r="A423" t="s">
        <v>7486</v>
      </c>
    </row>
    <row r="424" spans="1:1" x14ac:dyDescent="0.25">
      <c r="A424" t="s">
        <v>9220</v>
      </c>
    </row>
    <row r="425" spans="1:1" x14ac:dyDescent="0.25">
      <c r="A425" t="s">
        <v>7488</v>
      </c>
    </row>
    <row r="426" spans="1:1" x14ac:dyDescent="0.25">
      <c r="A426" t="s">
        <v>9221</v>
      </c>
    </row>
    <row r="427" spans="1:1" x14ac:dyDescent="0.25">
      <c r="A427" t="s">
        <v>7490</v>
      </c>
    </row>
    <row r="428" spans="1:1" x14ac:dyDescent="0.25">
      <c r="A428" t="s">
        <v>7492</v>
      </c>
    </row>
    <row r="429" spans="1:1" x14ac:dyDescent="0.25">
      <c r="A429" t="s">
        <v>7494</v>
      </c>
    </row>
    <row r="430" spans="1:1" x14ac:dyDescent="0.25">
      <c r="A430" t="s">
        <v>9222</v>
      </c>
    </row>
    <row r="431" spans="1:1" x14ac:dyDescent="0.25">
      <c r="A431" t="s">
        <v>9223</v>
      </c>
    </row>
    <row r="432" spans="1:1" x14ac:dyDescent="0.25">
      <c r="A432" t="s">
        <v>7496</v>
      </c>
    </row>
    <row r="433" spans="1:1" x14ac:dyDescent="0.25">
      <c r="A433" t="s">
        <v>9224</v>
      </c>
    </row>
    <row r="434" spans="1:1" x14ac:dyDescent="0.25">
      <c r="A434" t="s">
        <v>9225</v>
      </c>
    </row>
    <row r="435" spans="1:1" x14ac:dyDescent="0.25">
      <c r="A435" t="s">
        <v>7498</v>
      </c>
    </row>
    <row r="436" spans="1:1" x14ac:dyDescent="0.25">
      <c r="A436" t="s">
        <v>9226</v>
      </c>
    </row>
    <row r="437" spans="1:1" x14ac:dyDescent="0.25">
      <c r="A437" t="s">
        <v>9227</v>
      </c>
    </row>
    <row r="438" spans="1:1" x14ac:dyDescent="0.25">
      <c r="A438" t="s">
        <v>9228</v>
      </c>
    </row>
    <row r="439" spans="1:1" x14ac:dyDescent="0.25">
      <c r="A439" t="s">
        <v>9229</v>
      </c>
    </row>
    <row r="440" spans="1:1" x14ac:dyDescent="0.25">
      <c r="A440" t="s">
        <v>9230</v>
      </c>
    </row>
    <row r="441" spans="1:1" x14ac:dyDescent="0.25">
      <c r="A441" t="s">
        <v>7501</v>
      </c>
    </row>
    <row r="442" spans="1:1" x14ac:dyDescent="0.25">
      <c r="A442" t="s">
        <v>7503</v>
      </c>
    </row>
    <row r="443" spans="1:1" x14ac:dyDescent="0.25">
      <c r="A443" t="s">
        <v>7505</v>
      </c>
    </row>
    <row r="444" spans="1:1" x14ac:dyDescent="0.25">
      <c r="A444" t="s">
        <v>9231</v>
      </c>
    </row>
    <row r="445" spans="1:1" x14ac:dyDescent="0.25">
      <c r="A445" t="s">
        <v>9232</v>
      </c>
    </row>
    <row r="446" spans="1:1" x14ac:dyDescent="0.25">
      <c r="A446" t="s">
        <v>7507</v>
      </c>
    </row>
    <row r="447" spans="1:1" x14ac:dyDescent="0.25">
      <c r="A447" t="s">
        <v>7509</v>
      </c>
    </row>
    <row r="448" spans="1:1" x14ac:dyDescent="0.25">
      <c r="A448" t="s">
        <v>7510</v>
      </c>
    </row>
    <row r="449" spans="1:1" x14ac:dyDescent="0.25">
      <c r="A449" t="s">
        <v>9233</v>
      </c>
    </row>
    <row r="450" spans="1:1" x14ac:dyDescent="0.25">
      <c r="A450" t="s">
        <v>7511</v>
      </c>
    </row>
    <row r="451" spans="1:1" x14ac:dyDescent="0.25">
      <c r="A451" t="s">
        <v>7512</v>
      </c>
    </row>
    <row r="452" spans="1:1" x14ac:dyDescent="0.25">
      <c r="A452" t="s">
        <v>9234</v>
      </c>
    </row>
    <row r="453" spans="1:1" x14ac:dyDescent="0.25">
      <c r="A453" t="s">
        <v>9066</v>
      </c>
    </row>
    <row r="454" spans="1:1" x14ac:dyDescent="0.25">
      <c r="A454" t="s">
        <v>7515</v>
      </c>
    </row>
    <row r="455" spans="1:1" x14ac:dyDescent="0.25">
      <c r="A455" t="s">
        <v>7517</v>
      </c>
    </row>
    <row r="456" spans="1:1" x14ac:dyDescent="0.25">
      <c r="A456" t="s">
        <v>7519</v>
      </c>
    </row>
    <row r="457" spans="1:1" x14ac:dyDescent="0.25">
      <c r="A457" t="s">
        <v>9235</v>
      </c>
    </row>
    <row r="458" spans="1:1" x14ac:dyDescent="0.25">
      <c r="A458" t="s">
        <v>9236</v>
      </c>
    </row>
    <row r="459" spans="1:1" x14ac:dyDescent="0.25">
      <c r="A459" t="s">
        <v>7522</v>
      </c>
    </row>
    <row r="460" spans="1:1" x14ac:dyDescent="0.25">
      <c r="A460" t="s">
        <v>9237</v>
      </c>
    </row>
    <row r="461" spans="1:1" x14ac:dyDescent="0.25">
      <c r="A461" t="s">
        <v>9238</v>
      </c>
    </row>
    <row r="462" spans="1:1" x14ac:dyDescent="0.25">
      <c r="A462" t="s">
        <v>7524</v>
      </c>
    </row>
    <row r="463" spans="1:1" x14ac:dyDescent="0.25">
      <c r="A463" t="s">
        <v>9239</v>
      </c>
    </row>
    <row r="464" spans="1:1" x14ac:dyDescent="0.25">
      <c r="A464" t="s">
        <v>7526</v>
      </c>
    </row>
    <row r="465" spans="1:1" x14ac:dyDescent="0.25">
      <c r="A465" t="s">
        <v>9240</v>
      </c>
    </row>
    <row r="466" spans="1:1" x14ac:dyDescent="0.25">
      <c r="A466" t="s">
        <v>9241</v>
      </c>
    </row>
    <row r="467" spans="1:1" x14ac:dyDescent="0.25">
      <c r="A467" t="s">
        <v>7529</v>
      </c>
    </row>
    <row r="468" spans="1:1" x14ac:dyDescent="0.25">
      <c r="A468" t="s">
        <v>9242</v>
      </c>
    </row>
    <row r="469" spans="1:1" x14ac:dyDescent="0.25">
      <c r="A469" t="s">
        <v>9243</v>
      </c>
    </row>
    <row r="470" spans="1:1" x14ac:dyDescent="0.25">
      <c r="A470" t="s">
        <v>7531</v>
      </c>
    </row>
    <row r="471" spans="1:1" x14ac:dyDescent="0.25">
      <c r="A471" t="s">
        <v>7532</v>
      </c>
    </row>
    <row r="472" spans="1:1" x14ac:dyDescent="0.25">
      <c r="A472" t="s">
        <v>7533</v>
      </c>
    </row>
    <row r="473" spans="1:1" x14ac:dyDescent="0.25">
      <c r="A473" t="s">
        <v>7534</v>
      </c>
    </row>
    <row r="474" spans="1:1" x14ac:dyDescent="0.25">
      <c r="A474" t="s">
        <v>9244</v>
      </c>
    </row>
    <row r="475" spans="1:1" x14ac:dyDescent="0.25">
      <c r="A475" t="s">
        <v>7535</v>
      </c>
    </row>
    <row r="476" spans="1:1" x14ac:dyDescent="0.25">
      <c r="A476" t="s">
        <v>7536</v>
      </c>
    </row>
    <row r="477" spans="1:1" x14ac:dyDescent="0.25">
      <c r="A477" t="s">
        <v>9245</v>
      </c>
    </row>
    <row r="478" spans="1:1" x14ac:dyDescent="0.25">
      <c r="A478" t="s">
        <v>7537</v>
      </c>
    </row>
    <row r="479" spans="1:1" x14ac:dyDescent="0.25">
      <c r="A479" t="s">
        <v>9246</v>
      </c>
    </row>
    <row r="480" spans="1:1" x14ac:dyDescent="0.25">
      <c r="A480" t="s">
        <v>7538</v>
      </c>
    </row>
    <row r="481" spans="1:1" x14ac:dyDescent="0.25">
      <c r="A481" t="s">
        <v>7539</v>
      </c>
    </row>
    <row r="482" spans="1:1" x14ac:dyDescent="0.25">
      <c r="A482" t="s">
        <v>9247</v>
      </c>
    </row>
    <row r="483" spans="1:1" x14ac:dyDescent="0.25">
      <c r="A483" t="s">
        <v>9248</v>
      </c>
    </row>
    <row r="484" spans="1:1" x14ac:dyDescent="0.25">
      <c r="A484" t="s">
        <v>7542</v>
      </c>
    </row>
    <row r="485" spans="1:1" x14ac:dyDescent="0.25">
      <c r="A485" t="s">
        <v>7544</v>
      </c>
    </row>
    <row r="486" spans="1:1" x14ac:dyDescent="0.25">
      <c r="A486" t="s">
        <v>7546</v>
      </c>
    </row>
    <row r="487" spans="1:1" x14ac:dyDescent="0.25">
      <c r="A487" t="s">
        <v>7549</v>
      </c>
    </row>
    <row r="488" spans="1:1" x14ac:dyDescent="0.25">
      <c r="A488" t="s">
        <v>9249</v>
      </c>
    </row>
    <row r="489" spans="1:1" x14ac:dyDescent="0.25">
      <c r="A489" t="s">
        <v>7551</v>
      </c>
    </row>
    <row r="490" spans="1:1" x14ac:dyDescent="0.25">
      <c r="A490" t="s">
        <v>9250</v>
      </c>
    </row>
    <row r="491" spans="1:1" x14ac:dyDescent="0.25">
      <c r="A491" t="s">
        <v>9251</v>
      </c>
    </row>
    <row r="492" spans="1:1" x14ac:dyDescent="0.25">
      <c r="A492" t="s">
        <v>7553</v>
      </c>
    </row>
    <row r="493" spans="1:1" x14ac:dyDescent="0.25">
      <c r="A493" t="s">
        <v>7556</v>
      </c>
    </row>
    <row r="494" spans="1:1" x14ac:dyDescent="0.25">
      <c r="A494" t="s">
        <v>7559</v>
      </c>
    </row>
    <row r="495" spans="1:1" x14ac:dyDescent="0.25">
      <c r="A495" t="s">
        <v>7562</v>
      </c>
    </row>
    <row r="496" spans="1:1" x14ac:dyDescent="0.25">
      <c r="A496" t="s">
        <v>7565</v>
      </c>
    </row>
    <row r="497" spans="1:1" x14ac:dyDescent="0.25">
      <c r="A497" t="s">
        <v>9252</v>
      </c>
    </row>
    <row r="498" spans="1:1" x14ac:dyDescent="0.25">
      <c r="A498" t="s">
        <v>7568</v>
      </c>
    </row>
    <row r="499" spans="1:1" x14ac:dyDescent="0.25">
      <c r="A499" t="s">
        <v>9253</v>
      </c>
    </row>
    <row r="500" spans="1:1" x14ac:dyDescent="0.25">
      <c r="A500" t="s">
        <v>9254</v>
      </c>
    </row>
    <row r="501" spans="1:1" x14ac:dyDescent="0.25">
      <c r="A501" t="s">
        <v>9255</v>
      </c>
    </row>
    <row r="502" spans="1:1" x14ac:dyDescent="0.25">
      <c r="A502" t="s">
        <v>9256</v>
      </c>
    </row>
    <row r="503" spans="1:1" x14ac:dyDescent="0.25">
      <c r="A503" t="s">
        <v>9257</v>
      </c>
    </row>
    <row r="504" spans="1:1" x14ac:dyDescent="0.25">
      <c r="A504" t="s">
        <v>7569</v>
      </c>
    </row>
    <row r="505" spans="1:1" x14ac:dyDescent="0.25">
      <c r="A505" t="s">
        <v>7571</v>
      </c>
    </row>
    <row r="506" spans="1:1" x14ac:dyDescent="0.25">
      <c r="A506" t="s">
        <v>9258</v>
      </c>
    </row>
    <row r="507" spans="1:1" x14ac:dyDescent="0.25">
      <c r="A507" t="s">
        <v>7574</v>
      </c>
    </row>
    <row r="508" spans="1:1" x14ac:dyDescent="0.25">
      <c r="A508" t="s">
        <v>7576</v>
      </c>
    </row>
    <row r="509" spans="1:1" x14ac:dyDescent="0.25">
      <c r="A509" t="s">
        <v>9259</v>
      </c>
    </row>
    <row r="510" spans="1:1" x14ac:dyDescent="0.25">
      <c r="A510" t="s">
        <v>9260</v>
      </c>
    </row>
    <row r="511" spans="1:1" x14ac:dyDescent="0.25">
      <c r="A511" t="s">
        <v>7578</v>
      </c>
    </row>
    <row r="512" spans="1:1" x14ac:dyDescent="0.25">
      <c r="A512" t="s">
        <v>7580</v>
      </c>
    </row>
    <row r="513" spans="1:1" x14ac:dyDescent="0.25">
      <c r="A513" t="s">
        <v>7582</v>
      </c>
    </row>
    <row r="514" spans="1:1" x14ac:dyDescent="0.25">
      <c r="A514" t="s">
        <v>7584</v>
      </c>
    </row>
    <row r="515" spans="1:1" x14ac:dyDescent="0.25">
      <c r="A515" t="s">
        <v>9261</v>
      </c>
    </row>
    <row r="516" spans="1:1" x14ac:dyDescent="0.25">
      <c r="A516" t="s">
        <v>7585</v>
      </c>
    </row>
    <row r="517" spans="1:1" x14ac:dyDescent="0.25">
      <c r="A517" t="s">
        <v>7586</v>
      </c>
    </row>
    <row r="518" spans="1:1" x14ac:dyDescent="0.25">
      <c r="A518" t="s">
        <v>7587</v>
      </c>
    </row>
    <row r="519" spans="1:1" x14ac:dyDescent="0.25">
      <c r="A519" t="s">
        <v>7588</v>
      </c>
    </row>
    <row r="520" spans="1:1" x14ac:dyDescent="0.25">
      <c r="A520" t="s">
        <v>7589</v>
      </c>
    </row>
    <row r="521" spans="1:1" x14ac:dyDescent="0.25">
      <c r="A521" t="s">
        <v>7590</v>
      </c>
    </row>
    <row r="522" spans="1:1" x14ac:dyDescent="0.25">
      <c r="A522" t="s">
        <v>7591</v>
      </c>
    </row>
    <row r="523" spans="1:1" x14ac:dyDescent="0.25">
      <c r="A523" t="s">
        <v>7592</v>
      </c>
    </row>
    <row r="524" spans="1:1" x14ac:dyDescent="0.25">
      <c r="A524" t="s">
        <v>9262</v>
      </c>
    </row>
    <row r="525" spans="1:1" x14ac:dyDescent="0.25">
      <c r="A525" t="s">
        <v>7593</v>
      </c>
    </row>
    <row r="526" spans="1:1" x14ac:dyDescent="0.25">
      <c r="A526" t="s">
        <v>7594</v>
      </c>
    </row>
    <row r="527" spans="1:1" x14ac:dyDescent="0.25">
      <c r="A527" t="s">
        <v>9263</v>
      </c>
    </row>
    <row r="528" spans="1:1" x14ac:dyDescent="0.25">
      <c r="A528" t="s">
        <v>9264</v>
      </c>
    </row>
    <row r="529" spans="1:1" x14ac:dyDescent="0.25">
      <c r="A529" t="s">
        <v>9265</v>
      </c>
    </row>
    <row r="530" spans="1:1" x14ac:dyDescent="0.25">
      <c r="A530" t="s">
        <v>9266</v>
      </c>
    </row>
    <row r="531" spans="1:1" x14ac:dyDescent="0.25">
      <c r="A531" t="s">
        <v>8778</v>
      </c>
    </row>
    <row r="532" spans="1:1" x14ac:dyDescent="0.25">
      <c r="A532" t="s">
        <v>7595</v>
      </c>
    </row>
    <row r="533" spans="1:1" x14ac:dyDescent="0.25">
      <c r="A533" t="s">
        <v>9267</v>
      </c>
    </row>
    <row r="534" spans="1:1" x14ac:dyDescent="0.25">
      <c r="A534" t="s">
        <v>7596</v>
      </c>
    </row>
    <row r="535" spans="1:1" x14ac:dyDescent="0.25">
      <c r="A535" t="s">
        <v>7597</v>
      </c>
    </row>
    <row r="536" spans="1:1" x14ac:dyDescent="0.25">
      <c r="A536" t="s">
        <v>7598</v>
      </c>
    </row>
    <row r="537" spans="1:1" x14ac:dyDescent="0.25">
      <c r="A537" t="s">
        <v>7599</v>
      </c>
    </row>
    <row r="538" spans="1:1" x14ac:dyDescent="0.25">
      <c r="A538" t="s">
        <v>7600</v>
      </c>
    </row>
    <row r="539" spans="1:1" x14ac:dyDescent="0.25">
      <c r="A539" t="s">
        <v>9268</v>
      </c>
    </row>
    <row r="540" spans="1:1" x14ac:dyDescent="0.25">
      <c r="A540" t="s">
        <v>9269</v>
      </c>
    </row>
    <row r="541" spans="1:1" x14ac:dyDescent="0.25">
      <c r="A541" t="s">
        <v>7601</v>
      </c>
    </row>
    <row r="542" spans="1:1" x14ac:dyDescent="0.25">
      <c r="A542" t="s">
        <v>8780</v>
      </c>
    </row>
    <row r="543" spans="1:1" x14ac:dyDescent="0.25">
      <c r="A543" t="s">
        <v>7602</v>
      </c>
    </row>
    <row r="544" spans="1:1" x14ac:dyDescent="0.25">
      <c r="A544" t="s">
        <v>7603</v>
      </c>
    </row>
    <row r="545" spans="1:1" x14ac:dyDescent="0.25">
      <c r="A545" t="s">
        <v>7604</v>
      </c>
    </row>
    <row r="546" spans="1:1" x14ac:dyDescent="0.25">
      <c r="A546" t="s">
        <v>9270</v>
      </c>
    </row>
    <row r="547" spans="1:1" x14ac:dyDescent="0.25">
      <c r="A547" t="s">
        <v>7605</v>
      </c>
    </row>
    <row r="548" spans="1:1" x14ac:dyDescent="0.25">
      <c r="A548" t="s">
        <v>7606</v>
      </c>
    </row>
    <row r="549" spans="1:1" x14ac:dyDescent="0.25">
      <c r="A549" t="s">
        <v>9271</v>
      </c>
    </row>
    <row r="550" spans="1:1" x14ac:dyDescent="0.25">
      <c r="A550" t="s">
        <v>9272</v>
      </c>
    </row>
    <row r="551" spans="1:1" x14ac:dyDescent="0.25">
      <c r="A551" t="s">
        <v>7607</v>
      </c>
    </row>
    <row r="552" spans="1:1" x14ac:dyDescent="0.25">
      <c r="A552" t="s">
        <v>9273</v>
      </c>
    </row>
    <row r="553" spans="1:1" x14ac:dyDescent="0.25">
      <c r="A553" t="s">
        <v>7608</v>
      </c>
    </row>
    <row r="554" spans="1:1" x14ac:dyDescent="0.25">
      <c r="A554" t="s">
        <v>7609</v>
      </c>
    </row>
    <row r="555" spans="1:1" x14ac:dyDescent="0.25">
      <c r="A555" t="s">
        <v>7610</v>
      </c>
    </row>
    <row r="556" spans="1:1" x14ac:dyDescent="0.25">
      <c r="A556" t="s">
        <v>9274</v>
      </c>
    </row>
    <row r="557" spans="1:1" x14ac:dyDescent="0.25">
      <c r="A557" t="s">
        <v>9275</v>
      </c>
    </row>
    <row r="558" spans="1:1" x14ac:dyDescent="0.25">
      <c r="A558" t="s">
        <v>9276</v>
      </c>
    </row>
    <row r="559" spans="1:1" x14ac:dyDescent="0.25">
      <c r="A559" t="s">
        <v>7611</v>
      </c>
    </row>
    <row r="560" spans="1:1" x14ac:dyDescent="0.25">
      <c r="A560" t="s">
        <v>7612</v>
      </c>
    </row>
    <row r="561" spans="1:1" x14ac:dyDescent="0.25">
      <c r="A561" t="s">
        <v>7613</v>
      </c>
    </row>
    <row r="562" spans="1:1" x14ac:dyDescent="0.25">
      <c r="A562" t="s">
        <v>7614</v>
      </c>
    </row>
    <row r="563" spans="1:1" x14ac:dyDescent="0.25">
      <c r="A563" t="s">
        <v>7615</v>
      </c>
    </row>
    <row r="564" spans="1:1" x14ac:dyDescent="0.25">
      <c r="A564" t="s">
        <v>7616</v>
      </c>
    </row>
    <row r="565" spans="1:1" x14ac:dyDescent="0.25">
      <c r="A565" t="s">
        <v>7617</v>
      </c>
    </row>
    <row r="566" spans="1:1" x14ac:dyDescent="0.25">
      <c r="A566" t="s">
        <v>9277</v>
      </c>
    </row>
    <row r="567" spans="1:1" x14ac:dyDescent="0.25">
      <c r="A567" t="s">
        <v>7618</v>
      </c>
    </row>
    <row r="568" spans="1:1" x14ac:dyDescent="0.25">
      <c r="A568" t="s">
        <v>7619</v>
      </c>
    </row>
    <row r="569" spans="1:1" x14ac:dyDescent="0.25">
      <c r="A569" t="s">
        <v>7620</v>
      </c>
    </row>
    <row r="570" spans="1:1" x14ac:dyDescent="0.25">
      <c r="A570" t="s">
        <v>7621</v>
      </c>
    </row>
    <row r="571" spans="1:1" x14ac:dyDescent="0.25">
      <c r="A571" t="s">
        <v>9278</v>
      </c>
    </row>
    <row r="572" spans="1:1" x14ac:dyDescent="0.25">
      <c r="A572" t="s">
        <v>9279</v>
      </c>
    </row>
    <row r="573" spans="1:1" x14ac:dyDescent="0.25">
      <c r="A573" t="s">
        <v>9280</v>
      </c>
    </row>
    <row r="574" spans="1:1" x14ac:dyDescent="0.25">
      <c r="A574" t="s">
        <v>7622</v>
      </c>
    </row>
    <row r="575" spans="1:1" x14ac:dyDescent="0.25">
      <c r="A575" t="s">
        <v>7623</v>
      </c>
    </row>
    <row r="576" spans="1:1" x14ac:dyDescent="0.25">
      <c r="A576" t="s">
        <v>9281</v>
      </c>
    </row>
    <row r="577" spans="1:1" x14ac:dyDescent="0.25">
      <c r="A577" t="s">
        <v>7624</v>
      </c>
    </row>
    <row r="578" spans="1:1" x14ac:dyDescent="0.25">
      <c r="A578" t="s">
        <v>9282</v>
      </c>
    </row>
    <row r="579" spans="1:1" x14ac:dyDescent="0.25">
      <c r="A579" t="s">
        <v>7625</v>
      </c>
    </row>
    <row r="580" spans="1:1" x14ac:dyDescent="0.25">
      <c r="A580" t="s">
        <v>9283</v>
      </c>
    </row>
    <row r="581" spans="1:1" x14ac:dyDescent="0.25">
      <c r="A581" t="s">
        <v>7626</v>
      </c>
    </row>
    <row r="582" spans="1:1" x14ac:dyDescent="0.25">
      <c r="A582" t="s">
        <v>7627</v>
      </c>
    </row>
    <row r="583" spans="1:1" x14ac:dyDescent="0.25">
      <c r="A583" t="s">
        <v>7628</v>
      </c>
    </row>
    <row r="584" spans="1:1" x14ac:dyDescent="0.25">
      <c r="A584" t="s">
        <v>7629</v>
      </c>
    </row>
    <row r="585" spans="1:1" x14ac:dyDescent="0.25">
      <c r="A585" t="s">
        <v>9284</v>
      </c>
    </row>
    <row r="586" spans="1:1" x14ac:dyDescent="0.25">
      <c r="A586" t="s">
        <v>9285</v>
      </c>
    </row>
    <row r="587" spans="1:1" x14ac:dyDescent="0.25">
      <c r="A587" t="s">
        <v>7630</v>
      </c>
    </row>
    <row r="588" spans="1:1" x14ac:dyDescent="0.25">
      <c r="A588" t="s">
        <v>9286</v>
      </c>
    </row>
    <row r="589" spans="1:1" x14ac:dyDescent="0.25">
      <c r="A589" t="s">
        <v>9287</v>
      </c>
    </row>
    <row r="590" spans="1:1" x14ac:dyDescent="0.25">
      <c r="A590" t="s">
        <v>9288</v>
      </c>
    </row>
    <row r="591" spans="1:1" x14ac:dyDescent="0.25">
      <c r="A591" t="s">
        <v>9289</v>
      </c>
    </row>
    <row r="592" spans="1:1" x14ac:dyDescent="0.25">
      <c r="A592" t="s">
        <v>7631</v>
      </c>
    </row>
    <row r="593" spans="1:1" x14ac:dyDescent="0.25">
      <c r="A593" t="s">
        <v>7632</v>
      </c>
    </row>
    <row r="594" spans="1:1" x14ac:dyDescent="0.25">
      <c r="A594" t="s">
        <v>7633</v>
      </c>
    </row>
    <row r="595" spans="1:1" x14ac:dyDescent="0.25">
      <c r="A595" t="s">
        <v>7634</v>
      </c>
    </row>
    <row r="596" spans="1:1" x14ac:dyDescent="0.25">
      <c r="A596" t="s">
        <v>7635</v>
      </c>
    </row>
    <row r="597" spans="1:1" x14ac:dyDescent="0.25">
      <c r="A597" t="s">
        <v>9290</v>
      </c>
    </row>
    <row r="598" spans="1:1" x14ac:dyDescent="0.25">
      <c r="A598" t="s">
        <v>7636</v>
      </c>
    </row>
    <row r="599" spans="1:1" x14ac:dyDescent="0.25">
      <c r="A599" t="s">
        <v>9291</v>
      </c>
    </row>
    <row r="600" spans="1:1" x14ac:dyDescent="0.25">
      <c r="A600" t="s">
        <v>7637</v>
      </c>
    </row>
    <row r="601" spans="1:1" x14ac:dyDescent="0.25">
      <c r="A601" t="s">
        <v>9292</v>
      </c>
    </row>
    <row r="602" spans="1:1" x14ac:dyDescent="0.25">
      <c r="A602" t="s">
        <v>7638</v>
      </c>
    </row>
    <row r="603" spans="1:1" x14ac:dyDescent="0.25">
      <c r="A603" t="s">
        <v>7639</v>
      </c>
    </row>
    <row r="604" spans="1:1" x14ac:dyDescent="0.25">
      <c r="A604" t="s">
        <v>9293</v>
      </c>
    </row>
    <row r="605" spans="1:1" x14ac:dyDescent="0.25">
      <c r="A605" t="s">
        <v>7640</v>
      </c>
    </row>
    <row r="606" spans="1:1" x14ac:dyDescent="0.25">
      <c r="A606" t="s">
        <v>9294</v>
      </c>
    </row>
    <row r="607" spans="1:1" x14ac:dyDescent="0.25">
      <c r="A607" t="s">
        <v>9295</v>
      </c>
    </row>
    <row r="608" spans="1:1" x14ac:dyDescent="0.25">
      <c r="A608" t="s">
        <v>9296</v>
      </c>
    </row>
    <row r="609" spans="1:1" x14ac:dyDescent="0.25">
      <c r="A609" t="s">
        <v>9297</v>
      </c>
    </row>
    <row r="610" spans="1:1" x14ac:dyDescent="0.25">
      <c r="A610" t="s">
        <v>7641</v>
      </c>
    </row>
    <row r="611" spans="1:1" x14ac:dyDescent="0.25">
      <c r="A611" t="s">
        <v>9298</v>
      </c>
    </row>
    <row r="612" spans="1:1" x14ac:dyDescent="0.25">
      <c r="A612" t="s">
        <v>7642</v>
      </c>
    </row>
    <row r="613" spans="1:1" x14ac:dyDescent="0.25">
      <c r="A613" t="s">
        <v>7643</v>
      </c>
    </row>
    <row r="614" spans="1:1" x14ac:dyDescent="0.25">
      <c r="A614" t="s">
        <v>9299</v>
      </c>
    </row>
    <row r="615" spans="1:1" x14ac:dyDescent="0.25">
      <c r="A615" t="s">
        <v>7644</v>
      </c>
    </row>
    <row r="616" spans="1:1" x14ac:dyDescent="0.25">
      <c r="A616" t="s">
        <v>9300</v>
      </c>
    </row>
    <row r="617" spans="1:1" x14ac:dyDescent="0.25">
      <c r="A617" t="s">
        <v>7645</v>
      </c>
    </row>
    <row r="618" spans="1:1" x14ac:dyDescent="0.25">
      <c r="A618" t="s">
        <v>7646</v>
      </c>
    </row>
    <row r="619" spans="1:1" x14ac:dyDescent="0.25">
      <c r="A619" t="s">
        <v>7647</v>
      </c>
    </row>
    <row r="620" spans="1:1" x14ac:dyDescent="0.25">
      <c r="A620" t="s">
        <v>7648</v>
      </c>
    </row>
    <row r="621" spans="1:1" x14ac:dyDescent="0.25">
      <c r="A621" t="s">
        <v>7649</v>
      </c>
    </row>
    <row r="622" spans="1:1" x14ac:dyDescent="0.25">
      <c r="A622" t="s">
        <v>7650</v>
      </c>
    </row>
    <row r="623" spans="1:1" x14ac:dyDescent="0.25">
      <c r="A623" t="s">
        <v>7651</v>
      </c>
    </row>
    <row r="624" spans="1:1" x14ac:dyDescent="0.25">
      <c r="A624" t="s">
        <v>7652</v>
      </c>
    </row>
    <row r="625" spans="1:1" x14ac:dyDescent="0.25">
      <c r="A625" t="s">
        <v>7653</v>
      </c>
    </row>
    <row r="626" spans="1:1" x14ac:dyDescent="0.25">
      <c r="A626" t="s">
        <v>7654</v>
      </c>
    </row>
    <row r="627" spans="1:1" x14ac:dyDescent="0.25">
      <c r="A627" t="s">
        <v>9301</v>
      </c>
    </row>
    <row r="628" spans="1:1" x14ac:dyDescent="0.25">
      <c r="A628" t="s">
        <v>7655</v>
      </c>
    </row>
    <row r="629" spans="1:1" x14ac:dyDescent="0.25">
      <c r="A629" t="s">
        <v>9302</v>
      </c>
    </row>
    <row r="630" spans="1:1" x14ac:dyDescent="0.25">
      <c r="A630" t="s">
        <v>9303</v>
      </c>
    </row>
    <row r="631" spans="1:1" x14ac:dyDescent="0.25">
      <c r="A631" t="s">
        <v>9304</v>
      </c>
    </row>
    <row r="632" spans="1:1" x14ac:dyDescent="0.25">
      <c r="A632" t="s">
        <v>7656</v>
      </c>
    </row>
    <row r="633" spans="1:1" x14ac:dyDescent="0.25">
      <c r="A633" t="s">
        <v>9305</v>
      </c>
    </row>
    <row r="634" spans="1:1" x14ac:dyDescent="0.25">
      <c r="A634" t="s">
        <v>7657</v>
      </c>
    </row>
    <row r="635" spans="1:1" x14ac:dyDescent="0.25">
      <c r="A635" t="s">
        <v>9306</v>
      </c>
    </row>
    <row r="636" spans="1:1" x14ac:dyDescent="0.25">
      <c r="A636" t="s">
        <v>7658</v>
      </c>
    </row>
    <row r="637" spans="1:1" x14ac:dyDescent="0.25">
      <c r="A637" t="s">
        <v>9307</v>
      </c>
    </row>
    <row r="638" spans="1:1" x14ac:dyDescent="0.25">
      <c r="A638" t="s">
        <v>7659</v>
      </c>
    </row>
    <row r="639" spans="1:1" x14ac:dyDescent="0.25">
      <c r="A639" t="s">
        <v>9308</v>
      </c>
    </row>
    <row r="640" spans="1:1" x14ac:dyDescent="0.25">
      <c r="A640" t="s">
        <v>9309</v>
      </c>
    </row>
    <row r="641" spans="1:1" x14ac:dyDescent="0.25">
      <c r="A641" t="s">
        <v>7660</v>
      </c>
    </row>
    <row r="642" spans="1:1" x14ac:dyDescent="0.25">
      <c r="A642" t="s">
        <v>7661</v>
      </c>
    </row>
    <row r="643" spans="1:1" x14ac:dyDescent="0.25">
      <c r="A643" t="s">
        <v>7662</v>
      </c>
    </row>
    <row r="644" spans="1:1" x14ac:dyDescent="0.25">
      <c r="A644" t="s">
        <v>9310</v>
      </c>
    </row>
    <row r="645" spans="1:1" x14ac:dyDescent="0.25">
      <c r="A645" t="s">
        <v>7663</v>
      </c>
    </row>
    <row r="646" spans="1:1" x14ac:dyDescent="0.25">
      <c r="A646" t="s">
        <v>7664</v>
      </c>
    </row>
    <row r="647" spans="1:1" x14ac:dyDescent="0.25">
      <c r="A647" t="s">
        <v>9311</v>
      </c>
    </row>
    <row r="648" spans="1:1" x14ac:dyDescent="0.25">
      <c r="A648" t="s">
        <v>7665</v>
      </c>
    </row>
    <row r="649" spans="1:1" x14ac:dyDescent="0.25">
      <c r="A649" t="s">
        <v>9312</v>
      </c>
    </row>
    <row r="650" spans="1:1" x14ac:dyDescent="0.25">
      <c r="A650" t="s">
        <v>9313</v>
      </c>
    </row>
    <row r="651" spans="1:1" x14ac:dyDescent="0.25">
      <c r="A651" t="s">
        <v>9314</v>
      </c>
    </row>
    <row r="652" spans="1:1" x14ac:dyDescent="0.25">
      <c r="A652" t="s">
        <v>9315</v>
      </c>
    </row>
    <row r="653" spans="1:1" x14ac:dyDescent="0.25">
      <c r="A653" t="s">
        <v>9316</v>
      </c>
    </row>
    <row r="654" spans="1:1" x14ac:dyDescent="0.25">
      <c r="A654" t="s">
        <v>7666</v>
      </c>
    </row>
    <row r="655" spans="1:1" x14ac:dyDescent="0.25">
      <c r="A655" t="s">
        <v>7667</v>
      </c>
    </row>
    <row r="656" spans="1:1" x14ac:dyDescent="0.25">
      <c r="A656" t="s">
        <v>9317</v>
      </c>
    </row>
    <row r="657" spans="1:1" x14ac:dyDescent="0.25">
      <c r="A657" t="s">
        <v>7668</v>
      </c>
    </row>
    <row r="658" spans="1:1" x14ac:dyDescent="0.25">
      <c r="A658" t="s">
        <v>7669</v>
      </c>
    </row>
    <row r="659" spans="1:1" x14ac:dyDescent="0.25">
      <c r="A659" t="s">
        <v>9318</v>
      </c>
    </row>
    <row r="660" spans="1:1" x14ac:dyDescent="0.25">
      <c r="A660" t="s">
        <v>7670</v>
      </c>
    </row>
    <row r="661" spans="1:1" x14ac:dyDescent="0.25">
      <c r="A661" t="s">
        <v>7671</v>
      </c>
    </row>
    <row r="662" spans="1:1" x14ac:dyDescent="0.25">
      <c r="A662" t="s">
        <v>7672</v>
      </c>
    </row>
    <row r="663" spans="1:1" x14ac:dyDescent="0.25">
      <c r="A663" t="s">
        <v>9319</v>
      </c>
    </row>
    <row r="664" spans="1:1" x14ac:dyDescent="0.25">
      <c r="A664" t="s">
        <v>9068</v>
      </c>
    </row>
    <row r="665" spans="1:1" x14ac:dyDescent="0.25">
      <c r="A665" t="s">
        <v>7673</v>
      </c>
    </row>
    <row r="666" spans="1:1" x14ac:dyDescent="0.25">
      <c r="A666" t="s">
        <v>9320</v>
      </c>
    </row>
    <row r="667" spans="1:1" x14ac:dyDescent="0.25">
      <c r="A667" t="s">
        <v>9321</v>
      </c>
    </row>
    <row r="668" spans="1:1" x14ac:dyDescent="0.25">
      <c r="A668" t="s">
        <v>9322</v>
      </c>
    </row>
    <row r="669" spans="1:1" x14ac:dyDescent="0.25">
      <c r="A669" t="s">
        <v>7674</v>
      </c>
    </row>
    <row r="670" spans="1:1" x14ac:dyDescent="0.25">
      <c r="A670" t="s">
        <v>9323</v>
      </c>
    </row>
    <row r="671" spans="1:1" x14ac:dyDescent="0.25">
      <c r="A671" t="s">
        <v>9324</v>
      </c>
    </row>
    <row r="672" spans="1:1" x14ac:dyDescent="0.25">
      <c r="A672" t="s">
        <v>7675</v>
      </c>
    </row>
    <row r="673" spans="1:1" x14ac:dyDescent="0.25">
      <c r="A673" t="s">
        <v>7676</v>
      </c>
    </row>
    <row r="674" spans="1:1" x14ac:dyDescent="0.25">
      <c r="A674" t="s">
        <v>7677</v>
      </c>
    </row>
    <row r="675" spans="1:1" x14ac:dyDescent="0.25">
      <c r="A675" t="s">
        <v>7678</v>
      </c>
    </row>
    <row r="676" spans="1:1" x14ac:dyDescent="0.25">
      <c r="A676" t="s">
        <v>9325</v>
      </c>
    </row>
    <row r="677" spans="1:1" x14ac:dyDescent="0.25">
      <c r="A677" t="s">
        <v>7679</v>
      </c>
    </row>
    <row r="678" spans="1:1" x14ac:dyDescent="0.25">
      <c r="A678" t="s">
        <v>7680</v>
      </c>
    </row>
    <row r="679" spans="1:1" x14ac:dyDescent="0.25">
      <c r="A679" t="s">
        <v>7681</v>
      </c>
    </row>
    <row r="680" spans="1:1" x14ac:dyDescent="0.25">
      <c r="A680" t="s">
        <v>7682</v>
      </c>
    </row>
    <row r="681" spans="1:1" x14ac:dyDescent="0.25">
      <c r="A681" t="s">
        <v>7683</v>
      </c>
    </row>
    <row r="682" spans="1:1" x14ac:dyDescent="0.25">
      <c r="A682" t="s">
        <v>7684</v>
      </c>
    </row>
    <row r="683" spans="1:1" x14ac:dyDescent="0.25">
      <c r="A683" t="s">
        <v>7685</v>
      </c>
    </row>
    <row r="684" spans="1:1" x14ac:dyDescent="0.25">
      <c r="A684" t="s">
        <v>7686</v>
      </c>
    </row>
    <row r="685" spans="1:1" x14ac:dyDescent="0.25">
      <c r="A685" t="s">
        <v>7687</v>
      </c>
    </row>
    <row r="686" spans="1:1" x14ac:dyDescent="0.25">
      <c r="A686" t="s">
        <v>9326</v>
      </c>
    </row>
    <row r="687" spans="1:1" x14ac:dyDescent="0.25">
      <c r="A687" t="s">
        <v>9327</v>
      </c>
    </row>
    <row r="688" spans="1:1" x14ac:dyDescent="0.25">
      <c r="A688" t="s">
        <v>7688</v>
      </c>
    </row>
    <row r="689" spans="1:1" x14ac:dyDescent="0.25">
      <c r="A689" t="s">
        <v>9328</v>
      </c>
    </row>
    <row r="690" spans="1:1" x14ac:dyDescent="0.25">
      <c r="A690" t="s">
        <v>7689</v>
      </c>
    </row>
    <row r="691" spans="1:1" x14ac:dyDescent="0.25">
      <c r="A691" t="s">
        <v>7690</v>
      </c>
    </row>
    <row r="692" spans="1:1" x14ac:dyDescent="0.25">
      <c r="A692" t="s">
        <v>9329</v>
      </c>
    </row>
    <row r="693" spans="1:1" x14ac:dyDescent="0.25">
      <c r="A693" t="s">
        <v>7691</v>
      </c>
    </row>
    <row r="694" spans="1:1" x14ac:dyDescent="0.25">
      <c r="A694" t="s">
        <v>7692</v>
      </c>
    </row>
    <row r="695" spans="1:1" x14ac:dyDescent="0.25">
      <c r="A695" t="s">
        <v>7693</v>
      </c>
    </row>
    <row r="696" spans="1:1" x14ac:dyDescent="0.25">
      <c r="A696" t="s">
        <v>7694</v>
      </c>
    </row>
    <row r="697" spans="1:1" x14ac:dyDescent="0.25">
      <c r="A697" t="s">
        <v>7695</v>
      </c>
    </row>
    <row r="698" spans="1:1" x14ac:dyDescent="0.25">
      <c r="A698" t="s">
        <v>7696</v>
      </c>
    </row>
    <row r="699" spans="1:1" x14ac:dyDescent="0.25">
      <c r="A699" t="s">
        <v>7697</v>
      </c>
    </row>
    <row r="700" spans="1:1" x14ac:dyDescent="0.25">
      <c r="A700" t="s">
        <v>7698</v>
      </c>
    </row>
    <row r="701" spans="1:1" x14ac:dyDescent="0.25">
      <c r="A701" t="s">
        <v>7699</v>
      </c>
    </row>
    <row r="702" spans="1:1" x14ac:dyDescent="0.25">
      <c r="A702" t="s">
        <v>7700</v>
      </c>
    </row>
    <row r="703" spans="1:1" x14ac:dyDescent="0.25">
      <c r="A703" t="s">
        <v>7701</v>
      </c>
    </row>
    <row r="704" spans="1:1" x14ac:dyDescent="0.25">
      <c r="A704" t="s">
        <v>7702</v>
      </c>
    </row>
    <row r="705" spans="1:1" x14ac:dyDescent="0.25">
      <c r="A705" t="s">
        <v>7703</v>
      </c>
    </row>
    <row r="706" spans="1:1" x14ac:dyDescent="0.25">
      <c r="A706" t="s">
        <v>7704</v>
      </c>
    </row>
    <row r="707" spans="1:1" x14ac:dyDescent="0.25">
      <c r="A707" t="s">
        <v>7705</v>
      </c>
    </row>
    <row r="708" spans="1:1" x14ac:dyDescent="0.25">
      <c r="A708" t="s">
        <v>7706</v>
      </c>
    </row>
    <row r="709" spans="1:1" x14ac:dyDescent="0.25">
      <c r="A709" t="s">
        <v>7707</v>
      </c>
    </row>
    <row r="710" spans="1:1" x14ac:dyDescent="0.25">
      <c r="A710" t="s">
        <v>7708</v>
      </c>
    </row>
    <row r="711" spans="1:1" x14ac:dyDescent="0.25">
      <c r="A711" t="s">
        <v>7709</v>
      </c>
    </row>
    <row r="712" spans="1:1" x14ac:dyDescent="0.25">
      <c r="A712" t="s">
        <v>9330</v>
      </c>
    </row>
    <row r="713" spans="1:1" x14ac:dyDescent="0.25">
      <c r="A713" t="s">
        <v>7710</v>
      </c>
    </row>
    <row r="714" spans="1:1" x14ac:dyDescent="0.25">
      <c r="A714" t="s">
        <v>7711</v>
      </c>
    </row>
    <row r="715" spans="1:1" x14ac:dyDescent="0.25">
      <c r="A715" t="s">
        <v>9331</v>
      </c>
    </row>
    <row r="716" spans="1:1" x14ac:dyDescent="0.25">
      <c r="A716" t="s">
        <v>7712</v>
      </c>
    </row>
    <row r="717" spans="1:1" x14ac:dyDescent="0.25">
      <c r="A717" t="s">
        <v>9332</v>
      </c>
    </row>
    <row r="718" spans="1:1" x14ac:dyDescent="0.25">
      <c r="A718" t="s">
        <v>9333</v>
      </c>
    </row>
    <row r="719" spans="1:1" x14ac:dyDescent="0.25">
      <c r="A719" t="s">
        <v>7713</v>
      </c>
    </row>
    <row r="720" spans="1:1" x14ac:dyDescent="0.25">
      <c r="A720" t="s">
        <v>9334</v>
      </c>
    </row>
    <row r="721" spans="1:1" x14ac:dyDescent="0.25">
      <c r="A721" t="s">
        <v>9335</v>
      </c>
    </row>
    <row r="722" spans="1:1" x14ac:dyDescent="0.25">
      <c r="A722" t="s">
        <v>9336</v>
      </c>
    </row>
    <row r="723" spans="1:1" x14ac:dyDescent="0.25">
      <c r="A723" t="s">
        <v>9337</v>
      </c>
    </row>
    <row r="724" spans="1:1" x14ac:dyDescent="0.25">
      <c r="A724" t="s">
        <v>9338</v>
      </c>
    </row>
    <row r="725" spans="1:1" x14ac:dyDescent="0.25">
      <c r="A725" t="s">
        <v>7714</v>
      </c>
    </row>
    <row r="726" spans="1:1" x14ac:dyDescent="0.25">
      <c r="A726" t="s">
        <v>7715</v>
      </c>
    </row>
    <row r="727" spans="1:1" x14ac:dyDescent="0.25">
      <c r="A727" t="s">
        <v>7716</v>
      </c>
    </row>
    <row r="728" spans="1:1" x14ac:dyDescent="0.25">
      <c r="A728" t="s">
        <v>7717</v>
      </c>
    </row>
    <row r="729" spans="1:1" x14ac:dyDescent="0.25">
      <c r="A729" t="s">
        <v>7718</v>
      </c>
    </row>
    <row r="730" spans="1:1" x14ac:dyDescent="0.25">
      <c r="A730" t="s">
        <v>9339</v>
      </c>
    </row>
    <row r="731" spans="1:1" x14ac:dyDescent="0.25">
      <c r="A731" t="s">
        <v>9340</v>
      </c>
    </row>
    <row r="732" spans="1:1" x14ac:dyDescent="0.25">
      <c r="A732" t="s">
        <v>9341</v>
      </c>
    </row>
    <row r="733" spans="1:1" x14ac:dyDescent="0.25">
      <c r="A733" t="s">
        <v>7719</v>
      </c>
    </row>
    <row r="734" spans="1:1" x14ac:dyDescent="0.25">
      <c r="A734" t="s">
        <v>7720</v>
      </c>
    </row>
    <row r="735" spans="1:1" x14ac:dyDescent="0.25">
      <c r="A735" t="s">
        <v>7721</v>
      </c>
    </row>
    <row r="736" spans="1:1" x14ac:dyDescent="0.25">
      <c r="A736" t="s">
        <v>9342</v>
      </c>
    </row>
    <row r="737" spans="1:1" x14ac:dyDescent="0.25">
      <c r="A737" t="s">
        <v>7722</v>
      </c>
    </row>
    <row r="738" spans="1:1" x14ac:dyDescent="0.25">
      <c r="A738" t="s">
        <v>7723</v>
      </c>
    </row>
    <row r="739" spans="1:1" x14ac:dyDescent="0.25">
      <c r="A739" t="s">
        <v>7724</v>
      </c>
    </row>
    <row r="740" spans="1:1" x14ac:dyDescent="0.25">
      <c r="A740" t="s">
        <v>7725</v>
      </c>
    </row>
    <row r="741" spans="1:1" x14ac:dyDescent="0.25">
      <c r="A741" t="s">
        <v>7726</v>
      </c>
    </row>
    <row r="742" spans="1:1" x14ac:dyDescent="0.25">
      <c r="A742" t="s">
        <v>9343</v>
      </c>
    </row>
    <row r="743" spans="1:1" x14ac:dyDescent="0.25">
      <c r="A743" t="s">
        <v>7727</v>
      </c>
    </row>
    <row r="744" spans="1:1" x14ac:dyDescent="0.25">
      <c r="A744" t="s">
        <v>7728</v>
      </c>
    </row>
    <row r="745" spans="1:1" x14ac:dyDescent="0.25">
      <c r="A745" t="s">
        <v>9344</v>
      </c>
    </row>
    <row r="746" spans="1:1" x14ac:dyDescent="0.25">
      <c r="A746" t="s">
        <v>9345</v>
      </c>
    </row>
    <row r="747" spans="1:1" x14ac:dyDescent="0.25">
      <c r="A747" t="s">
        <v>7729</v>
      </c>
    </row>
    <row r="748" spans="1:1" x14ac:dyDescent="0.25">
      <c r="A748" t="s">
        <v>7730</v>
      </c>
    </row>
    <row r="749" spans="1:1" x14ac:dyDescent="0.25">
      <c r="A749" t="s">
        <v>7731</v>
      </c>
    </row>
    <row r="750" spans="1:1" x14ac:dyDescent="0.25">
      <c r="A750" t="s">
        <v>7732</v>
      </c>
    </row>
    <row r="751" spans="1:1" x14ac:dyDescent="0.25">
      <c r="A751" t="s">
        <v>7733</v>
      </c>
    </row>
    <row r="752" spans="1:1" x14ac:dyDescent="0.25">
      <c r="A752" t="s">
        <v>9346</v>
      </c>
    </row>
    <row r="753" spans="1:1" x14ac:dyDescent="0.25">
      <c r="A753" t="s">
        <v>7734</v>
      </c>
    </row>
    <row r="754" spans="1:1" x14ac:dyDescent="0.25">
      <c r="A754" t="s">
        <v>9347</v>
      </c>
    </row>
    <row r="755" spans="1:1" x14ac:dyDescent="0.25">
      <c r="A755" t="s">
        <v>7735</v>
      </c>
    </row>
    <row r="756" spans="1:1" x14ac:dyDescent="0.25">
      <c r="A756" t="s">
        <v>7736</v>
      </c>
    </row>
    <row r="757" spans="1:1" x14ac:dyDescent="0.25">
      <c r="A757" t="s">
        <v>9348</v>
      </c>
    </row>
    <row r="758" spans="1:1" x14ac:dyDescent="0.25">
      <c r="A758" t="s">
        <v>9349</v>
      </c>
    </row>
    <row r="759" spans="1:1" x14ac:dyDescent="0.25">
      <c r="A759" t="s">
        <v>7530</v>
      </c>
    </row>
    <row r="760" spans="1:1" x14ac:dyDescent="0.25">
      <c r="A760" t="s">
        <v>7737</v>
      </c>
    </row>
    <row r="761" spans="1:1" x14ac:dyDescent="0.25">
      <c r="A761" t="s">
        <v>7738</v>
      </c>
    </row>
    <row r="762" spans="1:1" x14ac:dyDescent="0.25">
      <c r="A762" t="s">
        <v>7541</v>
      </c>
    </row>
    <row r="763" spans="1:1" x14ac:dyDescent="0.25">
      <c r="A763" t="s">
        <v>7739</v>
      </c>
    </row>
    <row r="764" spans="1:1" x14ac:dyDescent="0.25">
      <c r="A764" t="s">
        <v>7740</v>
      </c>
    </row>
    <row r="765" spans="1:1" x14ac:dyDescent="0.25">
      <c r="A765" t="s">
        <v>9350</v>
      </c>
    </row>
    <row r="766" spans="1:1" x14ac:dyDescent="0.25">
      <c r="A766" t="s">
        <v>9351</v>
      </c>
    </row>
    <row r="767" spans="1:1" x14ac:dyDescent="0.25">
      <c r="A767" t="s">
        <v>9352</v>
      </c>
    </row>
    <row r="768" spans="1:1" x14ac:dyDescent="0.25">
      <c r="A768" t="s">
        <v>9353</v>
      </c>
    </row>
    <row r="769" spans="1:1" x14ac:dyDescent="0.25">
      <c r="A769" t="s">
        <v>7741</v>
      </c>
    </row>
    <row r="770" spans="1:1" x14ac:dyDescent="0.25">
      <c r="A770" t="s">
        <v>7742</v>
      </c>
    </row>
    <row r="771" spans="1:1" x14ac:dyDescent="0.25">
      <c r="A771" t="s">
        <v>9354</v>
      </c>
    </row>
    <row r="772" spans="1:1" x14ac:dyDescent="0.25">
      <c r="A772" t="s">
        <v>9355</v>
      </c>
    </row>
    <row r="773" spans="1:1" x14ac:dyDescent="0.25">
      <c r="A773" t="s">
        <v>7743</v>
      </c>
    </row>
    <row r="774" spans="1:1" x14ac:dyDescent="0.25">
      <c r="A774" t="s">
        <v>7744</v>
      </c>
    </row>
    <row r="775" spans="1:1" x14ac:dyDescent="0.25">
      <c r="A775" t="s">
        <v>7745</v>
      </c>
    </row>
    <row r="776" spans="1:1" x14ac:dyDescent="0.25">
      <c r="A776" t="s">
        <v>7746</v>
      </c>
    </row>
    <row r="777" spans="1:1" x14ac:dyDescent="0.25">
      <c r="A777" t="s">
        <v>9356</v>
      </c>
    </row>
    <row r="778" spans="1:1" x14ac:dyDescent="0.25">
      <c r="A778" t="s">
        <v>7747</v>
      </c>
    </row>
    <row r="779" spans="1:1" x14ac:dyDescent="0.25">
      <c r="A779" t="s">
        <v>7748</v>
      </c>
    </row>
    <row r="780" spans="1:1" x14ac:dyDescent="0.25">
      <c r="A780" t="s">
        <v>7749</v>
      </c>
    </row>
    <row r="781" spans="1:1" x14ac:dyDescent="0.25">
      <c r="A781" t="s">
        <v>7750</v>
      </c>
    </row>
    <row r="782" spans="1:1" x14ac:dyDescent="0.25">
      <c r="A782" t="s">
        <v>9357</v>
      </c>
    </row>
    <row r="783" spans="1:1" x14ac:dyDescent="0.25">
      <c r="A783" t="s">
        <v>7751</v>
      </c>
    </row>
    <row r="784" spans="1:1" x14ac:dyDescent="0.25">
      <c r="A784" t="s">
        <v>9358</v>
      </c>
    </row>
    <row r="785" spans="1:1" x14ac:dyDescent="0.25">
      <c r="A785" t="s">
        <v>9359</v>
      </c>
    </row>
    <row r="786" spans="1:1" x14ac:dyDescent="0.25">
      <c r="A786" t="s">
        <v>9360</v>
      </c>
    </row>
    <row r="787" spans="1:1" x14ac:dyDescent="0.25">
      <c r="A787" t="s">
        <v>7752</v>
      </c>
    </row>
    <row r="788" spans="1:1" x14ac:dyDescent="0.25">
      <c r="A788" t="s">
        <v>9361</v>
      </c>
    </row>
    <row r="789" spans="1:1" x14ac:dyDescent="0.25">
      <c r="A789" t="s">
        <v>7753</v>
      </c>
    </row>
    <row r="790" spans="1:1" x14ac:dyDescent="0.25">
      <c r="A790" t="s">
        <v>7754</v>
      </c>
    </row>
    <row r="791" spans="1:1" x14ac:dyDescent="0.25">
      <c r="A791" t="s">
        <v>7755</v>
      </c>
    </row>
    <row r="792" spans="1:1" x14ac:dyDescent="0.25">
      <c r="A792" t="s">
        <v>9362</v>
      </c>
    </row>
    <row r="793" spans="1:1" x14ac:dyDescent="0.25">
      <c r="A793" t="s">
        <v>7756</v>
      </c>
    </row>
    <row r="794" spans="1:1" x14ac:dyDescent="0.25">
      <c r="A794" t="s">
        <v>7757</v>
      </c>
    </row>
    <row r="795" spans="1:1" x14ac:dyDescent="0.25">
      <c r="A795" t="s">
        <v>7758</v>
      </c>
    </row>
    <row r="796" spans="1:1" x14ac:dyDescent="0.25">
      <c r="A796" t="s">
        <v>7759</v>
      </c>
    </row>
    <row r="797" spans="1:1" x14ac:dyDescent="0.25">
      <c r="A797" t="s">
        <v>9363</v>
      </c>
    </row>
    <row r="798" spans="1:1" x14ac:dyDescent="0.25">
      <c r="A798" t="s">
        <v>7760</v>
      </c>
    </row>
    <row r="799" spans="1:1" x14ac:dyDescent="0.25">
      <c r="A799" t="s">
        <v>7761</v>
      </c>
    </row>
    <row r="800" spans="1:1" x14ac:dyDescent="0.25">
      <c r="A800" t="s">
        <v>7762</v>
      </c>
    </row>
    <row r="801" spans="1:1" x14ac:dyDescent="0.25">
      <c r="A801" t="s">
        <v>7763</v>
      </c>
    </row>
    <row r="802" spans="1:1" x14ac:dyDescent="0.25">
      <c r="A802" t="s">
        <v>7764</v>
      </c>
    </row>
    <row r="803" spans="1:1" x14ac:dyDescent="0.25">
      <c r="A803" t="s">
        <v>7765</v>
      </c>
    </row>
    <row r="804" spans="1:1" x14ac:dyDescent="0.25">
      <c r="A804" t="s">
        <v>9364</v>
      </c>
    </row>
    <row r="805" spans="1:1" x14ac:dyDescent="0.25">
      <c r="A805" t="s">
        <v>7766</v>
      </c>
    </row>
    <row r="806" spans="1:1" x14ac:dyDescent="0.25">
      <c r="A806" t="s">
        <v>7767</v>
      </c>
    </row>
    <row r="807" spans="1:1" x14ac:dyDescent="0.25">
      <c r="A807" t="s">
        <v>9365</v>
      </c>
    </row>
    <row r="808" spans="1:1" x14ac:dyDescent="0.25">
      <c r="A808" t="s">
        <v>7768</v>
      </c>
    </row>
    <row r="809" spans="1:1" x14ac:dyDescent="0.25">
      <c r="A809" t="s">
        <v>7769</v>
      </c>
    </row>
    <row r="810" spans="1:1" x14ac:dyDescent="0.25">
      <c r="A810" t="s">
        <v>7770</v>
      </c>
    </row>
    <row r="811" spans="1:1" x14ac:dyDescent="0.25">
      <c r="A811" t="s">
        <v>7771</v>
      </c>
    </row>
    <row r="812" spans="1:1" x14ac:dyDescent="0.25">
      <c r="A812" t="s">
        <v>7772</v>
      </c>
    </row>
    <row r="813" spans="1:1" x14ac:dyDescent="0.25">
      <c r="A813" t="s">
        <v>9366</v>
      </c>
    </row>
    <row r="814" spans="1:1" x14ac:dyDescent="0.25">
      <c r="A814" t="s">
        <v>7773</v>
      </c>
    </row>
    <row r="815" spans="1:1" x14ac:dyDescent="0.25">
      <c r="A815" t="s">
        <v>9367</v>
      </c>
    </row>
    <row r="816" spans="1:1" x14ac:dyDescent="0.25">
      <c r="A816" t="s">
        <v>7774</v>
      </c>
    </row>
    <row r="817" spans="1:1" x14ac:dyDescent="0.25">
      <c r="A817" t="s">
        <v>7775</v>
      </c>
    </row>
    <row r="818" spans="1:1" x14ac:dyDescent="0.25">
      <c r="A818" t="s">
        <v>7776</v>
      </c>
    </row>
    <row r="819" spans="1:1" x14ac:dyDescent="0.25">
      <c r="A819" t="s">
        <v>9368</v>
      </c>
    </row>
    <row r="820" spans="1:1" x14ac:dyDescent="0.25">
      <c r="A820" t="s">
        <v>9369</v>
      </c>
    </row>
    <row r="821" spans="1:1" x14ac:dyDescent="0.25">
      <c r="A821" t="s">
        <v>9370</v>
      </c>
    </row>
    <row r="822" spans="1:1" x14ac:dyDescent="0.25">
      <c r="A822" t="s">
        <v>7777</v>
      </c>
    </row>
    <row r="823" spans="1:1" x14ac:dyDescent="0.25">
      <c r="A823" t="s">
        <v>7778</v>
      </c>
    </row>
    <row r="824" spans="1:1" x14ac:dyDescent="0.25">
      <c r="A824" t="s">
        <v>7779</v>
      </c>
    </row>
    <row r="825" spans="1:1" x14ac:dyDescent="0.25">
      <c r="A825" t="s">
        <v>7780</v>
      </c>
    </row>
    <row r="826" spans="1:1" x14ac:dyDescent="0.25">
      <c r="A826" t="s">
        <v>9371</v>
      </c>
    </row>
    <row r="827" spans="1:1" x14ac:dyDescent="0.25">
      <c r="A827" t="s">
        <v>7781</v>
      </c>
    </row>
    <row r="828" spans="1:1" x14ac:dyDescent="0.25">
      <c r="A828" t="s">
        <v>7782</v>
      </c>
    </row>
    <row r="829" spans="1:1" x14ac:dyDescent="0.25">
      <c r="A829" t="s">
        <v>7783</v>
      </c>
    </row>
    <row r="830" spans="1:1" x14ac:dyDescent="0.25">
      <c r="A830" t="s">
        <v>9372</v>
      </c>
    </row>
    <row r="831" spans="1:1" x14ac:dyDescent="0.25">
      <c r="A831" t="s">
        <v>7784</v>
      </c>
    </row>
    <row r="832" spans="1:1" x14ac:dyDescent="0.25">
      <c r="A832" t="s">
        <v>7785</v>
      </c>
    </row>
    <row r="833" spans="1:1" x14ac:dyDescent="0.25">
      <c r="A833" t="s">
        <v>7786</v>
      </c>
    </row>
    <row r="834" spans="1:1" x14ac:dyDescent="0.25">
      <c r="A834" t="s">
        <v>9373</v>
      </c>
    </row>
    <row r="835" spans="1:1" x14ac:dyDescent="0.25">
      <c r="A835" t="s">
        <v>7787</v>
      </c>
    </row>
    <row r="836" spans="1:1" x14ac:dyDescent="0.25">
      <c r="A836" t="s">
        <v>7788</v>
      </c>
    </row>
    <row r="837" spans="1:1" x14ac:dyDescent="0.25">
      <c r="A837" t="s">
        <v>7789</v>
      </c>
    </row>
    <row r="838" spans="1:1" x14ac:dyDescent="0.25">
      <c r="A838" t="s">
        <v>9374</v>
      </c>
    </row>
    <row r="839" spans="1:1" x14ac:dyDescent="0.25">
      <c r="A839" t="s">
        <v>9375</v>
      </c>
    </row>
    <row r="840" spans="1:1" x14ac:dyDescent="0.25">
      <c r="A840" t="s">
        <v>9376</v>
      </c>
    </row>
    <row r="841" spans="1:1" x14ac:dyDescent="0.25">
      <c r="A841" t="s">
        <v>7790</v>
      </c>
    </row>
    <row r="842" spans="1:1" x14ac:dyDescent="0.25">
      <c r="A842" t="s">
        <v>9377</v>
      </c>
    </row>
    <row r="843" spans="1:1" x14ac:dyDescent="0.25">
      <c r="A843" t="s">
        <v>9378</v>
      </c>
    </row>
    <row r="844" spans="1:1" x14ac:dyDescent="0.25">
      <c r="A844" t="s">
        <v>7791</v>
      </c>
    </row>
    <row r="845" spans="1:1" x14ac:dyDescent="0.25">
      <c r="A845" t="s">
        <v>7792</v>
      </c>
    </row>
    <row r="846" spans="1:1" x14ac:dyDescent="0.25">
      <c r="A846" t="s">
        <v>7793</v>
      </c>
    </row>
    <row r="847" spans="1:1" x14ac:dyDescent="0.25">
      <c r="A847" t="s">
        <v>7794</v>
      </c>
    </row>
    <row r="848" spans="1:1" x14ac:dyDescent="0.25">
      <c r="A848" t="s">
        <v>7795</v>
      </c>
    </row>
    <row r="849" spans="1:1" x14ac:dyDescent="0.25">
      <c r="A849" t="s">
        <v>7796</v>
      </c>
    </row>
    <row r="850" spans="1:1" x14ac:dyDescent="0.25">
      <c r="A850" t="s">
        <v>7797</v>
      </c>
    </row>
    <row r="851" spans="1:1" x14ac:dyDescent="0.25">
      <c r="A851" t="s">
        <v>7798</v>
      </c>
    </row>
    <row r="852" spans="1:1" x14ac:dyDescent="0.25">
      <c r="A852" t="s">
        <v>7799</v>
      </c>
    </row>
    <row r="853" spans="1:1" x14ac:dyDescent="0.25">
      <c r="A853" t="s">
        <v>9379</v>
      </c>
    </row>
    <row r="854" spans="1:1" x14ac:dyDescent="0.25">
      <c r="A854" t="s">
        <v>9380</v>
      </c>
    </row>
    <row r="855" spans="1:1" x14ac:dyDescent="0.25">
      <c r="A855" t="s">
        <v>7800</v>
      </c>
    </row>
    <row r="856" spans="1:1" x14ac:dyDescent="0.25">
      <c r="A856" t="s">
        <v>7801</v>
      </c>
    </row>
    <row r="857" spans="1:1" x14ac:dyDescent="0.25">
      <c r="A857" t="s">
        <v>7802</v>
      </c>
    </row>
    <row r="858" spans="1:1" x14ac:dyDescent="0.25">
      <c r="A858" t="s">
        <v>9381</v>
      </c>
    </row>
    <row r="859" spans="1:1" x14ac:dyDescent="0.25">
      <c r="A859" t="s">
        <v>7803</v>
      </c>
    </row>
    <row r="860" spans="1:1" x14ac:dyDescent="0.25">
      <c r="A860" t="s">
        <v>7804</v>
      </c>
    </row>
    <row r="861" spans="1:1" x14ac:dyDescent="0.25">
      <c r="A861" t="s">
        <v>7805</v>
      </c>
    </row>
    <row r="862" spans="1:1" x14ac:dyDescent="0.25">
      <c r="A862" t="s">
        <v>7806</v>
      </c>
    </row>
    <row r="863" spans="1:1" x14ac:dyDescent="0.25">
      <c r="A863" t="s">
        <v>9382</v>
      </c>
    </row>
    <row r="864" spans="1:1" x14ac:dyDescent="0.25">
      <c r="A864" t="s">
        <v>7807</v>
      </c>
    </row>
    <row r="865" spans="1:1" x14ac:dyDescent="0.25">
      <c r="A865" t="s">
        <v>7808</v>
      </c>
    </row>
    <row r="866" spans="1:1" x14ac:dyDescent="0.25">
      <c r="A866" t="s">
        <v>9383</v>
      </c>
    </row>
    <row r="867" spans="1:1" x14ac:dyDescent="0.25">
      <c r="A867" t="s">
        <v>7809</v>
      </c>
    </row>
    <row r="868" spans="1:1" x14ac:dyDescent="0.25">
      <c r="A868" t="s">
        <v>7810</v>
      </c>
    </row>
    <row r="869" spans="1:1" x14ac:dyDescent="0.25">
      <c r="A869" t="s">
        <v>9384</v>
      </c>
    </row>
    <row r="870" spans="1:1" x14ac:dyDescent="0.25">
      <c r="A870" t="s">
        <v>7811</v>
      </c>
    </row>
    <row r="871" spans="1:1" x14ac:dyDescent="0.25">
      <c r="A871" t="s">
        <v>7812</v>
      </c>
    </row>
    <row r="872" spans="1:1" x14ac:dyDescent="0.25">
      <c r="A872" t="s">
        <v>7813</v>
      </c>
    </row>
    <row r="873" spans="1:1" x14ac:dyDescent="0.25">
      <c r="A873" t="s">
        <v>9385</v>
      </c>
    </row>
    <row r="874" spans="1:1" x14ac:dyDescent="0.25">
      <c r="A874" t="s">
        <v>7814</v>
      </c>
    </row>
    <row r="875" spans="1:1" x14ac:dyDescent="0.25">
      <c r="A875" t="s">
        <v>9386</v>
      </c>
    </row>
    <row r="876" spans="1:1" x14ac:dyDescent="0.25">
      <c r="A876" t="s">
        <v>7815</v>
      </c>
    </row>
    <row r="877" spans="1:1" x14ac:dyDescent="0.25">
      <c r="A877" t="s">
        <v>7816</v>
      </c>
    </row>
    <row r="878" spans="1:1" x14ac:dyDescent="0.25">
      <c r="A878" t="s">
        <v>9387</v>
      </c>
    </row>
    <row r="879" spans="1:1" x14ac:dyDescent="0.25">
      <c r="A879" t="s">
        <v>7817</v>
      </c>
    </row>
    <row r="880" spans="1:1" x14ac:dyDescent="0.25">
      <c r="A880" t="s">
        <v>9388</v>
      </c>
    </row>
    <row r="881" spans="1:1" x14ac:dyDescent="0.25">
      <c r="A881" t="s">
        <v>9389</v>
      </c>
    </row>
    <row r="882" spans="1:1" x14ac:dyDescent="0.25">
      <c r="A882" t="s">
        <v>9390</v>
      </c>
    </row>
    <row r="883" spans="1:1" x14ac:dyDescent="0.25">
      <c r="A883" t="s">
        <v>7818</v>
      </c>
    </row>
    <row r="884" spans="1:1" x14ac:dyDescent="0.25">
      <c r="A884" t="s">
        <v>7819</v>
      </c>
    </row>
    <row r="885" spans="1:1" x14ac:dyDescent="0.25">
      <c r="A885" t="s">
        <v>7820</v>
      </c>
    </row>
    <row r="886" spans="1:1" x14ac:dyDescent="0.25">
      <c r="A886" t="s">
        <v>7821</v>
      </c>
    </row>
    <row r="887" spans="1:1" x14ac:dyDescent="0.25">
      <c r="A887" t="s">
        <v>7822</v>
      </c>
    </row>
    <row r="888" spans="1:1" x14ac:dyDescent="0.25">
      <c r="A888" t="s">
        <v>7823</v>
      </c>
    </row>
    <row r="889" spans="1:1" x14ac:dyDescent="0.25">
      <c r="A889" t="s">
        <v>9391</v>
      </c>
    </row>
    <row r="890" spans="1:1" x14ac:dyDescent="0.25">
      <c r="A890" t="s">
        <v>7824</v>
      </c>
    </row>
    <row r="891" spans="1:1" x14ac:dyDescent="0.25">
      <c r="A891" t="s">
        <v>9392</v>
      </c>
    </row>
    <row r="892" spans="1:1" x14ac:dyDescent="0.25">
      <c r="A892" t="s">
        <v>9393</v>
      </c>
    </row>
    <row r="893" spans="1:1" x14ac:dyDescent="0.25">
      <c r="A893" t="s">
        <v>7825</v>
      </c>
    </row>
    <row r="894" spans="1:1" x14ac:dyDescent="0.25">
      <c r="A894" t="s">
        <v>7826</v>
      </c>
    </row>
    <row r="895" spans="1:1" x14ac:dyDescent="0.25">
      <c r="A895" t="s">
        <v>9394</v>
      </c>
    </row>
    <row r="896" spans="1:1" x14ac:dyDescent="0.25">
      <c r="A896" t="s">
        <v>9395</v>
      </c>
    </row>
    <row r="897" spans="1:1" x14ac:dyDescent="0.25">
      <c r="A897" t="s">
        <v>9396</v>
      </c>
    </row>
    <row r="898" spans="1:1" x14ac:dyDescent="0.25">
      <c r="A898" t="s">
        <v>7827</v>
      </c>
    </row>
    <row r="899" spans="1:1" x14ac:dyDescent="0.25">
      <c r="A899" t="s">
        <v>9397</v>
      </c>
    </row>
    <row r="900" spans="1:1" x14ac:dyDescent="0.25">
      <c r="A900" t="s">
        <v>9398</v>
      </c>
    </row>
    <row r="901" spans="1:1" x14ac:dyDescent="0.25">
      <c r="A901" t="s">
        <v>7828</v>
      </c>
    </row>
    <row r="902" spans="1:1" x14ac:dyDescent="0.25">
      <c r="A902" t="s">
        <v>7829</v>
      </c>
    </row>
    <row r="903" spans="1:1" x14ac:dyDescent="0.25">
      <c r="A903" t="s">
        <v>7830</v>
      </c>
    </row>
    <row r="904" spans="1:1" x14ac:dyDescent="0.25">
      <c r="A904" t="s">
        <v>7831</v>
      </c>
    </row>
    <row r="905" spans="1:1" x14ac:dyDescent="0.25">
      <c r="A905" t="s">
        <v>7832</v>
      </c>
    </row>
    <row r="906" spans="1:1" x14ac:dyDescent="0.25">
      <c r="A906" t="s">
        <v>7833</v>
      </c>
    </row>
    <row r="907" spans="1:1" x14ac:dyDescent="0.25">
      <c r="A907" t="s">
        <v>9399</v>
      </c>
    </row>
    <row r="908" spans="1:1" x14ac:dyDescent="0.25">
      <c r="A908" t="s">
        <v>7834</v>
      </c>
    </row>
    <row r="909" spans="1:1" x14ac:dyDescent="0.25">
      <c r="A909" t="s">
        <v>9400</v>
      </c>
    </row>
    <row r="910" spans="1:1" x14ac:dyDescent="0.25">
      <c r="A910" t="s">
        <v>7835</v>
      </c>
    </row>
    <row r="911" spans="1:1" x14ac:dyDescent="0.25">
      <c r="A911" t="s">
        <v>9401</v>
      </c>
    </row>
    <row r="912" spans="1:1" x14ac:dyDescent="0.25">
      <c r="A912" t="s">
        <v>7836</v>
      </c>
    </row>
    <row r="913" spans="1:1" x14ac:dyDescent="0.25">
      <c r="A913" t="s">
        <v>9402</v>
      </c>
    </row>
    <row r="914" spans="1:1" x14ac:dyDescent="0.25">
      <c r="A914" t="s">
        <v>7837</v>
      </c>
    </row>
    <row r="915" spans="1:1" x14ac:dyDescent="0.25">
      <c r="A915" t="s">
        <v>7838</v>
      </c>
    </row>
    <row r="916" spans="1:1" x14ac:dyDescent="0.25">
      <c r="A916" t="s">
        <v>7839</v>
      </c>
    </row>
    <row r="917" spans="1:1" x14ac:dyDescent="0.25">
      <c r="A917" t="s">
        <v>9403</v>
      </c>
    </row>
    <row r="918" spans="1:1" x14ac:dyDescent="0.25">
      <c r="A918" t="s">
        <v>7840</v>
      </c>
    </row>
    <row r="919" spans="1:1" x14ac:dyDescent="0.25">
      <c r="A919" t="s">
        <v>7841</v>
      </c>
    </row>
    <row r="920" spans="1:1" x14ac:dyDescent="0.25">
      <c r="A920" t="s">
        <v>7842</v>
      </c>
    </row>
    <row r="921" spans="1:1" x14ac:dyDescent="0.25">
      <c r="A921" t="s">
        <v>7843</v>
      </c>
    </row>
    <row r="922" spans="1:1" x14ac:dyDescent="0.25">
      <c r="A922" t="s">
        <v>7844</v>
      </c>
    </row>
    <row r="923" spans="1:1" x14ac:dyDescent="0.25">
      <c r="A923" t="s">
        <v>7845</v>
      </c>
    </row>
    <row r="924" spans="1:1" x14ac:dyDescent="0.25">
      <c r="A924" t="s">
        <v>7846</v>
      </c>
    </row>
    <row r="925" spans="1:1" x14ac:dyDescent="0.25">
      <c r="A925" t="s">
        <v>7847</v>
      </c>
    </row>
    <row r="926" spans="1:1" x14ac:dyDescent="0.25">
      <c r="A926" t="s">
        <v>7848</v>
      </c>
    </row>
    <row r="927" spans="1:1" x14ac:dyDescent="0.25">
      <c r="A927" t="s">
        <v>7849</v>
      </c>
    </row>
    <row r="928" spans="1:1" x14ac:dyDescent="0.25">
      <c r="A928" t="s">
        <v>9404</v>
      </c>
    </row>
    <row r="929" spans="1:1" x14ac:dyDescent="0.25">
      <c r="A929" t="s">
        <v>9405</v>
      </c>
    </row>
    <row r="930" spans="1:1" x14ac:dyDescent="0.25">
      <c r="A930" t="s">
        <v>9406</v>
      </c>
    </row>
    <row r="931" spans="1:1" x14ac:dyDescent="0.25">
      <c r="A931" t="s">
        <v>9407</v>
      </c>
    </row>
    <row r="932" spans="1:1" x14ac:dyDescent="0.25">
      <c r="A932" t="s">
        <v>7850</v>
      </c>
    </row>
    <row r="933" spans="1:1" x14ac:dyDescent="0.25">
      <c r="A933" t="s">
        <v>9408</v>
      </c>
    </row>
    <row r="934" spans="1:1" x14ac:dyDescent="0.25">
      <c r="A934" t="s">
        <v>9409</v>
      </c>
    </row>
    <row r="935" spans="1:1" x14ac:dyDescent="0.25">
      <c r="A935" t="s">
        <v>9131</v>
      </c>
    </row>
    <row r="936" spans="1:1" x14ac:dyDescent="0.25">
      <c r="A936" t="s">
        <v>7851</v>
      </c>
    </row>
    <row r="937" spans="1:1" x14ac:dyDescent="0.25">
      <c r="A937" t="s">
        <v>7852</v>
      </c>
    </row>
    <row r="938" spans="1:1" x14ac:dyDescent="0.25">
      <c r="A938" t="s">
        <v>9410</v>
      </c>
    </row>
    <row r="939" spans="1:1" x14ac:dyDescent="0.25">
      <c r="A939" t="s">
        <v>9411</v>
      </c>
    </row>
    <row r="940" spans="1:1" x14ac:dyDescent="0.25">
      <c r="A940" t="s">
        <v>9412</v>
      </c>
    </row>
    <row r="941" spans="1:1" x14ac:dyDescent="0.25">
      <c r="A941" t="s">
        <v>7853</v>
      </c>
    </row>
    <row r="942" spans="1:1" x14ac:dyDescent="0.25">
      <c r="A942" t="s">
        <v>9413</v>
      </c>
    </row>
    <row r="943" spans="1:1" x14ac:dyDescent="0.25">
      <c r="A943" t="s">
        <v>7854</v>
      </c>
    </row>
    <row r="944" spans="1:1" x14ac:dyDescent="0.25">
      <c r="A944" t="s">
        <v>7855</v>
      </c>
    </row>
    <row r="945" spans="1:1" x14ac:dyDescent="0.25">
      <c r="A945" t="s">
        <v>7856</v>
      </c>
    </row>
    <row r="946" spans="1:1" x14ac:dyDescent="0.25">
      <c r="A946" t="s">
        <v>7857</v>
      </c>
    </row>
    <row r="947" spans="1:1" x14ac:dyDescent="0.25">
      <c r="A947" t="s">
        <v>9414</v>
      </c>
    </row>
    <row r="948" spans="1:1" x14ac:dyDescent="0.25">
      <c r="A948" t="s">
        <v>9415</v>
      </c>
    </row>
    <row r="949" spans="1:1" x14ac:dyDescent="0.25">
      <c r="A949" t="s">
        <v>7858</v>
      </c>
    </row>
    <row r="950" spans="1:1" x14ac:dyDescent="0.25">
      <c r="A950" t="s">
        <v>7859</v>
      </c>
    </row>
    <row r="951" spans="1:1" x14ac:dyDescent="0.25">
      <c r="A951" t="s">
        <v>7860</v>
      </c>
    </row>
    <row r="952" spans="1:1" x14ac:dyDescent="0.25">
      <c r="A952" t="s">
        <v>7861</v>
      </c>
    </row>
    <row r="953" spans="1:1" x14ac:dyDescent="0.25">
      <c r="A953" t="s">
        <v>7862</v>
      </c>
    </row>
    <row r="954" spans="1:1" x14ac:dyDescent="0.25">
      <c r="A954" t="s">
        <v>9416</v>
      </c>
    </row>
    <row r="955" spans="1:1" x14ac:dyDescent="0.25">
      <c r="A955" t="s">
        <v>7863</v>
      </c>
    </row>
    <row r="956" spans="1:1" x14ac:dyDescent="0.25">
      <c r="A956" t="s">
        <v>7864</v>
      </c>
    </row>
    <row r="957" spans="1:1" x14ac:dyDescent="0.25">
      <c r="A957" t="s">
        <v>7865</v>
      </c>
    </row>
    <row r="958" spans="1:1" x14ac:dyDescent="0.25">
      <c r="A958" t="s">
        <v>7866</v>
      </c>
    </row>
    <row r="959" spans="1:1" x14ac:dyDescent="0.25">
      <c r="A959" t="s">
        <v>9417</v>
      </c>
    </row>
    <row r="960" spans="1:1" x14ac:dyDescent="0.25">
      <c r="A960" t="s">
        <v>7867</v>
      </c>
    </row>
    <row r="961" spans="1:1" x14ac:dyDescent="0.25">
      <c r="A961" t="s">
        <v>7868</v>
      </c>
    </row>
    <row r="962" spans="1:1" x14ac:dyDescent="0.25">
      <c r="A962" t="s">
        <v>9418</v>
      </c>
    </row>
    <row r="963" spans="1:1" x14ac:dyDescent="0.25">
      <c r="A963" t="s">
        <v>9419</v>
      </c>
    </row>
    <row r="964" spans="1:1" x14ac:dyDescent="0.25">
      <c r="A964" t="s">
        <v>9420</v>
      </c>
    </row>
    <row r="965" spans="1:1" x14ac:dyDescent="0.25">
      <c r="A965" t="s">
        <v>7869</v>
      </c>
    </row>
    <row r="966" spans="1:1" x14ac:dyDescent="0.25">
      <c r="A966" t="s">
        <v>7870</v>
      </c>
    </row>
    <row r="967" spans="1:1" x14ac:dyDescent="0.25">
      <c r="A967" t="s">
        <v>9421</v>
      </c>
    </row>
    <row r="968" spans="1:1" x14ac:dyDescent="0.25">
      <c r="A968" t="s">
        <v>9422</v>
      </c>
    </row>
    <row r="969" spans="1:1" x14ac:dyDescent="0.25">
      <c r="A969" t="s">
        <v>7871</v>
      </c>
    </row>
    <row r="970" spans="1:1" x14ac:dyDescent="0.25">
      <c r="A970" t="s">
        <v>7872</v>
      </c>
    </row>
    <row r="971" spans="1:1" x14ac:dyDescent="0.25">
      <c r="A971" t="s">
        <v>7873</v>
      </c>
    </row>
    <row r="972" spans="1:1" x14ac:dyDescent="0.25">
      <c r="A972" t="s">
        <v>7874</v>
      </c>
    </row>
    <row r="973" spans="1:1" x14ac:dyDescent="0.25">
      <c r="A973" t="s">
        <v>9423</v>
      </c>
    </row>
    <row r="974" spans="1:1" x14ac:dyDescent="0.25">
      <c r="A974" t="s">
        <v>9424</v>
      </c>
    </row>
    <row r="975" spans="1:1" x14ac:dyDescent="0.25">
      <c r="A975" t="s">
        <v>7875</v>
      </c>
    </row>
    <row r="976" spans="1:1" x14ac:dyDescent="0.25">
      <c r="A976" t="s">
        <v>7876</v>
      </c>
    </row>
    <row r="977" spans="1:1" x14ac:dyDescent="0.25">
      <c r="A977" t="s">
        <v>7877</v>
      </c>
    </row>
    <row r="978" spans="1:1" x14ac:dyDescent="0.25">
      <c r="A978" t="s">
        <v>7878</v>
      </c>
    </row>
    <row r="979" spans="1:1" x14ac:dyDescent="0.25">
      <c r="A979" t="s">
        <v>9425</v>
      </c>
    </row>
    <row r="980" spans="1:1" x14ac:dyDescent="0.25">
      <c r="A980" t="s">
        <v>9426</v>
      </c>
    </row>
    <row r="981" spans="1:1" x14ac:dyDescent="0.25">
      <c r="A981" t="s">
        <v>9427</v>
      </c>
    </row>
    <row r="982" spans="1:1" x14ac:dyDescent="0.25">
      <c r="A982" t="s">
        <v>9428</v>
      </c>
    </row>
    <row r="983" spans="1:1" x14ac:dyDescent="0.25">
      <c r="A983" t="s">
        <v>9429</v>
      </c>
    </row>
    <row r="984" spans="1:1" x14ac:dyDescent="0.25">
      <c r="A984" t="s">
        <v>7879</v>
      </c>
    </row>
    <row r="985" spans="1:1" x14ac:dyDescent="0.25">
      <c r="A985" t="s">
        <v>7880</v>
      </c>
    </row>
    <row r="986" spans="1:1" x14ac:dyDescent="0.25">
      <c r="A986" t="s">
        <v>9430</v>
      </c>
    </row>
    <row r="987" spans="1:1" x14ac:dyDescent="0.25">
      <c r="A987" t="s">
        <v>9431</v>
      </c>
    </row>
    <row r="988" spans="1:1" x14ac:dyDescent="0.25">
      <c r="A988" t="s">
        <v>7881</v>
      </c>
    </row>
    <row r="989" spans="1:1" x14ac:dyDescent="0.25">
      <c r="A989" t="s">
        <v>7882</v>
      </c>
    </row>
    <row r="990" spans="1:1" x14ac:dyDescent="0.25">
      <c r="A990" t="s">
        <v>7883</v>
      </c>
    </row>
    <row r="991" spans="1:1" x14ac:dyDescent="0.25">
      <c r="A991" t="s">
        <v>7884</v>
      </c>
    </row>
    <row r="992" spans="1:1" x14ac:dyDescent="0.25">
      <c r="A992" t="s">
        <v>7885</v>
      </c>
    </row>
    <row r="993" spans="1:1" x14ac:dyDescent="0.25">
      <c r="A993" t="s">
        <v>9432</v>
      </c>
    </row>
    <row r="994" spans="1:1" x14ac:dyDescent="0.25">
      <c r="A994" t="s">
        <v>9433</v>
      </c>
    </row>
    <row r="995" spans="1:1" x14ac:dyDescent="0.25">
      <c r="A995" t="s">
        <v>9434</v>
      </c>
    </row>
    <row r="996" spans="1:1" x14ac:dyDescent="0.25">
      <c r="A996" t="s">
        <v>7886</v>
      </c>
    </row>
    <row r="997" spans="1:1" x14ac:dyDescent="0.25">
      <c r="A997" t="s">
        <v>7887</v>
      </c>
    </row>
    <row r="998" spans="1:1" x14ac:dyDescent="0.25">
      <c r="A998" t="s">
        <v>7888</v>
      </c>
    </row>
    <row r="999" spans="1:1" x14ac:dyDescent="0.25">
      <c r="A999" t="s">
        <v>7889</v>
      </c>
    </row>
    <row r="1000" spans="1:1" x14ac:dyDescent="0.25">
      <c r="A1000" t="s">
        <v>7890</v>
      </c>
    </row>
    <row r="1001" spans="1:1" x14ac:dyDescent="0.25">
      <c r="A1001" t="s">
        <v>7891</v>
      </c>
    </row>
    <row r="1002" spans="1:1" x14ac:dyDescent="0.25">
      <c r="A1002" t="s">
        <v>7892</v>
      </c>
    </row>
    <row r="1003" spans="1:1" x14ac:dyDescent="0.25">
      <c r="A1003" t="s">
        <v>7893</v>
      </c>
    </row>
    <row r="1004" spans="1:1" x14ac:dyDescent="0.25">
      <c r="A1004" t="s">
        <v>7894</v>
      </c>
    </row>
    <row r="1005" spans="1:1" x14ac:dyDescent="0.25">
      <c r="A1005" t="s">
        <v>7895</v>
      </c>
    </row>
    <row r="1006" spans="1:1" x14ac:dyDescent="0.25">
      <c r="A1006" t="s">
        <v>9435</v>
      </c>
    </row>
    <row r="1007" spans="1:1" x14ac:dyDescent="0.25">
      <c r="A1007" t="s">
        <v>9436</v>
      </c>
    </row>
    <row r="1008" spans="1:1" x14ac:dyDescent="0.25">
      <c r="A1008" t="s">
        <v>7896</v>
      </c>
    </row>
    <row r="1009" spans="1:1" x14ac:dyDescent="0.25">
      <c r="A1009" t="s">
        <v>9437</v>
      </c>
    </row>
    <row r="1010" spans="1:1" x14ac:dyDescent="0.25">
      <c r="A1010" t="s">
        <v>9438</v>
      </c>
    </row>
    <row r="1011" spans="1:1" x14ac:dyDescent="0.25">
      <c r="A1011" t="s">
        <v>9439</v>
      </c>
    </row>
    <row r="1012" spans="1:1" x14ac:dyDescent="0.25">
      <c r="A1012" t="s">
        <v>9440</v>
      </c>
    </row>
    <row r="1013" spans="1:1" x14ac:dyDescent="0.25">
      <c r="A1013" t="s">
        <v>7897</v>
      </c>
    </row>
    <row r="1014" spans="1:1" x14ac:dyDescent="0.25">
      <c r="A1014" t="s">
        <v>7898</v>
      </c>
    </row>
    <row r="1015" spans="1:1" x14ac:dyDescent="0.25">
      <c r="A1015" t="s">
        <v>7899</v>
      </c>
    </row>
    <row r="1016" spans="1:1" x14ac:dyDescent="0.25">
      <c r="A1016" t="s">
        <v>9441</v>
      </c>
    </row>
    <row r="1017" spans="1:1" x14ac:dyDescent="0.25">
      <c r="A1017" t="s">
        <v>9442</v>
      </c>
    </row>
    <row r="1018" spans="1:1" x14ac:dyDescent="0.25">
      <c r="A1018" t="s">
        <v>9443</v>
      </c>
    </row>
    <row r="1019" spans="1:1" x14ac:dyDescent="0.25">
      <c r="A1019" t="s">
        <v>9444</v>
      </c>
    </row>
    <row r="1020" spans="1:1" x14ac:dyDescent="0.25">
      <c r="A1020" t="s">
        <v>9445</v>
      </c>
    </row>
    <row r="1021" spans="1:1" x14ac:dyDescent="0.25">
      <c r="A1021" t="s">
        <v>9446</v>
      </c>
    </row>
    <row r="1022" spans="1:1" x14ac:dyDescent="0.25">
      <c r="A1022" t="s">
        <v>9447</v>
      </c>
    </row>
    <row r="1023" spans="1:1" x14ac:dyDescent="0.25">
      <c r="A1023" t="s">
        <v>7900</v>
      </c>
    </row>
    <row r="1024" spans="1:1" x14ac:dyDescent="0.25">
      <c r="A1024" t="s">
        <v>7901</v>
      </c>
    </row>
    <row r="1025" spans="1:1" x14ac:dyDescent="0.25">
      <c r="A1025" t="s">
        <v>7902</v>
      </c>
    </row>
    <row r="1026" spans="1:1" x14ac:dyDescent="0.25">
      <c r="A1026" t="s">
        <v>9448</v>
      </c>
    </row>
    <row r="1027" spans="1:1" x14ac:dyDescent="0.25">
      <c r="A1027" t="s">
        <v>7903</v>
      </c>
    </row>
    <row r="1028" spans="1:1" x14ac:dyDescent="0.25">
      <c r="A1028" t="s">
        <v>7904</v>
      </c>
    </row>
    <row r="1029" spans="1:1" x14ac:dyDescent="0.25">
      <c r="A1029" t="s">
        <v>7905</v>
      </c>
    </row>
    <row r="1030" spans="1:1" x14ac:dyDescent="0.25">
      <c r="A1030" t="s">
        <v>7906</v>
      </c>
    </row>
    <row r="1031" spans="1:1" x14ac:dyDescent="0.25">
      <c r="A1031" t="s">
        <v>7907</v>
      </c>
    </row>
    <row r="1032" spans="1:1" x14ac:dyDescent="0.25">
      <c r="A1032" t="s">
        <v>9449</v>
      </c>
    </row>
    <row r="1033" spans="1:1" x14ac:dyDescent="0.25">
      <c r="A1033" t="s">
        <v>7908</v>
      </c>
    </row>
    <row r="1034" spans="1:1" x14ac:dyDescent="0.25">
      <c r="A1034" t="s">
        <v>7909</v>
      </c>
    </row>
    <row r="1035" spans="1:1" x14ac:dyDescent="0.25">
      <c r="A1035" t="s">
        <v>7910</v>
      </c>
    </row>
    <row r="1036" spans="1:1" x14ac:dyDescent="0.25">
      <c r="A1036" t="s">
        <v>9450</v>
      </c>
    </row>
    <row r="1037" spans="1:1" x14ac:dyDescent="0.25">
      <c r="A1037" t="s">
        <v>7911</v>
      </c>
    </row>
    <row r="1038" spans="1:1" x14ac:dyDescent="0.25">
      <c r="A1038" t="s">
        <v>7912</v>
      </c>
    </row>
    <row r="1039" spans="1:1" x14ac:dyDescent="0.25">
      <c r="A1039" t="s">
        <v>7913</v>
      </c>
    </row>
    <row r="1040" spans="1:1" x14ac:dyDescent="0.25">
      <c r="A1040" t="s">
        <v>7914</v>
      </c>
    </row>
    <row r="1041" spans="1:1" x14ac:dyDescent="0.25">
      <c r="A1041" t="s">
        <v>7915</v>
      </c>
    </row>
    <row r="1042" spans="1:1" x14ac:dyDescent="0.25">
      <c r="A1042" t="s">
        <v>9451</v>
      </c>
    </row>
    <row r="1043" spans="1:1" x14ac:dyDescent="0.25">
      <c r="A1043" t="s">
        <v>7916</v>
      </c>
    </row>
    <row r="1044" spans="1:1" x14ac:dyDescent="0.25">
      <c r="A1044" t="s">
        <v>9452</v>
      </c>
    </row>
    <row r="1045" spans="1:1" x14ac:dyDescent="0.25">
      <c r="A1045" t="s">
        <v>7917</v>
      </c>
    </row>
    <row r="1046" spans="1:1" x14ac:dyDescent="0.25">
      <c r="A1046" t="s">
        <v>9453</v>
      </c>
    </row>
    <row r="1047" spans="1:1" x14ac:dyDescent="0.25">
      <c r="A1047" t="s">
        <v>7918</v>
      </c>
    </row>
    <row r="1048" spans="1:1" x14ac:dyDescent="0.25">
      <c r="A1048" t="s">
        <v>7919</v>
      </c>
    </row>
    <row r="1049" spans="1:1" x14ac:dyDescent="0.25">
      <c r="A1049" t="s">
        <v>7920</v>
      </c>
    </row>
    <row r="1050" spans="1:1" x14ac:dyDescent="0.25">
      <c r="A1050" t="s">
        <v>9454</v>
      </c>
    </row>
    <row r="1051" spans="1:1" x14ac:dyDescent="0.25">
      <c r="A1051" t="s">
        <v>7921</v>
      </c>
    </row>
    <row r="1052" spans="1:1" x14ac:dyDescent="0.25">
      <c r="A1052" t="s">
        <v>7922</v>
      </c>
    </row>
    <row r="1053" spans="1:1" x14ac:dyDescent="0.25">
      <c r="A1053" t="s">
        <v>7923</v>
      </c>
    </row>
    <row r="1054" spans="1:1" x14ac:dyDescent="0.25">
      <c r="A1054" t="s">
        <v>7924</v>
      </c>
    </row>
    <row r="1055" spans="1:1" x14ac:dyDescent="0.25">
      <c r="A1055" t="s">
        <v>7925</v>
      </c>
    </row>
    <row r="1056" spans="1:1" x14ac:dyDescent="0.25">
      <c r="A1056" t="s">
        <v>7926</v>
      </c>
    </row>
    <row r="1057" spans="1:1" x14ac:dyDescent="0.25">
      <c r="A1057" t="s">
        <v>7927</v>
      </c>
    </row>
    <row r="1058" spans="1:1" x14ac:dyDescent="0.25">
      <c r="A1058" t="s">
        <v>7928</v>
      </c>
    </row>
    <row r="1059" spans="1:1" x14ac:dyDescent="0.25">
      <c r="A1059" t="s">
        <v>7929</v>
      </c>
    </row>
    <row r="1060" spans="1:1" x14ac:dyDescent="0.25">
      <c r="A1060" t="s">
        <v>7930</v>
      </c>
    </row>
    <row r="1061" spans="1:1" x14ac:dyDescent="0.25">
      <c r="A1061" t="s">
        <v>7931</v>
      </c>
    </row>
    <row r="1062" spans="1:1" x14ac:dyDescent="0.25">
      <c r="A1062" t="s">
        <v>7932</v>
      </c>
    </row>
    <row r="1063" spans="1:1" x14ac:dyDescent="0.25">
      <c r="A1063" t="s">
        <v>7933</v>
      </c>
    </row>
    <row r="1064" spans="1:1" x14ac:dyDescent="0.25">
      <c r="A1064" t="s">
        <v>7934</v>
      </c>
    </row>
    <row r="1065" spans="1:1" x14ac:dyDescent="0.25">
      <c r="A1065" t="s">
        <v>7935</v>
      </c>
    </row>
    <row r="1066" spans="1:1" x14ac:dyDescent="0.25">
      <c r="A1066" t="s">
        <v>7936</v>
      </c>
    </row>
    <row r="1067" spans="1:1" x14ac:dyDescent="0.25">
      <c r="A1067" t="s">
        <v>7937</v>
      </c>
    </row>
    <row r="1068" spans="1:1" x14ac:dyDescent="0.25">
      <c r="A1068" t="s">
        <v>7938</v>
      </c>
    </row>
    <row r="1069" spans="1:1" x14ac:dyDescent="0.25">
      <c r="A1069" t="s">
        <v>7939</v>
      </c>
    </row>
    <row r="1070" spans="1:1" x14ac:dyDescent="0.25">
      <c r="A1070" t="s">
        <v>7940</v>
      </c>
    </row>
    <row r="1071" spans="1:1" x14ac:dyDescent="0.25">
      <c r="A1071" t="s">
        <v>7941</v>
      </c>
    </row>
    <row r="1072" spans="1:1" x14ac:dyDescent="0.25">
      <c r="A1072" t="s">
        <v>7942</v>
      </c>
    </row>
    <row r="1073" spans="1:1" x14ac:dyDescent="0.25">
      <c r="A1073" t="s">
        <v>7943</v>
      </c>
    </row>
    <row r="1074" spans="1:1" x14ac:dyDescent="0.25">
      <c r="A1074" t="s">
        <v>7944</v>
      </c>
    </row>
    <row r="1075" spans="1:1" x14ac:dyDescent="0.25">
      <c r="A1075" t="s">
        <v>7945</v>
      </c>
    </row>
    <row r="1076" spans="1:1" x14ac:dyDescent="0.25">
      <c r="A1076" t="s">
        <v>7946</v>
      </c>
    </row>
    <row r="1077" spans="1:1" x14ac:dyDescent="0.25">
      <c r="A1077" t="s">
        <v>7947</v>
      </c>
    </row>
    <row r="1078" spans="1:1" x14ac:dyDescent="0.25">
      <c r="A1078" t="s">
        <v>7948</v>
      </c>
    </row>
    <row r="1079" spans="1:1" x14ac:dyDescent="0.25">
      <c r="A1079" t="s">
        <v>7949</v>
      </c>
    </row>
    <row r="1080" spans="1:1" x14ac:dyDescent="0.25">
      <c r="A1080" t="s">
        <v>7950</v>
      </c>
    </row>
    <row r="1081" spans="1:1" x14ac:dyDescent="0.25">
      <c r="A1081" t="s">
        <v>7951</v>
      </c>
    </row>
    <row r="1082" spans="1:1" x14ac:dyDescent="0.25">
      <c r="A1082" t="s">
        <v>7952</v>
      </c>
    </row>
    <row r="1083" spans="1:1" x14ac:dyDescent="0.25">
      <c r="A1083" t="s">
        <v>7953</v>
      </c>
    </row>
    <row r="1084" spans="1:1" x14ac:dyDescent="0.25">
      <c r="A1084" t="s">
        <v>7954</v>
      </c>
    </row>
    <row r="1085" spans="1:1" x14ac:dyDescent="0.25">
      <c r="A1085" t="s">
        <v>7955</v>
      </c>
    </row>
    <row r="1086" spans="1:1" x14ac:dyDescent="0.25">
      <c r="A1086" t="s">
        <v>7956</v>
      </c>
    </row>
    <row r="1087" spans="1:1" x14ac:dyDescent="0.25">
      <c r="A1087" t="s">
        <v>7957</v>
      </c>
    </row>
    <row r="1088" spans="1:1" x14ac:dyDescent="0.25">
      <c r="A1088" t="s">
        <v>7958</v>
      </c>
    </row>
    <row r="1089" spans="1:1" x14ac:dyDescent="0.25">
      <c r="A1089" t="s">
        <v>7959</v>
      </c>
    </row>
    <row r="1090" spans="1:1" x14ac:dyDescent="0.25">
      <c r="A1090" t="s">
        <v>7960</v>
      </c>
    </row>
    <row r="1091" spans="1:1" x14ac:dyDescent="0.25">
      <c r="A1091" t="s">
        <v>7961</v>
      </c>
    </row>
    <row r="1092" spans="1:1" x14ac:dyDescent="0.25">
      <c r="A1092" t="s">
        <v>7962</v>
      </c>
    </row>
    <row r="1093" spans="1:1" x14ac:dyDescent="0.25">
      <c r="A1093" t="s">
        <v>7963</v>
      </c>
    </row>
    <row r="1094" spans="1:1" x14ac:dyDescent="0.25">
      <c r="A1094" t="s">
        <v>7964</v>
      </c>
    </row>
    <row r="1095" spans="1:1" x14ac:dyDescent="0.25">
      <c r="A1095" t="s">
        <v>7965</v>
      </c>
    </row>
    <row r="1096" spans="1:1" x14ac:dyDescent="0.25">
      <c r="A1096" t="s">
        <v>7966</v>
      </c>
    </row>
    <row r="1097" spans="1:1" x14ac:dyDescent="0.25">
      <c r="A1097" t="s">
        <v>7967</v>
      </c>
    </row>
    <row r="1098" spans="1:1" x14ac:dyDescent="0.25">
      <c r="A1098" t="s">
        <v>7968</v>
      </c>
    </row>
    <row r="1099" spans="1:1" x14ac:dyDescent="0.25">
      <c r="A1099" t="s">
        <v>7969</v>
      </c>
    </row>
    <row r="1100" spans="1:1" x14ac:dyDescent="0.25">
      <c r="A1100" t="s">
        <v>7362</v>
      </c>
    </row>
    <row r="1101" spans="1:1" x14ac:dyDescent="0.25">
      <c r="A1101" t="s">
        <v>7970</v>
      </c>
    </row>
    <row r="1102" spans="1:1" x14ac:dyDescent="0.25">
      <c r="A1102" t="s">
        <v>7971</v>
      </c>
    </row>
    <row r="1103" spans="1:1" x14ac:dyDescent="0.25">
      <c r="A1103" t="s">
        <v>7972</v>
      </c>
    </row>
    <row r="1104" spans="1:1" x14ac:dyDescent="0.25">
      <c r="A1104" t="s">
        <v>7973</v>
      </c>
    </row>
    <row r="1105" spans="1:1" x14ac:dyDescent="0.25">
      <c r="A1105" t="s">
        <v>7974</v>
      </c>
    </row>
    <row r="1106" spans="1:1" x14ac:dyDescent="0.25">
      <c r="A1106" t="s">
        <v>7975</v>
      </c>
    </row>
    <row r="1107" spans="1:1" x14ac:dyDescent="0.25">
      <c r="A1107" t="s">
        <v>7976</v>
      </c>
    </row>
    <row r="1108" spans="1:1" x14ac:dyDescent="0.25">
      <c r="A1108" t="s">
        <v>7977</v>
      </c>
    </row>
    <row r="1109" spans="1:1" x14ac:dyDescent="0.25">
      <c r="A1109" t="s">
        <v>7978</v>
      </c>
    </row>
    <row r="1110" spans="1:1" x14ac:dyDescent="0.25">
      <c r="A1110" t="s">
        <v>7979</v>
      </c>
    </row>
    <row r="1111" spans="1:1" x14ac:dyDescent="0.25">
      <c r="A1111" t="s">
        <v>7980</v>
      </c>
    </row>
    <row r="1112" spans="1:1" x14ac:dyDescent="0.25">
      <c r="A1112" t="s">
        <v>7981</v>
      </c>
    </row>
    <row r="1113" spans="1:1" x14ac:dyDescent="0.25">
      <c r="A1113" t="s">
        <v>7982</v>
      </c>
    </row>
    <row r="1114" spans="1:1" x14ac:dyDescent="0.25">
      <c r="A1114" t="s">
        <v>7983</v>
      </c>
    </row>
    <row r="1115" spans="1:1" x14ac:dyDescent="0.25">
      <c r="A1115" t="s">
        <v>7984</v>
      </c>
    </row>
    <row r="1116" spans="1:1" x14ac:dyDescent="0.25">
      <c r="A1116" t="s">
        <v>7985</v>
      </c>
    </row>
    <row r="1117" spans="1:1" x14ac:dyDescent="0.25">
      <c r="A1117" t="s">
        <v>7445</v>
      </c>
    </row>
    <row r="1118" spans="1:1" x14ac:dyDescent="0.25">
      <c r="A1118" t="s">
        <v>7986</v>
      </c>
    </row>
    <row r="1119" spans="1:1" x14ac:dyDescent="0.25">
      <c r="A1119" t="s">
        <v>7987</v>
      </c>
    </row>
    <row r="1120" spans="1:1" x14ac:dyDescent="0.25">
      <c r="A1120" t="s">
        <v>7988</v>
      </c>
    </row>
    <row r="1121" spans="1:1" x14ac:dyDescent="0.25">
      <c r="A1121" t="s">
        <v>7989</v>
      </c>
    </row>
    <row r="1122" spans="1:1" x14ac:dyDescent="0.25">
      <c r="A1122" t="s">
        <v>7990</v>
      </c>
    </row>
    <row r="1123" spans="1:1" x14ac:dyDescent="0.25">
      <c r="A1123" t="s">
        <v>7991</v>
      </c>
    </row>
    <row r="1124" spans="1:1" x14ac:dyDescent="0.25">
      <c r="A1124" t="s">
        <v>7992</v>
      </c>
    </row>
    <row r="1125" spans="1:1" x14ac:dyDescent="0.25">
      <c r="A1125" t="s">
        <v>7993</v>
      </c>
    </row>
    <row r="1126" spans="1:1" x14ac:dyDescent="0.25">
      <c r="A1126" t="s">
        <v>7994</v>
      </c>
    </row>
    <row r="1127" spans="1:1" x14ac:dyDescent="0.25">
      <c r="A1127" t="s">
        <v>7995</v>
      </c>
    </row>
    <row r="1128" spans="1:1" x14ac:dyDescent="0.25">
      <c r="A1128" t="s">
        <v>7996</v>
      </c>
    </row>
    <row r="1129" spans="1:1" x14ac:dyDescent="0.25">
      <c r="A1129" t="s">
        <v>7997</v>
      </c>
    </row>
    <row r="1130" spans="1:1" x14ac:dyDescent="0.25">
      <c r="A1130" t="s">
        <v>7998</v>
      </c>
    </row>
    <row r="1131" spans="1:1" x14ac:dyDescent="0.25">
      <c r="A1131" t="s">
        <v>7999</v>
      </c>
    </row>
    <row r="1132" spans="1:1" x14ac:dyDescent="0.25">
      <c r="A1132" t="s">
        <v>8000</v>
      </c>
    </row>
    <row r="1133" spans="1:1" x14ac:dyDescent="0.25">
      <c r="A1133" t="s">
        <v>8001</v>
      </c>
    </row>
    <row r="1134" spans="1:1" x14ac:dyDescent="0.25">
      <c r="A1134" t="s">
        <v>8002</v>
      </c>
    </row>
    <row r="1135" spans="1:1" x14ac:dyDescent="0.25">
      <c r="A1135" t="s">
        <v>8003</v>
      </c>
    </row>
    <row r="1136" spans="1:1" x14ac:dyDescent="0.25">
      <c r="A1136" t="s">
        <v>8004</v>
      </c>
    </row>
    <row r="1137" spans="1:1" x14ac:dyDescent="0.25">
      <c r="A1137" t="s">
        <v>8005</v>
      </c>
    </row>
    <row r="1138" spans="1:1" x14ac:dyDescent="0.25">
      <c r="A1138" t="s">
        <v>8006</v>
      </c>
    </row>
    <row r="1139" spans="1:1" x14ac:dyDescent="0.25">
      <c r="A1139" t="s">
        <v>8007</v>
      </c>
    </row>
    <row r="1140" spans="1:1" x14ac:dyDescent="0.25">
      <c r="A1140" t="s">
        <v>8008</v>
      </c>
    </row>
    <row r="1141" spans="1:1" x14ac:dyDescent="0.25">
      <c r="A1141" t="s">
        <v>8009</v>
      </c>
    </row>
    <row r="1142" spans="1:1" x14ac:dyDescent="0.25">
      <c r="A1142" t="s">
        <v>8010</v>
      </c>
    </row>
    <row r="1143" spans="1:1" x14ac:dyDescent="0.25">
      <c r="A1143" t="s">
        <v>8011</v>
      </c>
    </row>
    <row r="1144" spans="1:1" x14ac:dyDescent="0.25">
      <c r="A1144" t="s">
        <v>8012</v>
      </c>
    </row>
    <row r="1145" spans="1:1" x14ac:dyDescent="0.25">
      <c r="A1145" t="s">
        <v>8013</v>
      </c>
    </row>
    <row r="1146" spans="1:1" x14ac:dyDescent="0.25">
      <c r="A1146" t="s">
        <v>8014</v>
      </c>
    </row>
    <row r="1147" spans="1:1" x14ac:dyDescent="0.25">
      <c r="A1147" t="s">
        <v>8015</v>
      </c>
    </row>
    <row r="1148" spans="1:1" x14ac:dyDescent="0.25">
      <c r="A1148" t="s">
        <v>8016</v>
      </c>
    </row>
    <row r="1149" spans="1:1" x14ac:dyDescent="0.25">
      <c r="A1149" t="s">
        <v>8017</v>
      </c>
    </row>
    <row r="1150" spans="1:1" x14ac:dyDescent="0.25">
      <c r="A1150" t="s">
        <v>8018</v>
      </c>
    </row>
    <row r="1151" spans="1:1" x14ac:dyDescent="0.25">
      <c r="A1151" t="s">
        <v>9455</v>
      </c>
    </row>
    <row r="1152" spans="1:1" x14ac:dyDescent="0.25">
      <c r="A1152" t="s">
        <v>9456</v>
      </c>
    </row>
    <row r="1153" spans="1:1" x14ac:dyDescent="0.25">
      <c r="A1153" t="s">
        <v>8019</v>
      </c>
    </row>
    <row r="1154" spans="1:1" x14ac:dyDescent="0.25">
      <c r="A1154" t="s">
        <v>9457</v>
      </c>
    </row>
    <row r="1155" spans="1:1" x14ac:dyDescent="0.25">
      <c r="A1155" t="s">
        <v>9458</v>
      </c>
    </row>
    <row r="1156" spans="1:1" x14ac:dyDescent="0.25">
      <c r="A1156" t="s">
        <v>8020</v>
      </c>
    </row>
    <row r="1157" spans="1:1" x14ac:dyDescent="0.25">
      <c r="A1157" t="s">
        <v>8021</v>
      </c>
    </row>
    <row r="1158" spans="1:1" x14ac:dyDescent="0.25">
      <c r="A1158" t="s">
        <v>9459</v>
      </c>
    </row>
    <row r="1159" spans="1:1" x14ac:dyDescent="0.25">
      <c r="A1159" t="s">
        <v>8022</v>
      </c>
    </row>
    <row r="1160" spans="1:1" x14ac:dyDescent="0.25">
      <c r="A1160" t="s">
        <v>8023</v>
      </c>
    </row>
    <row r="1161" spans="1:1" x14ac:dyDescent="0.25">
      <c r="A1161" t="s">
        <v>9460</v>
      </c>
    </row>
    <row r="1162" spans="1:1" x14ac:dyDescent="0.25">
      <c r="A1162" t="s">
        <v>8024</v>
      </c>
    </row>
    <row r="1163" spans="1:1" x14ac:dyDescent="0.25">
      <c r="A1163" t="s">
        <v>9461</v>
      </c>
    </row>
    <row r="1164" spans="1:1" x14ac:dyDescent="0.25">
      <c r="A1164" t="s">
        <v>9462</v>
      </c>
    </row>
    <row r="1165" spans="1:1" x14ac:dyDescent="0.25">
      <c r="A1165" t="s">
        <v>9463</v>
      </c>
    </row>
    <row r="1166" spans="1:1" x14ac:dyDescent="0.25">
      <c r="A1166" t="s">
        <v>9464</v>
      </c>
    </row>
    <row r="1167" spans="1:1" x14ac:dyDescent="0.25">
      <c r="A1167" t="s">
        <v>9465</v>
      </c>
    </row>
    <row r="1168" spans="1:1" x14ac:dyDescent="0.25">
      <c r="A1168" t="s">
        <v>8025</v>
      </c>
    </row>
    <row r="1169" spans="1:1" x14ac:dyDescent="0.25">
      <c r="A1169" t="s">
        <v>9466</v>
      </c>
    </row>
    <row r="1170" spans="1:1" x14ac:dyDescent="0.25">
      <c r="A1170" t="s">
        <v>8026</v>
      </c>
    </row>
    <row r="1171" spans="1:1" x14ac:dyDescent="0.25">
      <c r="A1171" t="s">
        <v>9467</v>
      </c>
    </row>
    <row r="1172" spans="1:1" x14ac:dyDescent="0.25">
      <c r="A1172" t="s">
        <v>8027</v>
      </c>
    </row>
    <row r="1173" spans="1:1" x14ac:dyDescent="0.25">
      <c r="A1173" t="s">
        <v>9468</v>
      </c>
    </row>
    <row r="1174" spans="1:1" x14ac:dyDescent="0.25">
      <c r="A1174" t="s">
        <v>8028</v>
      </c>
    </row>
    <row r="1175" spans="1:1" x14ac:dyDescent="0.25">
      <c r="A1175" t="s">
        <v>8029</v>
      </c>
    </row>
    <row r="1176" spans="1:1" x14ac:dyDescent="0.25">
      <c r="A1176" t="s">
        <v>9469</v>
      </c>
    </row>
    <row r="1177" spans="1:1" x14ac:dyDescent="0.25">
      <c r="A1177" t="s">
        <v>8030</v>
      </c>
    </row>
    <row r="1178" spans="1:1" x14ac:dyDescent="0.25">
      <c r="A1178" t="s">
        <v>8031</v>
      </c>
    </row>
    <row r="1179" spans="1:1" x14ac:dyDescent="0.25">
      <c r="A1179" t="s">
        <v>8032</v>
      </c>
    </row>
    <row r="1180" spans="1:1" x14ac:dyDescent="0.25">
      <c r="A1180" t="s">
        <v>8033</v>
      </c>
    </row>
    <row r="1181" spans="1:1" x14ac:dyDescent="0.25">
      <c r="A1181" t="s">
        <v>9470</v>
      </c>
    </row>
    <row r="1182" spans="1:1" x14ac:dyDescent="0.25">
      <c r="A1182" t="s">
        <v>8034</v>
      </c>
    </row>
    <row r="1183" spans="1:1" x14ac:dyDescent="0.25">
      <c r="A1183" t="s">
        <v>8035</v>
      </c>
    </row>
    <row r="1184" spans="1:1" x14ac:dyDescent="0.25">
      <c r="A1184" t="s">
        <v>9072</v>
      </c>
    </row>
    <row r="1185" spans="1:1" x14ac:dyDescent="0.25">
      <c r="A1185" t="s">
        <v>9471</v>
      </c>
    </row>
    <row r="1186" spans="1:1" x14ac:dyDescent="0.25">
      <c r="A1186" t="s">
        <v>8036</v>
      </c>
    </row>
    <row r="1187" spans="1:1" x14ac:dyDescent="0.25">
      <c r="A1187" t="s">
        <v>9472</v>
      </c>
    </row>
    <row r="1188" spans="1:1" x14ac:dyDescent="0.25">
      <c r="A1188" t="s">
        <v>9473</v>
      </c>
    </row>
    <row r="1189" spans="1:1" x14ac:dyDescent="0.25">
      <c r="A1189" t="s">
        <v>8037</v>
      </c>
    </row>
    <row r="1190" spans="1:1" x14ac:dyDescent="0.25">
      <c r="A1190" t="s">
        <v>8038</v>
      </c>
    </row>
    <row r="1191" spans="1:1" x14ac:dyDescent="0.25">
      <c r="A1191" t="s">
        <v>9474</v>
      </c>
    </row>
    <row r="1192" spans="1:1" x14ac:dyDescent="0.25">
      <c r="A1192" t="s">
        <v>8039</v>
      </c>
    </row>
    <row r="1193" spans="1:1" x14ac:dyDescent="0.25">
      <c r="A1193" t="s">
        <v>9475</v>
      </c>
    </row>
    <row r="1194" spans="1:1" x14ac:dyDescent="0.25">
      <c r="A1194" t="s">
        <v>8040</v>
      </c>
    </row>
    <row r="1195" spans="1:1" x14ac:dyDescent="0.25">
      <c r="A1195" t="s">
        <v>8041</v>
      </c>
    </row>
    <row r="1196" spans="1:1" x14ac:dyDescent="0.25">
      <c r="A1196" t="s">
        <v>9476</v>
      </c>
    </row>
    <row r="1197" spans="1:1" x14ac:dyDescent="0.25">
      <c r="A1197" t="s">
        <v>8042</v>
      </c>
    </row>
    <row r="1198" spans="1:1" x14ac:dyDescent="0.25">
      <c r="A1198" t="s">
        <v>8043</v>
      </c>
    </row>
    <row r="1199" spans="1:1" x14ac:dyDescent="0.25">
      <c r="A1199" t="s">
        <v>8044</v>
      </c>
    </row>
    <row r="1200" spans="1:1" x14ac:dyDescent="0.25">
      <c r="A1200" t="s">
        <v>9477</v>
      </c>
    </row>
    <row r="1201" spans="1:1" x14ac:dyDescent="0.25">
      <c r="A1201" t="s">
        <v>9478</v>
      </c>
    </row>
    <row r="1202" spans="1:1" x14ac:dyDescent="0.25">
      <c r="A1202" t="s">
        <v>9479</v>
      </c>
    </row>
    <row r="1203" spans="1:1" x14ac:dyDescent="0.25">
      <c r="A1203" t="s">
        <v>8045</v>
      </c>
    </row>
    <row r="1204" spans="1:1" x14ac:dyDescent="0.25">
      <c r="A1204" t="s">
        <v>8046</v>
      </c>
    </row>
    <row r="1205" spans="1:1" x14ac:dyDescent="0.25">
      <c r="A1205" t="s">
        <v>8047</v>
      </c>
    </row>
    <row r="1206" spans="1:1" x14ac:dyDescent="0.25">
      <c r="A1206" t="s">
        <v>8048</v>
      </c>
    </row>
    <row r="1207" spans="1:1" x14ac:dyDescent="0.25">
      <c r="A1207" t="s">
        <v>8049</v>
      </c>
    </row>
    <row r="1208" spans="1:1" x14ac:dyDescent="0.25">
      <c r="A1208" t="s">
        <v>9480</v>
      </c>
    </row>
    <row r="1209" spans="1:1" x14ac:dyDescent="0.25">
      <c r="A1209" t="s">
        <v>8050</v>
      </c>
    </row>
    <row r="1210" spans="1:1" x14ac:dyDescent="0.25">
      <c r="A1210" t="s">
        <v>9481</v>
      </c>
    </row>
    <row r="1211" spans="1:1" x14ac:dyDescent="0.25">
      <c r="A1211" t="s">
        <v>9482</v>
      </c>
    </row>
    <row r="1212" spans="1:1" x14ac:dyDescent="0.25">
      <c r="A1212" t="s">
        <v>8051</v>
      </c>
    </row>
    <row r="1213" spans="1:1" x14ac:dyDescent="0.25">
      <c r="A1213" t="s">
        <v>9483</v>
      </c>
    </row>
    <row r="1214" spans="1:1" x14ac:dyDescent="0.25">
      <c r="A1214" t="s">
        <v>8052</v>
      </c>
    </row>
    <row r="1215" spans="1:1" x14ac:dyDescent="0.25">
      <c r="A1215" t="s">
        <v>9484</v>
      </c>
    </row>
    <row r="1216" spans="1:1" x14ac:dyDescent="0.25">
      <c r="A1216" t="s">
        <v>8053</v>
      </c>
    </row>
    <row r="1217" spans="1:1" x14ac:dyDescent="0.25">
      <c r="A1217" t="s">
        <v>9485</v>
      </c>
    </row>
    <row r="1218" spans="1:1" x14ac:dyDescent="0.25">
      <c r="A1218" t="s">
        <v>8054</v>
      </c>
    </row>
    <row r="1219" spans="1:1" x14ac:dyDescent="0.25">
      <c r="A1219" t="s">
        <v>9486</v>
      </c>
    </row>
    <row r="1220" spans="1:1" x14ac:dyDescent="0.25">
      <c r="A1220" t="s">
        <v>9487</v>
      </c>
    </row>
    <row r="1221" spans="1:1" x14ac:dyDescent="0.25">
      <c r="A1221" t="s">
        <v>8055</v>
      </c>
    </row>
    <row r="1222" spans="1:1" x14ac:dyDescent="0.25">
      <c r="A1222" t="s">
        <v>8056</v>
      </c>
    </row>
    <row r="1223" spans="1:1" x14ac:dyDescent="0.25">
      <c r="A1223" t="s">
        <v>8057</v>
      </c>
    </row>
    <row r="1224" spans="1:1" x14ac:dyDescent="0.25">
      <c r="A1224" t="s">
        <v>9488</v>
      </c>
    </row>
    <row r="1225" spans="1:1" x14ac:dyDescent="0.25">
      <c r="A1225" t="s">
        <v>8058</v>
      </c>
    </row>
    <row r="1226" spans="1:1" x14ac:dyDescent="0.25">
      <c r="A1226" t="s">
        <v>8059</v>
      </c>
    </row>
    <row r="1227" spans="1:1" x14ac:dyDescent="0.25">
      <c r="A1227" t="s">
        <v>9489</v>
      </c>
    </row>
    <row r="1228" spans="1:1" x14ac:dyDescent="0.25">
      <c r="A1228" t="s">
        <v>8060</v>
      </c>
    </row>
    <row r="1229" spans="1:1" x14ac:dyDescent="0.25">
      <c r="A1229" t="s">
        <v>9490</v>
      </c>
    </row>
    <row r="1230" spans="1:1" x14ac:dyDescent="0.25">
      <c r="A1230" t="s">
        <v>8061</v>
      </c>
    </row>
    <row r="1231" spans="1:1" x14ac:dyDescent="0.25">
      <c r="A1231" t="s">
        <v>8062</v>
      </c>
    </row>
    <row r="1232" spans="1:1" x14ac:dyDescent="0.25">
      <c r="A1232" t="s">
        <v>9491</v>
      </c>
    </row>
    <row r="1233" spans="1:1" x14ac:dyDescent="0.25">
      <c r="A1233" t="s">
        <v>8063</v>
      </c>
    </row>
    <row r="1234" spans="1:1" x14ac:dyDescent="0.25">
      <c r="A1234" t="s">
        <v>8064</v>
      </c>
    </row>
    <row r="1235" spans="1:1" x14ac:dyDescent="0.25">
      <c r="A1235" t="s">
        <v>9492</v>
      </c>
    </row>
    <row r="1236" spans="1:1" x14ac:dyDescent="0.25">
      <c r="A1236" t="s">
        <v>8065</v>
      </c>
    </row>
    <row r="1237" spans="1:1" x14ac:dyDescent="0.25">
      <c r="A1237" t="s">
        <v>8066</v>
      </c>
    </row>
    <row r="1238" spans="1:1" x14ac:dyDescent="0.25">
      <c r="A1238" t="s">
        <v>9493</v>
      </c>
    </row>
    <row r="1239" spans="1:1" x14ac:dyDescent="0.25">
      <c r="A1239" t="s">
        <v>8067</v>
      </c>
    </row>
    <row r="1240" spans="1:1" x14ac:dyDescent="0.25">
      <c r="A1240" t="s">
        <v>9494</v>
      </c>
    </row>
    <row r="1241" spans="1:1" x14ac:dyDescent="0.25">
      <c r="A1241" t="s">
        <v>8068</v>
      </c>
    </row>
    <row r="1242" spans="1:1" x14ac:dyDescent="0.25">
      <c r="A1242" t="s">
        <v>8069</v>
      </c>
    </row>
    <row r="1243" spans="1:1" x14ac:dyDescent="0.25">
      <c r="A1243" t="s">
        <v>8070</v>
      </c>
    </row>
    <row r="1244" spans="1:1" x14ac:dyDescent="0.25">
      <c r="A1244" t="s">
        <v>8071</v>
      </c>
    </row>
    <row r="1245" spans="1:1" x14ac:dyDescent="0.25">
      <c r="A1245" t="s">
        <v>9495</v>
      </c>
    </row>
    <row r="1246" spans="1:1" x14ac:dyDescent="0.25">
      <c r="A1246" t="s">
        <v>8072</v>
      </c>
    </row>
    <row r="1247" spans="1:1" x14ac:dyDescent="0.25">
      <c r="A1247" t="s">
        <v>8073</v>
      </c>
    </row>
    <row r="1248" spans="1:1" x14ac:dyDescent="0.25">
      <c r="A1248" t="s">
        <v>8074</v>
      </c>
    </row>
    <row r="1249" spans="1:1" x14ac:dyDescent="0.25">
      <c r="A1249" t="s">
        <v>9496</v>
      </c>
    </row>
    <row r="1250" spans="1:1" x14ac:dyDescent="0.25">
      <c r="A1250" t="s">
        <v>8075</v>
      </c>
    </row>
    <row r="1251" spans="1:1" x14ac:dyDescent="0.25">
      <c r="A1251" t="s">
        <v>8076</v>
      </c>
    </row>
    <row r="1252" spans="1:1" x14ac:dyDescent="0.25">
      <c r="A1252" t="s">
        <v>9497</v>
      </c>
    </row>
    <row r="1253" spans="1:1" x14ac:dyDescent="0.25">
      <c r="A1253" t="s">
        <v>8077</v>
      </c>
    </row>
    <row r="1254" spans="1:1" x14ac:dyDescent="0.25">
      <c r="A1254" t="s">
        <v>8078</v>
      </c>
    </row>
    <row r="1255" spans="1:1" x14ac:dyDescent="0.25">
      <c r="A1255" t="s">
        <v>9498</v>
      </c>
    </row>
    <row r="1256" spans="1:1" x14ac:dyDescent="0.25">
      <c r="A1256" t="s">
        <v>9499</v>
      </c>
    </row>
    <row r="1257" spans="1:1" x14ac:dyDescent="0.25">
      <c r="A1257" t="s">
        <v>8079</v>
      </c>
    </row>
    <row r="1258" spans="1:1" x14ac:dyDescent="0.25">
      <c r="A1258" t="s">
        <v>8080</v>
      </c>
    </row>
    <row r="1259" spans="1:1" x14ac:dyDescent="0.25">
      <c r="A1259" t="s">
        <v>9500</v>
      </c>
    </row>
    <row r="1260" spans="1:1" x14ac:dyDescent="0.25">
      <c r="A1260" t="s">
        <v>8081</v>
      </c>
    </row>
    <row r="1261" spans="1:1" x14ac:dyDescent="0.25">
      <c r="A1261" t="s">
        <v>8082</v>
      </c>
    </row>
    <row r="1262" spans="1:1" x14ac:dyDescent="0.25">
      <c r="A1262" t="s">
        <v>9501</v>
      </c>
    </row>
    <row r="1263" spans="1:1" x14ac:dyDescent="0.25">
      <c r="A1263" t="s">
        <v>8083</v>
      </c>
    </row>
    <row r="1264" spans="1:1" x14ac:dyDescent="0.25">
      <c r="A1264" t="s">
        <v>8084</v>
      </c>
    </row>
    <row r="1265" spans="1:1" x14ac:dyDescent="0.25">
      <c r="A1265" t="s">
        <v>9502</v>
      </c>
    </row>
    <row r="1266" spans="1:1" x14ac:dyDescent="0.25">
      <c r="A1266" t="s">
        <v>9503</v>
      </c>
    </row>
    <row r="1267" spans="1:1" x14ac:dyDescent="0.25">
      <c r="A1267" t="s">
        <v>9504</v>
      </c>
    </row>
    <row r="1268" spans="1:1" x14ac:dyDescent="0.25">
      <c r="A1268" t="s">
        <v>9505</v>
      </c>
    </row>
    <row r="1269" spans="1:1" x14ac:dyDescent="0.25">
      <c r="A1269" t="s">
        <v>9506</v>
      </c>
    </row>
    <row r="1270" spans="1:1" x14ac:dyDescent="0.25">
      <c r="A1270" t="s">
        <v>8085</v>
      </c>
    </row>
    <row r="1271" spans="1:1" x14ac:dyDescent="0.25">
      <c r="A1271" t="s">
        <v>8086</v>
      </c>
    </row>
    <row r="1272" spans="1:1" x14ac:dyDescent="0.25">
      <c r="A1272" t="s">
        <v>8087</v>
      </c>
    </row>
    <row r="1273" spans="1:1" x14ac:dyDescent="0.25">
      <c r="A1273" t="s">
        <v>8088</v>
      </c>
    </row>
    <row r="1274" spans="1:1" x14ac:dyDescent="0.25">
      <c r="A1274" t="s">
        <v>8089</v>
      </c>
    </row>
    <row r="1275" spans="1:1" x14ac:dyDescent="0.25">
      <c r="A1275" t="s">
        <v>9507</v>
      </c>
    </row>
    <row r="1276" spans="1:1" x14ac:dyDescent="0.25">
      <c r="A1276" t="s">
        <v>9508</v>
      </c>
    </row>
    <row r="1277" spans="1:1" x14ac:dyDescent="0.25">
      <c r="A1277" t="s">
        <v>8090</v>
      </c>
    </row>
    <row r="1278" spans="1:1" x14ac:dyDescent="0.25">
      <c r="A1278" t="s">
        <v>8091</v>
      </c>
    </row>
    <row r="1279" spans="1:1" x14ac:dyDescent="0.25">
      <c r="A1279" t="s">
        <v>9075</v>
      </c>
    </row>
    <row r="1280" spans="1:1" x14ac:dyDescent="0.25">
      <c r="A1280" t="s">
        <v>8092</v>
      </c>
    </row>
    <row r="1281" spans="1:1" x14ac:dyDescent="0.25">
      <c r="A1281" t="s">
        <v>8093</v>
      </c>
    </row>
    <row r="1282" spans="1:1" x14ac:dyDescent="0.25">
      <c r="A1282" t="s">
        <v>9509</v>
      </c>
    </row>
    <row r="1283" spans="1:1" x14ac:dyDescent="0.25">
      <c r="A1283" t="s">
        <v>9510</v>
      </c>
    </row>
    <row r="1284" spans="1:1" x14ac:dyDescent="0.25">
      <c r="A1284" t="s">
        <v>9511</v>
      </c>
    </row>
    <row r="1285" spans="1:1" x14ac:dyDescent="0.25">
      <c r="A1285" t="s">
        <v>8094</v>
      </c>
    </row>
    <row r="1286" spans="1:1" x14ac:dyDescent="0.25">
      <c r="A1286" t="s">
        <v>8095</v>
      </c>
    </row>
    <row r="1287" spans="1:1" x14ac:dyDescent="0.25">
      <c r="A1287" t="s">
        <v>8096</v>
      </c>
    </row>
    <row r="1288" spans="1:1" x14ac:dyDescent="0.25">
      <c r="A1288" t="s">
        <v>8097</v>
      </c>
    </row>
    <row r="1289" spans="1:1" x14ac:dyDescent="0.25">
      <c r="A1289" t="s">
        <v>9512</v>
      </c>
    </row>
    <row r="1290" spans="1:1" x14ac:dyDescent="0.25">
      <c r="A1290" t="s">
        <v>8098</v>
      </c>
    </row>
    <row r="1291" spans="1:1" x14ac:dyDescent="0.25">
      <c r="A1291" t="s">
        <v>8099</v>
      </c>
    </row>
    <row r="1292" spans="1:1" x14ac:dyDescent="0.25">
      <c r="A1292" t="s">
        <v>8100</v>
      </c>
    </row>
    <row r="1293" spans="1:1" x14ac:dyDescent="0.25">
      <c r="A1293" t="s">
        <v>8101</v>
      </c>
    </row>
    <row r="1294" spans="1:1" x14ac:dyDescent="0.25">
      <c r="A1294" t="s">
        <v>9513</v>
      </c>
    </row>
    <row r="1295" spans="1:1" x14ac:dyDescent="0.25">
      <c r="A1295" t="s">
        <v>8102</v>
      </c>
    </row>
    <row r="1296" spans="1:1" x14ac:dyDescent="0.25">
      <c r="A1296" t="s">
        <v>8103</v>
      </c>
    </row>
    <row r="1297" spans="1:1" x14ac:dyDescent="0.25">
      <c r="A1297" t="s">
        <v>8104</v>
      </c>
    </row>
    <row r="1298" spans="1:1" x14ac:dyDescent="0.25">
      <c r="A1298" t="s">
        <v>8105</v>
      </c>
    </row>
    <row r="1299" spans="1:1" x14ac:dyDescent="0.25">
      <c r="A1299" t="s">
        <v>9514</v>
      </c>
    </row>
    <row r="1300" spans="1:1" x14ac:dyDescent="0.25">
      <c r="A1300" t="s">
        <v>8106</v>
      </c>
    </row>
    <row r="1301" spans="1:1" x14ac:dyDescent="0.25">
      <c r="A1301" t="s">
        <v>8107</v>
      </c>
    </row>
    <row r="1302" spans="1:1" x14ac:dyDescent="0.25">
      <c r="A1302" t="s">
        <v>8108</v>
      </c>
    </row>
    <row r="1303" spans="1:1" x14ac:dyDescent="0.25">
      <c r="A1303" t="s">
        <v>9515</v>
      </c>
    </row>
    <row r="1304" spans="1:1" x14ac:dyDescent="0.25">
      <c r="A1304" t="s">
        <v>8109</v>
      </c>
    </row>
    <row r="1305" spans="1:1" x14ac:dyDescent="0.25">
      <c r="A1305" t="s">
        <v>8110</v>
      </c>
    </row>
    <row r="1306" spans="1:1" x14ac:dyDescent="0.25">
      <c r="A1306" t="s">
        <v>8111</v>
      </c>
    </row>
    <row r="1307" spans="1:1" x14ac:dyDescent="0.25">
      <c r="A1307" t="s">
        <v>9516</v>
      </c>
    </row>
    <row r="1308" spans="1:1" x14ac:dyDescent="0.25">
      <c r="A1308" t="s">
        <v>9517</v>
      </c>
    </row>
    <row r="1309" spans="1:1" x14ac:dyDescent="0.25">
      <c r="A1309" t="s">
        <v>8112</v>
      </c>
    </row>
    <row r="1310" spans="1:1" x14ac:dyDescent="0.25">
      <c r="A1310" t="s">
        <v>9518</v>
      </c>
    </row>
    <row r="1311" spans="1:1" x14ac:dyDescent="0.25">
      <c r="A1311" t="s">
        <v>8113</v>
      </c>
    </row>
    <row r="1312" spans="1:1" x14ac:dyDescent="0.25">
      <c r="A1312" t="s">
        <v>9519</v>
      </c>
    </row>
    <row r="1313" spans="1:1" x14ac:dyDescent="0.25">
      <c r="A1313" t="s">
        <v>8114</v>
      </c>
    </row>
    <row r="1314" spans="1:1" x14ac:dyDescent="0.25">
      <c r="A1314" t="s">
        <v>8115</v>
      </c>
    </row>
    <row r="1315" spans="1:1" x14ac:dyDescent="0.25">
      <c r="A1315" t="s">
        <v>9520</v>
      </c>
    </row>
    <row r="1316" spans="1:1" x14ac:dyDescent="0.25">
      <c r="A1316" t="s">
        <v>9521</v>
      </c>
    </row>
    <row r="1317" spans="1:1" x14ac:dyDescent="0.25">
      <c r="A1317" t="s">
        <v>8116</v>
      </c>
    </row>
    <row r="1318" spans="1:1" x14ac:dyDescent="0.25">
      <c r="A1318" t="s">
        <v>9522</v>
      </c>
    </row>
    <row r="1319" spans="1:1" x14ac:dyDescent="0.25">
      <c r="A1319" t="s">
        <v>8117</v>
      </c>
    </row>
    <row r="1320" spans="1:1" x14ac:dyDescent="0.25">
      <c r="A1320" t="s">
        <v>9523</v>
      </c>
    </row>
    <row r="1321" spans="1:1" x14ac:dyDescent="0.25">
      <c r="A1321" t="s">
        <v>9524</v>
      </c>
    </row>
    <row r="1322" spans="1:1" x14ac:dyDescent="0.25">
      <c r="A1322" t="s">
        <v>9525</v>
      </c>
    </row>
    <row r="1323" spans="1:1" x14ac:dyDescent="0.25">
      <c r="A1323" t="s">
        <v>9526</v>
      </c>
    </row>
    <row r="1324" spans="1:1" x14ac:dyDescent="0.25">
      <c r="A1324" t="s">
        <v>9527</v>
      </c>
    </row>
    <row r="1325" spans="1:1" x14ac:dyDescent="0.25">
      <c r="A1325" t="s">
        <v>8118</v>
      </c>
    </row>
    <row r="1326" spans="1:1" x14ac:dyDescent="0.25">
      <c r="A1326" t="s">
        <v>9528</v>
      </c>
    </row>
    <row r="1327" spans="1:1" x14ac:dyDescent="0.25">
      <c r="A1327" t="s">
        <v>8119</v>
      </c>
    </row>
    <row r="1328" spans="1:1" x14ac:dyDescent="0.25">
      <c r="A1328" t="s">
        <v>8120</v>
      </c>
    </row>
    <row r="1329" spans="1:1" x14ac:dyDescent="0.25">
      <c r="A1329" t="s">
        <v>8121</v>
      </c>
    </row>
    <row r="1330" spans="1:1" x14ac:dyDescent="0.25">
      <c r="A1330" t="s">
        <v>8122</v>
      </c>
    </row>
    <row r="1331" spans="1:1" x14ac:dyDescent="0.25">
      <c r="A1331" t="s">
        <v>8123</v>
      </c>
    </row>
    <row r="1332" spans="1:1" x14ac:dyDescent="0.25">
      <c r="A1332" t="s">
        <v>8124</v>
      </c>
    </row>
    <row r="1333" spans="1:1" x14ac:dyDescent="0.25">
      <c r="A1333" t="s">
        <v>8125</v>
      </c>
    </row>
    <row r="1334" spans="1:1" x14ac:dyDescent="0.25">
      <c r="A1334" t="s">
        <v>8126</v>
      </c>
    </row>
    <row r="1335" spans="1:1" x14ac:dyDescent="0.25">
      <c r="A1335" t="s">
        <v>8127</v>
      </c>
    </row>
    <row r="1336" spans="1:1" x14ac:dyDescent="0.25">
      <c r="A1336" t="s">
        <v>8128</v>
      </c>
    </row>
    <row r="1337" spans="1:1" x14ac:dyDescent="0.25">
      <c r="A1337" t="s">
        <v>8129</v>
      </c>
    </row>
    <row r="1338" spans="1:1" x14ac:dyDescent="0.25">
      <c r="A1338" t="s">
        <v>8130</v>
      </c>
    </row>
    <row r="1339" spans="1:1" x14ac:dyDescent="0.25">
      <c r="A1339" t="s">
        <v>8131</v>
      </c>
    </row>
    <row r="1340" spans="1:1" x14ac:dyDescent="0.25">
      <c r="A1340" t="s">
        <v>9529</v>
      </c>
    </row>
    <row r="1341" spans="1:1" x14ac:dyDescent="0.25">
      <c r="A1341" t="s">
        <v>8132</v>
      </c>
    </row>
    <row r="1342" spans="1:1" x14ac:dyDescent="0.25">
      <c r="A1342" t="s">
        <v>9530</v>
      </c>
    </row>
    <row r="1343" spans="1:1" x14ac:dyDescent="0.25">
      <c r="A1343" t="s">
        <v>8133</v>
      </c>
    </row>
    <row r="1344" spans="1:1" x14ac:dyDescent="0.25">
      <c r="A1344" t="s">
        <v>9531</v>
      </c>
    </row>
    <row r="1345" spans="1:1" x14ac:dyDescent="0.25">
      <c r="A1345" t="s">
        <v>9532</v>
      </c>
    </row>
    <row r="1346" spans="1:1" x14ac:dyDescent="0.25">
      <c r="A1346" t="s">
        <v>9533</v>
      </c>
    </row>
    <row r="1347" spans="1:1" x14ac:dyDescent="0.25">
      <c r="A1347" t="s">
        <v>9534</v>
      </c>
    </row>
    <row r="1348" spans="1:1" x14ac:dyDescent="0.25">
      <c r="A1348" t="s">
        <v>9535</v>
      </c>
    </row>
    <row r="1349" spans="1:1" x14ac:dyDescent="0.25">
      <c r="A1349" t="s">
        <v>9536</v>
      </c>
    </row>
    <row r="1350" spans="1:1" x14ac:dyDescent="0.25">
      <c r="A1350" t="s">
        <v>9537</v>
      </c>
    </row>
    <row r="1351" spans="1:1" x14ac:dyDescent="0.25">
      <c r="A1351" t="s">
        <v>8134</v>
      </c>
    </row>
    <row r="1352" spans="1:1" x14ac:dyDescent="0.25">
      <c r="A1352" t="s">
        <v>9538</v>
      </c>
    </row>
    <row r="1353" spans="1:1" x14ac:dyDescent="0.25">
      <c r="A1353" t="s">
        <v>9539</v>
      </c>
    </row>
    <row r="1354" spans="1:1" x14ac:dyDescent="0.25">
      <c r="A1354" t="s">
        <v>9540</v>
      </c>
    </row>
    <row r="1355" spans="1:1" x14ac:dyDescent="0.25">
      <c r="A1355" t="s">
        <v>8135</v>
      </c>
    </row>
    <row r="1356" spans="1:1" x14ac:dyDescent="0.25">
      <c r="A1356" t="s">
        <v>9541</v>
      </c>
    </row>
    <row r="1357" spans="1:1" x14ac:dyDescent="0.25">
      <c r="A1357" t="s">
        <v>8136</v>
      </c>
    </row>
    <row r="1358" spans="1:1" x14ac:dyDescent="0.25">
      <c r="A1358" t="s">
        <v>8137</v>
      </c>
    </row>
    <row r="1359" spans="1:1" x14ac:dyDescent="0.25">
      <c r="A1359" t="s">
        <v>8138</v>
      </c>
    </row>
    <row r="1360" spans="1:1" x14ac:dyDescent="0.25">
      <c r="A1360" t="s">
        <v>8139</v>
      </c>
    </row>
    <row r="1361" spans="1:1" x14ac:dyDescent="0.25">
      <c r="A1361" t="s">
        <v>8140</v>
      </c>
    </row>
    <row r="1362" spans="1:1" x14ac:dyDescent="0.25">
      <c r="A1362" t="s">
        <v>8141</v>
      </c>
    </row>
    <row r="1363" spans="1:1" x14ac:dyDescent="0.25">
      <c r="A1363" t="s">
        <v>9542</v>
      </c>
    </row>
    <row r="1364" spans="1:1" x14ac:dyDescent="0.25">
      <c r="A1364" t="s">
        <v>8142</v>
      </c>
    </row>
    <row r="1365" spans="1:1" x14ac:dyDescent="0.25">
      <c r="A1365" t="s">
        <v>8143</v>
      </c>
    </row>
    <row r="1366" spans="1:1" x14ac:dyDescent="0.25">
      <c r="A1366" t="s">
        <v>8144</v>
      </c>
    </row>
    <row r="1367" spans="1:1" x14ac:dyDescent="0.25">
      <c r="A1367" t="s">
        <v>8145</v>
      </c>
    </row>
    <row r="1368" spans="1:1" x14ac:dyDescent="0.25">
      <c r="A1368" t="s">
        <v>9543</v>
      </c>
    </row>
    <row r="1369" spans="1:1" x14ac:dyDescent="0.25">
      <c r="A1369" t="s">
        <v>8146</v>
      </c>
    </row>
    <row r="1370" spans="1:1" x14ac:dyDescent="0.25">
      <c r="A1370" t="s">
        <v>8147</v>
      </c>
    </row>
    <row r="1371" spans="1:1" x14ac:dyDescent="0.25">
      <c r="A1371" t="s">
        <v>9544</v>
      </c>
    </row>
    <row r="1372" spans="1:1" x14ac:dyDescent="0.25">
      <c r="A1372" t="s">
        <v>8148</v>
      </c>
    </row>
    <row r="1373" spans="1:1" x14ac:dyDescent="0.25">
      <c r="A1373" t="s">
        <v>9545</v>
      </c>
    </row>
    <row r="1374" spans="1:1" x14ac:dyDescent="0.25">
      <c r="A1374" t="s">
        <v>8149</v>
      </c>
    </row>
    <row r="1375" spans="1:1" x14ac:dyDescent="0.25">
      <c r="A1375" t="s">
        <v>8150</v>
      </c>
    </row>
    <row r="1376" spans="1:1" x14ac:dyDescent="0.25">
      <c r="A1376" t="s">
        <v>8151</v>
      </c>
    </row>
    <row r="1377" spans="1:1" x14ac:dyDescent="0.25">
      <c r="A1377" t="s">
        <v>8152</v>
      </c>
    </row>
    <row r="1378" spans="1:1" x14ac:dyDescent="0.25">
      <c r="A1378" t="s">
        <v>8153</v>
      </c>
    </row>
    <row r="1379" spans="1:1" x14ac:dyDescent="0.25">
      <c r="A1379" t="s">
        <v>8154</v>
      </c>
    </row>
    <row r="1380" spans="1:1" x14ac:dyDescent="0.25">
      <c r="A1380" t="s">
        <v>9546</v>
      </c>
    </row>
    <row r="1381" spans="1:1" x14ac:dyDescent="0.25">
      <c r="A1381" t="s">
        <v>9547</v>
      </c>
    </row>
    <row r="1382" spans="1:1" x14ac:dyDescent="0.25">
      <c r="A1382" t="s">
        <v>8155</v>
      </c>
    </row>
    <row r="1383" spans="1:1" x14ac:dyDescent="0.25">
      <c r="A1383" t="s">
        <v>8156</v>
      </c>
    </row>
    <row r="1384" spans="1:1" x14ac:dyDescent="0.25">
      <c r="A1384" t="s">
        <v>9548</v>
      </c>
    </row>
    <row r="1385" spans="1:1" x14ac:dyDescent="0.25">
      <c r="A1385" t="s">
        <v>8157</v>
      </c>
    </row>
    <row r="1386" spans="1:1" x14ac:dyDescent="0.25">
      <c r="A1386" t="s">
        <v>8158</v>
      </c>
    </row>
    <row r="1387" spans="1:1" x14ac:dyDescent="0.25">
      <c r="A1387" t="s">
        <v>8159</v>
      </c>
    </row>
    <row r="1388" spans="1:1" x14ac:dyDescent="0.25">
      <c r="A1388" t="s">
        <v>9549</v>
      </c>
    </row>
    <row r="1389" spans="1:1" x14ac:dyDescent="0.25">
      <c r="A1389" t="s">
        <v>9550</v>
      </c>
    </row>
    <row r="1390" spans="1:1" x14ac:dyDescent="0.25">
      <c r="A1390" t="s">
        <v>8160</v>
      </c>
    </row>
    <row r="1391" spans="1:1" x14ac:dyDescent="0.25">
      <c r="A1391" t="s">
        <v>8161</v>
      </c>
    </row>
    <row r="1392" spans="1:1" x14ac:dyDescent="0.25">
      <c r="A1392" t="s">
        <v>9551</v>
      </c>
    </row>
    <row r="1393" spans="1:1" x14ac:dyDescent="0.25">
      <c r="A1393" t="s">
        <v>8162</v>
      </c>
    </row>
    <row r="1394" spans="1:1" x14ac:dyDescent="0.25">
      <c r="A1394" t="s">
        <v>8163</v>
      </c>
    </row>
    <row r="1395" spans="1:1" x14ac:dyDescent="0.25">
      <c r="A1395" t="s">
        <v>9552</v>
      </c>
    </row>
    <row r="1396" spans="1:1" x14ac:dyDescent="0.25">
      <c r="A1396" t="s">
        <v>9553</v>
      </c>
    </row>
    <row r="1397" spans="1:1" x14ac:dyDescent="0.25">
      <c r="A1397" t="s">
        <v>9554</v>
      </c>
    </row>
    <row r="1398" spans="1:1" x14ac:dyDescent="0.25">
      <c r="A1398" t="s">
        <v>8164</v>
      </c>
    </row>
    <row r="1399" spans="1:1" x14ac:dyDescent="0.25">
      <c r="A1399" t="s">
        <v>8165</v>
      </c>
    </row>
    <row r="1400" spans="1:1" x14ac:dyDescent="0.25">
      <c r="A1400" t="s">
        <v>8166</v>
      </c>
    </row>
    <row r="1401" spans="1:1" x14ac:dyDescent="0.25">
      <c r="A1401" t="s">
        <v>8167</v>
      </c>
    </row>
    <row r="1402" spans="1:1" x14ac:dyDescent="0.25">
      <c r="A1402" t="s">
        <v>8168</v>
      </c>
    </row>
  </sheetData>
  <pageMargins left="0.7" right="0.7" top="0.75" bottom="0.75" header="0.3" footer="0.3"/>
  <pageSetup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6"/>
  <sheetViews>
    <sheetView workbookViewId="0">
      <pane xSplit="4" ySplit="11" topLeftCell="E12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22.5703125" customWidth="1"/>
    <col min="3" max="3" width="14" customWidth="1"/>
    <col min="4" max="4" width="30.85546875" customWidth="1"/>
  </cols>
  <sheetData>
    <row r="1" spans="1:14" ht="20.25" x14ac:dyDescent="0.3">
      <c r="A1" s="12" t="s">
        <v>9555</v>
      </c>
    </row>
    <row r="2" spans="1:14" x14ac:dyDescent="0.25">
      <c r="A2" s="6" t="s">
        <v>9556</v>
      </c>
      <c r="B2" s="9">
        <f>204/7100</f>
        <v>2.8732394366197182E-2</v>
      </c>
      <c r="C2" t="s">
        <v>2</v>
      </c>
      <c r="D2">
        <v>146</v>
      </c>
      <c r="N2" s="14"/>
    </row>
    <row r="3" spans="1:14" x14ac:dyDescent="0.25">
      <c r="A3" t="s">
        <v>9557</v>
      </c>
      <c r="C3" t="s">
        <v>4</v>
      </c>
      <c r="D3">
        <v>77079</v>
      </c>
    </row>
    <row r="4" spans="1:14" x14ac:dyDescent="0.25">
      <c r="A4" t="s">
        <v>9558</v>
      </c>
      <c r="C4" t="s">
        <v>6</v>
      </c>
      <c r="D4" t="s">
        <v>7</v>
      </c>
    </row>
    <row r="5" spans="1:14" x14ac:dyDescent="0.25">
      <c r="A5" t="s">
        <v>9559</v>
      </c>
      <c r="C5" t="s">
        <v>9</v>
      </c>
      <c r="D5" t="s">
        <v>10</v>
      </c>
    </row>
    <row r="6" spans="1:14" x14ac:dyDescent="0.25">
      <c r="A6" t="s">
        <v>9560</v>
      </c>
      <c r="C6" t="s">
        <v>12</v>
      </c>
      <c r="D6" t="s">
        <v>13</v>
      </c>
    </row>
    <row r="7" spans="1:14" x14ac:dyDescent="0.25">
      <c r="A7" t="s">
        <v>9561</v>
      </c>
      <c r="C7" t="s">
        <v>15</v>
      </c>
      <c r="D7" t="s">
        <v>16</v>
      </c>
    </row>
    <row r="8" spans="1:14" x14ac:dyDescent="0.25">
      <c r="A8" t="s">
        <v>9562</v>
      </c>
      <c r="C8" t="s">
        <v>18</v>
      </c>
      <c r="D8" t="s">
        <v>19</v>
      </c>
    </row>
    <row r="9" spans="1:14" x14ac:dyDescent="0.25">
      <c r="A9" t="s">
        <v>9563</v>
      </c>
      <c r="C9" t="s">
        <v>21</v>
      </c>
      <c r="D9">
        <v>3</v>
      </c>
    </row>
    <row r="10" spans="1:14" x14ac:dyDescent="0.25">
      <c r="A10" t="s">
        <v>9564</v>
      </c>
    </row>
    <row r="11" spans="1:14" x14ac:dyDescent="0.25">
      <c r="A11" t="s">
        <v>8694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14" x14ac:dyDescent="0.25">
      <c r="A12" t="s">
        <v>8695</v>
      </c>
      <c r="C12" s="3" t="str">
        <f>HYPERLINK("http://amigo.geneontology.org/amigo/term/GO:0016788","GO:0016788")</f>
        <v>GO:0016788</v>
      </c>
      <c r="D12" t="s">
        <v>115</v>
      </c>
      <c r="E12">
        <v>2434</v>
      </c>
      <c r="F12">
        <v>19</v>
      </c>
      <c r="G12" s="4">
        <v>2.02094309072703E-7</v>
      </c>
      <c r="H12" s="4">
        <v>9.1245580546325496E-4</v>
      </c>
      <c r="I12" t="s">
        <v>9565</v>
      </c>
    </row>
    <row r="13" spans="1:14" x14ac:dyDescent="0.25">
      <c r="A13" t="s">
        <v>9566</v>
      </c>
      <c r="C13" s="3" t="str">
        <f>HYPERLINK("http://amigo.geneontology.org/amigo/term/GO:0008083","GO:0008083")</f>
        <v>GO:0008083</v>
      </c>
      <c r="D13" t="s">
        <v>32</v>
      </c>
      <c r="E13">
        <v>12</v>
      </c>
      <c r="F13">
        <v>3</v>
      </c>
      <c r="G13" s="4">
        <v>1.4463516920727101E-6</v>
      </c>
      <c r="H13">
        <v>3.2644157690081099E-3</v>
      </c>
      <c r="I13" t="s">
        <v>9567</v>
      </c>
    </row>
    <row r="14" spans="1:14" x14ac:dyDescent="0.25">
      <c r="A14" t="s">
        <v>9568</v>
      </c>
      <c r="C14" s="3" t="str">
        <f>HYPERLINK("http://amigo.geneontology.org/amigo/term/GO:0009765","GO:0009765")</f>
        <v>GO:0009765</v>
      </c>
      <c r="D14" t="s">
        <v>5979</v>
      </c>
      <c r="E14">
        <v>100</v>
      </c>
      <c r="F14">
        <v>5</v>
      </c>
      <c r="G14" s="4">
        <v>1.4823755748117101E-6</v>
      </c>
      <c r="H14">
        <v>2.2309752400916198E-3</v>
      </c>
      <c r="I14" t="s">
        <v>8704</v>
      </c>
    </row>
    <row r="15" spans="1:14" x14ac:dyDescent="0.25">
      <c r="A15" t="s">
        <v>9569</v>
      </c>
      <c r="C15" s="3" t="str">
        <f>HYPERLINK("http://amigo.geneontology.org/amigo/term/GO:0030545","GO:0030545")</f>
        <v>GO:0030545</v>
      </c>
      <c r="D15" t="s">
        <v>35</v>
      </c>
      <c r="E15">
        <v>16</v>
      </c>
      <c r="F15">
        <v>3</v>
      </c>
      <c r="G15" s="4">
        <v>3.6611912647497201E-6</v>
      </c>
      <c r="H15">
        <v>3.3060557120690001E-3</v>
      </c>
      <c r="I15" t="s">
        <v>9567</v>
      </c>
    </row>
    <row r="16" spans="1:14" x14ac:dyDescent="0.25">
      <c r="A16" t="s">
        <v>6877</v>
      </c>
      <c r="C16" s="3" t="str">
        <f>HYPERLINK("http://amigo.geneontology.org/amigo/term/GO:0048018","GO:0048018")</f>
        <v>GO:0048018</v>
      </c>
      <c r="D16" t="s">
        <v>37</v>
      </c>
      <c r="E16">
        <v>16</v>
      </c>
      <c r="F16">
        <v>3</v>
      </c>
      <c r="G16" s="4">
        <v>3.6611912647497201E-6</v>
      </c>
      <c r="H16">
        <v>4.1298237466376904E-3</v>
      </c>
      <c r="I16" t="s">
        <v>9567</v>
      </c>
    </row>
    <row r="17" spans="1:9" x14ac:dyDescent="0.25">
      <c r="A17" t="s">
        <v>9570</v>
      </c>
      <c r="C17" s="3" t="str">
        <f>HYPERLINK("http://amigo.geneontology.org/amigo/term/GO:0016787","GO:0016787")</f>
        <v>GO:0016787</v>
      </c>
      <c r="D17" t="s">
        <v>98</v>
      </c>
      <c r="E17">
        <v>9814</v>
      </c>
      <c r="F17">
        <v>39</v>
      </c>
      <c r="G17" s="4">
        <v>4.3008937212387E-6</v>
      </c>
      <c r="H17">
        <v>3.2342720783715001E-3</v>
      </c>
      <c r="I17" t="s">
        <v>9571</v>
      </c>
    </row>
    <row r="18" spans="1:9" x14ac:dyDescent="0.25">
      <c r="A18" t="s">
        <v>9572</v>
      </c>
      <c r="C18" s="3" t="str">
        <f>HYPERLINK("http://amigo.geneontology.org/amigo/term/GO:0005665","GO:0005665")</f>
        <v>GO:0005665</v>
      </c>
      <c r="D18" t="s">
        <v>8706</v>
      </c>
      <c r="E18">
        <v>18</v>
      </c>
      <c r="F18">
        <v>3</v>
      </c>
      <c r="G18" s="4">
        <v>5.3200587936946602E-6</v>
      </c>
      <c r="H18">
        <v>3.4314379219330502E-3</v>
      </c>
      <c r="I18" t="s">
        <v>8707</v>
      </c>
    </row>
    <row r="19" spans="1:9" x14ac:dyDescent="0.25">
      <c r="A19" t="s">
        <v>9573</v>
      </c>
      <c r="C19" s="3" t="str">
        <f>HYPERLINK("http://amigo.geneontology.org/amigo/term/GO:0005102","GO:0005102")</f>
        <v>GO:0005102</v>
      </c>
      <c r="D19" t="s">
        <v>39</v>
      </c>
      <c r="E19">
        <v>21</v>
      </c>
      <c r="F19">
        <v>3</v>
      </c>
      <c r="G19" s="4">
        <v>8.6350750141497494E-6</v>
      </c>
      <c r="H19">
        <v>4.8701823079804604E-3</v>
      </c>
      <c r="I19" t="s">
        <v>9567</v>
      </c>
    </row>
    <row r="20" spans="1:9" x14ac:dyDescent="0.25">
      <c r="A20" t="s">
        <v>9574</v>
      </c>
      <c r="C20" s="3" t="str">
        <f>HYPERLINK("http://amigo.geneontology.org/amigo/term/GO:0048037","GO:0048037")</f>
        <v>GO:0048037</v>
      </c>
      <c r="D20" t="s">
        <v>4125</v>
      </c>
      <c r="E20">
        <v>4750</v>
      </c>
      <c r="F20">
        <v>24</v>
      </c>
      <c r="G20" s="4">
        <v>1.0471061045921101E-5</v>
      </c>
      <c r="H20">
        <v>5.2460015840065004E-3</v>
      </c>
      <c r="I20" t="s">
        <v>9575</v>
      </c>
    </row>
    <row r="21" spans="1:9" x14ac:dyDescent="0.25">
      <c r="A21" t="s">
        <v>9576</v>
      </c>
      <c r="C21" s="3" t="str">
        <f>HYPERLINK("http://amigo.geneontology.org/amigo/term/GO:0045548","GO:0045548")</f>
        <v>GO:0045548</v>
      </c>
      <c r="D21" t="s">
        <v>7006</v>
      </c>
      <c r="E21">
        <v>27</v>
      </c>
      <c r="F21">
        <v>3</v>
      </c>
      <c r="G21" s="4">
        <v>1.8832939167610399E-5</v>
      </c>
      <c r="H21">
        <v>8.4936555645923201E-3</v>
      </c>
      <c r="I21" t="s">
        <v>9577</v>
      </c>
    </row>
    <row r="22" spans="1:9" x14ac:dyDescent="0.25">
      <c r="A22" t="s">
        <v>8696</v>
      </c>
      <c r="C22" s="3" t="str">
        <f>HYPERLINK("http://amigo.geneontology.org/amigo/term/GO:0018298","GO:0018298")</f>
        <v>GO:0018298</v>
      </c>
      <c r="D22" t="s">
        <v>1300</v>
      </c>
      <c r="E22">
        <v>90</v>
      </c>
      <c r="F22">
        <v>4</v>
      </c>
      <c r="G22" s="4">
        <v>2.7807567967775699E-5</v>
      </c>
      <c r="H22">
        <v>1.1401102866788001E-2</v>
      </c>
      <c r="I22" t="s">
        <v>8709</v>
      </c>
    </row>
    <row r="23" spans="1:9" x14ac:dyDescent="0.25">
      <c r="A23" t="s">
        <v>8697</v>
      </c>
      <c r="C23" s="3" t="str">
        <f>HYPERLINK("http://amigo.geneontology.org/amigo/term/GO:0009803","GO:0009803")</f>
        <v>GO:0009803</v>
      </c>
      <c r="D23" t="s">
        <v>7022</v>
      </c>
      <c r="E23">
        <v>31</v>
      </c>
      <c r="F23">
        <v>3</v>
      </c>
      <c r="G23" s="4">
        <v>2.8781147815680399E-5</v>
      </c>
      <c r="H23">
        <v>9.9870582920411101E-3</v>
      </c>
      <c r="I23" t="s">
        <v>9577</v>
      </c>
    </row>
    <row r="24" spans="1:9" x14ac:dyDescent="0.25">
      <c r="A24" t="s">
        <v>9578</v>
      </c>
      <c r="C24" s="3" t="str">
        <f>HYPERLINK("http://amigo.geneontology.org/amigo/term/GO:0009800","GO:0009800")</f>
        <v>GO:0009800</v>
      </c>
      <c r="D24" t="s">
        <v>7024</v>
      </c>
      <c r="E24">
        <v>31</v>
      </c>
      <c r="F24">
        <v>3</v>
      </c>
      <c r="G24" s="4">
        <v>2.8781147815680399E-5</v>
      </c>
      <c r="H24">
        <v>1.0821711578695801E-2</v>
      </c>
      <c r="I24" t="s">
        <v>9577</v>
      </c>
    </row>
    <row r="25" spans="1:9" x14ac:dyDescent="0.25">
      <c r="A25" t="s">
        <v>9579</v>
      </c>
      <c r="C25" s="3" t="str">
        <f>HYPERLINK("http://amigo.geneontology.org/amigo/term/GO:0016168","GO:0016168")</f>
        <v>GO:0016168</v>
      </c>
      <c r="D25" t="s">
        <v>5976</v>
      </c>
      <c r="E25">
        <v>91</v>
      </c>
      <c r="F25">
        <v>4</v>
      </c>
      <c r="G25" s="4">
        <v>2.90433976611011E-5</v>
      </c>
      <c r="H25">
        <v>9.3519740468745796E-3</v>
      </c>
      <c r="I25" t="s">
        <v>8709</v>
      </c>
    </row>
    <row r="26" spans="1:9" x14ac:dyDescent="0.25">
      <c r="A26" t="s">
        <v>9580</v>
      </c>
      <c r="C26" s="3" t="str">
        <f>HYPERLINK("http://amigo.geneontology.org/amigo/term/GO:0004553","GO:0004553")</f>
        <v>GO:0004553</v>
      </c>
      <c r="D26" t="s">
        <v>174</v>
      </c>
      <c r="E26">
        <v>1509</v>
      </c>
      <c r="F26">
        <v>12</v>
      </c>
      <c r="G26" s="4">
        <v>3.3675421728333901E-5</v>
      </c>
      <c r="H26">
        <v>1.01363019402285E-2</v>
      </c>
      <c r="I26" t="s">
        <v>9581</v>
      </c>
    </row>
    <row r="27" spans="1:9" x14ac:dyDescent="0.25">
      <c r="A27" t="s">
        <v>9582</v>
      </c>
      <c r="C27" s="3" t="str">
        <f>HYPERLINK("http://amigo.geneontology.org/amigo/term/GO:0042737","GO:0042737")</f>
        <v>GO:0042737</v>
      </c>
      <c r="D27" t="s">
        <v>1072</v>
      </c>
      <c r="E27">
        <v>473</v>
      </c>
      <c r="F27">
        <v>7</v>
      </c>
      <c r="G27" s="4">
        <v>3.6503025056186902E-5</v>
      </c>
      <c r="H27">
        <v>1.02938530658447E-2</v>
      </c>
      <c r="I27" t="s">
        <v>9583</v>
      </c>
    </row>
    <row r="28" spans="1:9" x14ac:dyDescent="0.25">
      <c r="A28" t="s">
        <v>9584</v>
      </c>
      <c r="C28" s="3" t="str">
        <f>HYPERLINK("http://amigo.geneontology.org/amigo/term/GO:0046906","GO:0046906")</f>
        <v>GO:0046906</v>
      </c>
      <c r="D28" t="s">
        <v>1085</v>
      </c>
      <c r="E28">
        <v>2625</v>
      </c>
      <c r="F28">
        <v>16</v>
      </c>
      <c r="G28" s="4">
        <v>4.1763230323087703E-5</v>
      </c>
      <c r="H28">
        <v>1.10672560356182E-2</v>
      </c>
      <c r="I28" t="s">
        <v>9585</v>
      </c>
    </row>
    <row r="29" spans="1:9" x14ac:dyDescent="0.25">
      <c r="A29" t="s">
        <v>9586</v>
      </c>
      <c r="C29" s="3" t="str">
        <f>HYPERLINK("http://amigo.geneontology.org/amigo/term/GO:0005975","GO:0005975")</f>
        <v>GO:0005975</v>
      </c>
      <c r="D29" t="s">
        <v>171</v>
      </c>
      <c r="E29">
        <v>2990</v>
      </c>
      <c r="F29">
        <v>17</v>
      </c>
      <c r="G29" s="4">
        <v>5.61487040359541E-5</v>
      </c>
      <c r="H29">
        <v>1.4037176008988499E-2</v>
      </c>
      <c r="I29" t="s">
        <v>9587</v>
      </c>
    </row>
    <row r="30" spans="1:9" x14ac:dyDescent="0.25">
      <c r="A30" t="s">
        <v>9588</v>
      </c>
      <c r="C30" s="3" t="str">
        <f>HYPERLINK("http://amigo.geneontology.org/amigo/term/GO:0016630","GO:0016630")</f>
        <v>GO:0016630</v>
      </c>
      <c r="D30" t="s">
        <v>8712</v>
      </c>
      <c r="E30">
        <v>7</v>
      </c>
      <c r="F30">
        <v>2</v>
      </c>
      <c r="G30" s="4">
        <v>7.4364928444823703E-5</v>
      </c>
      <c r="H30">
        <v>1.7624488041423199E-2</v>
      </c>
      <c r="I30" t="s">
        <v>8713</v>
      </c>
    </row>
    <row r="31" spans="1:9" x14ac:dyDescent="0.25">
      <c r="A31" t="s">
        <v>8698</v>
      </c>
      <c r="C31" s="3" t="str">
        <f>HYPERLINK("http://amigo.geneontology.org/amigo/term/GO:0016798","GO:0016798")</f>
        <v>GO:0016798</v>
      </c>
      <c r="D31" t="s">
        <v>177</v>
      </c>
      <c r="E31">
        <v>1691</v>
      </c>
      <c r="F31">
        <v>12</v>
      </c>
      <c r="G31" s="4">
        <v>9.90342215140119E-5</v>
      </c>
      <c r="H31">
        <v>2.2282699840652599E-2</v>
      </c>
      <c r="I31" t="s">
        <v>9581</v>
      </c>
    </row>
    <row r="32" spans="1:9" x14ac:dyDescent="0.25">
      <c r="A32" t="s">
        <v>8699</v>
      </c>
      <c r="C32" s="3" t="str">
        <f>HYPERLINK("http://amigo.geneontology.org/amigo/term/GO:1902222","GO:1902222")</f>
        <v>GO:1902222</v>
      </c>
      <c r="D32" t="s">
        <v>6903</v>
      </c>
      <c r="E32">
        <v>62</v>
      </c>
      <c r="F32">
        <v>3</v>
      </c>
      <c r="G32" s="4">
        <v>2.3196385879222301E-4</v>
      </c>
      <c r="H32">
        <v>4.75525910524058E-2</v>
      </c>
      <c r="I32" t="s">
        <v>9577</v>
      </c>
    </row>
    <row r="33" spans="1:9" x14ac:dyDescent="0.25">
      <c r="A33" t="s">
        <v>8700</v>
      </c>
      <c r="C33" s="3" t="str">
        <f>HYPERLINK("http://amigo.geneontology.org/amigo/term/GO:0006559","GO:0006559")</f>
        <v>GO:0006559</v>
      </c>
      <c r="D33" t="s">
        <v>6906</v>
      </c>
      <c r="E33">
        <v>62</v>
      </c>
      <c r="F33">
        <v>3</v>
      </c>
      <c r="G33" s="4">
        <v>2.3196385879222301E-4</v>
      </c>
      <c r="H33">
        <v>4.9872229640328003E-2</v>
      </c>
      <c r="I33" t="s">
        <v>9577</v>
      </c>
    </row>
    <row r="34" spans="1:9" x14ac:dyDescent="0.25">
      <c r="A34" t="s">
        <v>8701</v>
      </c>
      <c r="C34" s="3" t="str">
        <f>HYPERLINK("http://amigo.geneontology.org/amigo/term/GO:0009698","GO:0009698")</f>
        <v>GO:0009698</v>
      </c>
      <c r="D34" t="s">
        <v>5618</v>
      </c>
      <c r="E34">
        <v>157</v>
      </c>
      <c r="F34">
        <v>4</v>
      </c>
      <c r="G34" s="4">
        <v>2.4029954750210401E-4</v>
      </c>
      <c r="H34">
        <v>4.7098711310412503E-2</v>
      </c>
      <c r="I34" t="s">
        <v>9589</v>
      </c>
    </row>
    <row r="35" spans="1:9" x14ac:dyDescent="0.25">
      <c r="A35" t="s">
        <v>8702</v>
      </c>
      <c r="C35" s="3" t="str">
        <f>HYPERLINK("http://amigo.geneontology.org/amigo/term/GO:0009699","GO:0009699")</f>
        <v>GO:0009699</v>
      </c>
      <c r="D35" t="s">
        <v>7078</v>
      </c>
      <c r="E35">
        <v>66</v>
      </c>
      <c r="F35">
        <v>3</v>
      </c>
      <c r="G35" s="4">
        <v>2.7911174266232201E-4</v>
      </c>
      <c r="H35">
        <v>5.2473007620516599E-2</v>
      </c>
      <c r="I35" t="s">
        <v>9577</v>
      </c>
    </row>
    <row r="36" spans="1:9" x14ac:dyDescent="0.25">
      <c r="A36" t="s">
        <v>8703</v>
      </c>
      <c r="C36" s="3" t="str">
        <f>HYPERLINK("http://amigo.geneontology.org/amigo/term/GO:0016841","GO:0016841")</f>
        <v>GO:0016841</v>
      </c>
      <c r="D36" t="s">
        <v>6908</v>
      </c>
      <c r="E36">
        <v>67</v>
      </c>
      <c r="F36">
        <v>3</v>
      </c>
      <c r="G36" s="4">
        <v>2.9179066114949301E-4</v>
      </c>
      <c r="H36">
        <v>5.2522319006908902E-2</v>
      </c>
      <c r="I36" t="s">
        <v>9577</v>
      </c>
    </row>
    <row r="37" spans="1:9" x14ac:dyDescent="0.25">
      <c r="A37" t="s">
        <v>9590</v>
      </c>
      <c r="C37" s="3" t="str">
        <f>HYPERLINK("http://amigo.geneontology.org/amigo/term/GO:1902221","GO:1902221")</f>
        <v>GO:1902221</v>
      </c>
      <c r="D37" t="s">
        <v>6913</v>
      </c>
      <c r="E37">
        <v>90</v>
      </c>
      <c r="F37">
        <v>3</v>
      </c>
      <c r="G37" s="4">
        <v>6.9315926141107003E-4</v>
      </c>
      <c r="H37">
        <v>0.115757596655648</v>
      </c>
      <c r="I37" t="s">
        <v>9577</v>
      </c>
    </row>
    <row r="38" spans="1:9" x14ac:dyDescent="0.25">
      <c r="A38" t="s">
        <v>9591</v>
      </c>
      <c r="C38" s="3" t="str">
        <f>HYPERLINK("http://amigo.geneontology.org/amigo/term/GO:0006558","GO:0006558")</f>
        <v>GO:0006558</v>
      </c>
      <c r="D38" t="s">
        <v>6916</v>
      </c>
      <c r="E38">
        <v>90</v>
      </c>
      <c r="F38">
        <v>3</v>
      </c>
      <c r="G38" s="4">
        <v>6.9315926141107003E-4</v>
      </c>
      <c r="H38">
        <v>0.119916552224115</v>
      </c>
      <c r="I38" t="s">
        <v>9577</v>
      </c>
    </row>
    <row r="39" spans="1:9" x14ac:dyDescent="0.25">
      <c r="A39" t="s">
        <v>9592</v>
      </c>
      <c r="C39" s="3" t="str">
        <f>HYPERLINK("http://amigo.geneontology.org/amigo/term/GO:0015928","GO:0015928")</f>
        <v>GO:0015928</v>
      </c>
      <c r="D39" t="s">
        <v>9593</v>
      </c>
      <c r="E39">
        <v>21</v>
      </c>
      <c r="F39">
        <v>2</v>
      </c>
      <c r="G39" s="4">
        <v>7.3080813434490304E-4</v>
      </c>
      <c r="H39">
        <v>0.11327526082346</v>
      </c>
      <c r="I39" t="s">
        <v>9594</v>
      </c>
    </row>
    <row r="40" spans="1:9" x14ac:dyDescent="0.25">
      <c r="A40" t="s">
        <v>9595</v>
      </c>
      <c r="C40" s="3" t="str">
        <f>HYPERLINK("http://amigo.geneontology.org/amigo/term/GO:0004560","GO:0004560")</f>
        <v>GO:0004560</v>
      </c>
      <c r="D40" t="s">
        <v>9596</v>
      </c>
      <c r="E40">
        <v>21</v>
      </c>
      <c r="F40">
        <v>2</v>
      </c>
      <c r="G40" s="4">
        <v>7.3080813434490304E-4</v>
      </c>
      <c r="H40">
        <v>0.117660109629529</v>
      </c>
      <c r="I40" t="s">
        <v>9594</v>
      </c>
    </row>
    <row r="41" spans="1:9" x14ac:dyDescent="0.25">
      <c r="A41" t="s">
        <v>9597</v>
      </c>
      <c r="C41" s="3" t="str">
        <f>HYPERLINK("http://amigo.geneontology.org/amigo/term/GO:1901606","GO:1901606")</f>
        <v>GO:1901606</v>
      </c>
      <c r="D41" t="s">
        <v>6977</v>
      </c>
      <c r="E41">
        <v>220</v>
      </c>
      <c r="F41">
        <v>4</v>
      </c>
      <c r="G41" s="4">
        <v>8.5446765313607499E-4</v>
      </c>
      <c r="H41">
        <v>0.12817014797041101</v>
      </c>
      <c r="I41" t="s">
        <v>9598</v>
      </c>
    </row>
    <row r="42" spans="1:9" x14ac:dyDescent="0.25">
      <c r="A42" t="s">
        <v>9599</v>
      </c>
      <c r="C42" s="3" t="str">
        <f>HYPERLINK("http://amigo.geneontology.org/amigo/term/GO:0033897","GO:0033897")</f>
        <v>GO:0033897</v>
      </c>
      <c r="D42" t="s">
        <v>9600</v>
      </c>
      <c r="E42">
        <v>24</v>
      </c>
      <c r="F42">
        <v>2</v>
      </c>
      <c r="G42" s="4">
        <v>9.5691675926922999E-4</v>
      </c>
      <c r="H42">
        <v>0.138752930094038</v>
      </c>
      <c r="I42" t="s">
        <v>9601</v>
      </c>
    </row>
    <row r="43" spans="1:9" x14ac:dyDescent="0.25">
      <c r="A43" t="s">
        <v>8705</v>
      </c>
      <c r="C43" s="3" t="str">
        <f>HYPERLINK("http://amigo.geneontology.org/amigo/term/GO:0009063","GO:0009063")</f>
        <v>GO:0009063</v>
      </c>
      <c r="D43" t="s">
        <v>5306</v>
      </c>
      <c r="E43">
        <v>227</v>
      </c>
      <c r="F43">
        <v>4</v>
      </c>
      <c r="G43" s="4">
        <v>9.5950160172252497E-4</v>
      </c>
      <c r="H43">
        <v>0.13528972584287599</v>
      </c>
      <c r="I43" t="s">
        <v>9598</v>
      </c>
    </row>
    <row r="44" spans="1:9" x14ac:dyDescent="0.25">
      <c r="A44" t="s">
        <v>9602</v>
      </c>
      <c r="C44" s="3" t="str">
        <f>HYPERLINK("http://amigo.geneontology.org/amigo/term/GO:0016591","GO:0016591")</f>
        <v>GO:0016591</v>
      </c>
      <c r="D44" t="s">
        <v>8723</v>
      </c>
      <c r="E44">
        <v>109</v>
      </c>
      <c r="F44">
        <v>3</v>
      </c>
      <c r="G44">
        <v>1.20657622042417E-3</v>
      </c>
      <c r="H44">
        <v>0.16409436597768701</v>
      </c>
      <c r="I44" t="s">
        <v>8707</v>
      </c>
    </row>
    <row r="45" spans="1:9" x14ac:dyDescent="0.25">
      <c r="A45" t="s">
        <v>9603</v>
      </c>
      <c r="C45" s="3" t="str">
        <f>HYPERLINK("http://amigo.geneontology.org/amigo/term/GO:0009074","GO:0009074")</f>
        <v>GO:0009074</v>
      </c>
      <c r="D45" t="s">
        <v>6930</v>
      </c>
      <c r="E45">
        <v>113</v>
      </c>
      <c r="F45">
        <v>3</v>
      </c>
      <c r="G45">
        <v>1.33826824914264E-3</v>
      </c>
      <c r="H45">
        <v>0.17665140888682801</v>
      </c>
      <c r="I45" t="s">
        <v>9577</v>
      </c>
    </row>
    <row r="46" spans="1:9" x14ac:dyDescent="0.25">
      <c r="A46" t="s">
        <v>8708</v>
      </c>
      <c r="C46" s="3" t="str">
        <f>HYPERLINK("http://amigo.geneontology.org/amigo/term/GO:0016161","GO:0016161")</f>
        <v>GO:0016161</v>
      </c>
      <c r="D46" t="s">
        <v>713</v>
      </c>
      <c r="E46">
        <v>29</v>
      </c>
      <c r="F46">
        <v>2</v>
      </c>
      <c r="G46">
        <v>1.39892481563372E-3</v>
      </c>
      <c r="H46">
        <v>0.180461301216751</v>
      </c>
      <c r="I46" t="s">
        <v>9604</v>
      </c>
    </row>
    <row r="47" spans="1:9" x14ac:dyDescent="0.25">
      <c r="A47" t="s">
        <v>8710</v>
      </c>
      <c r="C47" s="3" t="str">
        <f>HYPERLINK("http://amigo.geneontology.org/amigo/term/GO:0016892","GO:0016892")</f>
        <v>GO:0016892</v>
      </c>
      <c r="D47" t="s">
        <v>9605</v>
      </c>
      <c r="E47">
        <v>30</v>
      </c>
      <c r="F47">
        <v>2</v>
      </c>
      <c r="G47">
        <v>1.49698858694536E-3</v>
      </c>
      <c r="H47">
        <v>0.18712357336817001</v>
      </c>
      <c r="I47" t="s">
        <v>9601</v>
      </c>
    </row>
    <row r="48" spans="1:9" x14ac:dyDescent="0.25">
      <c r="A48" t="s">
        <v>8711</v>
      </c>
      <c r="C48" s="3" t="str">
        <f>HYPERLINK("http://amigo.geneontology.org/amigo/term/GO:0042537","GO:0042537")</f>
        <v>GO:0042537</v>
      </c>
      <c r="D48" t="s">
        <v>7087</v>
      </c>
      <c r="E48">
        <v>125</v>
      </c>
      <c r="F48">
        <v>3</v>
      </c>
      <c r="G48">
        <v>1.7863828715641899E-3</v>
      </c>
      <c r="H48">
        <v>0.21793871033083201</v>
      </c>
      <c r="I48" t="s">
        <v>9577</v>
      </c>
    </row>
    <row r="49" spans="1:9" x14ac:dyDescent="0.25">
      <c r="A49" t="s">
        <v>9606</v>
      </c>
      <c r="C49" s="3" t="str">
        <f>HYPERLINK("http://amigo.geneontology.org/amigo/term/GO:0000272","GO:0000272")</f>
        <v>GO:0000272</v>
      </c>
      <c r="D49" t="s">
        <v>290</v>
      </c>
      <c r="E49">
        <v>127</v>
      </c>
      <c r="F49">
        <v>3</v>
      </c>
      <c r="G49">
        <v>1.8690679156325499E-3</v>
      </c>
      <c r="H49">
        <v>0.220550014044641</v>
      </c>
      <c r="I49" t="s">
        <v>9607</v>
      </c>
    </row>
    <row r="50" spans="1:9" x14ac:dyDescent="0.25">
      <c r="A50" t="s">
        <v>8714</v>
      </c>
      <c r="C50" s="3" t="str">
        <f>HYPERLINK("http://amigo.geneontology.org/amigo/term/GO:0055029","GO:0055029")</f>
        <v>GO:0055029</v>
      </c>
      <c r="D50" t="s">
        <v>8726</v>
      </c>
      <c r="E50">
        <v>128</v>
      </c>
      <c r="F50">
        <v>3</v>
      </c>
      <c r="G50">
        <v>1.9112902803034601E-3</v>
      </c>
      <c r="H50">
        <v>0.219798382234898</v>
      </c>
      <c r="I50" t="s">
        <v>8707</v>
      </c>
    </row>
    <row r="51" spans="1:9" x14ac:dyDescent="0.25">
      <c r="A51" t="s">
        <v>9608</v>
      </c>
      <c r="C51" s="3" t="str">
        <f>HYPERLINK("http://amigo.geneontology.org/amigo/term/GO:0019684","GO:0019684")</f>
        <v>GO:0019684</v>
      </c>
      <c r="D51" t="s">
        <v>8715</v>
      </c>
      <c r="E51">
        <v>462</v>
      </c>
      <c r="F51">
        <v>5</v>
      </c>
      <c r="G51">
        <v>1.9556569024159701E-3</v>
      </c>
      <c r="H51">
        <v>0.21903357307058899</v>
      </c>
      <c r="I51" t="s">
        <v>8704</v>
      </c>
    </row>
    <row r="52" spans="1:9" x14ac:dyDescent="0.25">
      <c r="A52" t="s">
        <v>8716</v>
      </c>
      <c r="C52" s="3" t="str">
        <f>HYPERLINK("http://amigo.geneontology.org/amigo/term/GO:0030880","GO:0030880")</f>
        <v>GO:0030880</v>
      </c>
      <c r="D52" t="s">
        <v>8728</v>
      </c>
      <c r="E52">
        <v>130</v>
      </c>
      <c r="F52">
        <v>3</v>
      </c>
      <c r="G52">
        <v>1.9975093895598199E-3</v>
      </c>
      <c r="H52">
        <v>0.21373350468290001</v>
      </c>
      <c r="I52" t="s">
        <v>8707</v>
      </c>
    </row>
    <row r="53" spans="1:9" x14ac:dyDescent="0.25">
      <c r="A53" t="s">
        <v>9609</v>
      </c>
      <c r="C53" s="3" t="str">
        <f>HYPERLINK("http://amigo.geneontology.org/amigo/term/GO:0000428","GO:0000428")</f>
        <v>GO:0000428</v>
      </c>
      <c r="D53" t="s">
        <v>8730</v>
      </c>
      <c r="E53">
        <v>130</v>
      </c>
      <c r="F53">
        <v>3</v>
      </c>
      <c r="G53">
        <v>1.9975093895598199E-3</v>
      </c>
      <c r="H53">
        <v>0.21972603285157999</v>
      </c>
      <c r="I53" t="s">
        <v>8707</v>
      </c>
    </row>
    <row r="54" spans="1:9" x14ac:dyDescent="0.25">
      <c r="A54" t="s">
        <v>9610</v>
      </c>
      <c r="C54" s="3" t="str">
        <f>HYPERLINK("http://amigo.geneontology.org/amigo/term/GO:0016157","GO:0016157")</f>
        <v>GO:0016157</v>
      </c>
      <c r="D54" t="s">
        <v>378</v>
      </c>
      <c r="E54">
        <v>37</v>
      </c>
      <c r="F54">
        <v>2</v>
      </c>
      <c r="G54">
        <v>2.27212353330501E-3</v>
      </c>
      <c r="H54">
        <v>0.23857297099702601</v>
      </c>
      <c r="I54" t="s">
        <v>8738</v>
      </c>
    </row>
    <row r="55" spans="1:9" x14ac:dyDescent="0.25">
      <c r="A55" t="s">
        <v>9611</v>
      </c>
      <c r="C55" s="3" t="str">
        <f>HYPERLINK("http://amigo.geneontology.org/amigo/term/GO:0050664","GO:0050664")</f>
        <v>GO:0050664</v>
      </c>
      <c r="D55" t="s">
        <v>4320</v>
      </c>
      <c r="E55">
        <v>42</v>
      </c>
      <c r="F55">
        <v>2</v>
      </c>
      <c r="G55">
        <v>2.9192367482632799E-3</v>
      </c>
      <c r="H55">
        <v>0.29776214832285403</v>
      </c>
      <c r="I55" t="s">
        <v>9612</v>
      </c>
    </row>
    <row r="56" spans="1:9" x14ac:dyDescent="0.25">
      <c r="A56" t="s">
        <v>9613</v>
      </c>
      <c r="C56" s="3" t="str">
        <f>HYPERLINK("http://amigo.geneontology.org/amigo/term/GO:0009064","GO:0009064")</f>
        <v>GO:0009064</v>
      </c>
      <c r="D56" t="s">
        <v>7427</v>
      </c>
      <c r="E56">
        <v>153</v>
      </c>
      <c r="F56">
        <v>3</v>
      </c>
      <c r="G56">
        <v>3.1660063817720999E-3</v>
      </c>
      <c r="H56">
        <v>0.31660063817721001</v>
      </c>
      <c r="I56" t="s">
        <v>9614</v>
      </c>
    </row>
    <row r="57" spans="1:9" x14ac:dyDescent="0.25">
      <c r="A57" t="s">
        <v>9615</v>
      </c>
      <c r="C57" s="3" t="str">
        <f>HYPERLINK("http://amigo.geneontology.org/amigo/term/GO:0016894","GO:0016894")</f>
        <v>GO:0016894</v>
      </c>
      <c r="D57" t="s">
        <v>9616</v>
      </c>
      <c r="E57">
        <v>44</v>
      </c>
      <c r="F57">
        <v>2</v>
      </c>
      <c r="G57">
        <v>3.1994935953803699E-3</v>
      </c>
      <c r="H57">
        <v>0.31355037234727601</v>
      </c>
      <c r="I57" t="s">
        <v>9601</v>
      </c>
    </row>
    <row r="58" spans="1:9" x14ac:dyDescent="0.25">
      <c r="A58" t="s">
        <v>9617</v>
      </c>
      <c r="C58" s="3" t="str">
        <f>HYPERLINK("http://amigo.geneontology.org/amigo/term/GO:0020037","GO:0020037")</f>
        <v>GO:0020037</v>
      </c>
      <c r="D58" t="s">
        <v>1181</v>
      </c>
      <c r="E58">
        <v>2527</v>
      </c>
      <c r="F58">
        <v>12</v>
      </c>
      <c r="G58">
        <v>3.2542267105344102E-3</v>
      </c>
      <c r="H58">
        <v>0.31240576421130301</v>
      </c>
      <c r="I58" t="s">
        <v>9618</v>
      </c>
    </row>
    <row r="59" spans="1:9" x14ac:dyDescent="0.25">
      <c r="A59" t="s">
        <v>9619</v>
      </c>
      <c r="C59" s="3" t="str">
        <f>HYPERLINK("http://amigo.geneontology.org/amigo/term/GO:0016840","GO:0016840")</f>
        <v>GO:0016840</v>
      </c>
      <c r="D59" t="s">
        <v>6969</v>
      </c>
      <c r="E59">
        <v>158</v>
      </c>
      <c r="F59">
        <v>3</v>
      </c>
      <c r="G59">
        <v>3.4649470359783001E-3</v>
      </c>
      <c r="H59">
        <v>0.32570502138196</v>
      </c>
      <c r="I59" t="s">
        <v>9577</v>
      </c>
    </row>
    <row r="60" spans="1:9" x14ac:dyDescent="0.25">
      <c r="A60" t="s">
        <v>8718</v>
      </c>
      <c r="C60" s="3" t="str">
        <f>HYPERLINK("http://amigo.geneontology.org/amigo/term/GO:0090447","GO:0090447")</f>
        <v>GO:0090447</v>
      </c>
      <c r="D60" t="s">
        <v>9620</v>
      </c>
      <c r="E60">
        <v>2</v>
      </c>
      <c r="F60">
        <v>1</v>
      </c>
      <c r="G60">
        <v>3.7847577572156701E-3</v>
      </c>
      <c r="H60">
        <v>0.348197713663842</v>
      </c>
      <c r="I60" t="s">
        <v>9621</v>
      </c>
    </row>
    <row r="61" spans="1:9" x14ac:dyDescent="0.25">
      <c r="A61" t="s">
        <v>9622</v>
      </c>
      <c r="C61" s="3" t="str">
        <f>HYPERLINK("http://amigo.geneontology.org/amigo/term/GO:0006366","GO:0006366")</f>
        <v>GO:0006366</v>
      </c>
      <c r="D61" t="s">
        <v>8734</v>
      </c>
      <c r="E61">
        <v>164</v>
      </c>
      <c r="F61">
        <v>3</v>
      </c>
      <c r="G61">
        <v>3.8457585372296101E-3</v>
      </c>
      <c r="H61">
        <v>0.346118268350665</v>
      </c>
      <c r="I61" t="s">
        <v>8707</v>
      </c>
    </row>
    <row r="62" spans="1:9" x14ac:dyDescent="0.25">
      <c r="A62" t="s">
        <v>9623</v>
      </c>
      <c r="C62" s="3" t="str">
        <f>HYPERLINK("http://amigo.geneontology.org/amigo/term/GO:0030599","GO:0030599")</f>
        <v>GO:0030599</v>
      </c>
      <c r="D62" t="s">
        <v>185</v>
      </c>
      <c r="E62">
        <v>167</v>
      </c>
      <c r="F62">
        <v>3</v>
      </c>
      <c r="G62">
        <v>4.0453388792481499E-3</v>
      </c>
      <c r="H62">
        <v>0.355989821373837</v>
      </c>
      <c r="I62" t="s">
        <v>9624</v>
      </c>
    </row>
    <row r="63" spans="1:9" x14ac:dyDescent="0.25">
      <c r="A63" t="s">
        <v>8720</v>
      </c>
      <c r="C63" s="3" t="str">
        <f>HYPERLINK("http://amigo.geneontology.org/amigo/term/GO:0004601","GO:0004601")</f>
        <v>GO:0004601</v>
      </c>
      <c r="D63" t="s">
        <v>640</v>
      </c>
      <c r="E63">
        <v>798</v>
      </c>
      <c r="F63">
        <v>6</v>
      </c>
      <c r="G63">
        <v>4.3160872669402396E-3</v>
      </c>
      <c r="H63">
        <v>0.37118350495686098</v>
      </c>
      <c r="I63" t="s">
        <v>9625</v>
      </c>
    </row>
    <row r="64" spans="1:9" x14ac:dyDescent="0.25">
      <c r="A64" t="s">
        <v>8721</v>
      </c>
      <c r="C64" s="3" t="str">
        <f>HYPERLINK("http://amigo.geneontology.org/amigo/term/GO:0016684","GO:0016684")</f>
        <v>GO:0016684</v>
      </c>
      <c r="D64" t="s">
        <v>643</v>
      </c>
      <c r="E64">
        <v>799</v>
      </c>
      <c r="F64">
        <v>6</v>
      </c>
      <c r="G64">
        <v>4.3421118515549698E-3</v>
      </c>
      <c r="H64">
        <v>0.36907950738217199</v>
      </c>
      <c r="I64" t="s">
        <v>9625</v>
      </c>
    </row>
    <row r="65" spans="1:9" x14ac:dyDescent="0.25">
      <c r="A65" t="s">
        <v>9626</v>
      </c>
      <c r="C65" s="3" t="str">
        <f>HYPERLINK("http://amigo.geneontology.org/amigo/term/GO:0044550","GO:0044550")</f>
        <v>GO:0044550</v>
      </c>
      <c r="D65" t="s">
        <v>7201</v>
      </c>
      <c r="E65">
        <v>174</v>
      </c>
      <c r="F65">
        <v>3</v>
      </c>
      <c r="G65">
        <v>4.5352100484927103E-3</v>
      </c>
      <c r="H65">
        <v>0.376422434024895</v>
      </c>
      <c r="I65" t="s">
        <v>9577</v>
      </c>
    </row>
    <row r="66" spans="1:9" x14ac:dyDescent="0.25">
      <c r="A66" t="s">
        <v>9627</v>
      </c>
      <c r="C66" s="3" t="str">
        <f>HYPERLINK("http://amigo.geneontology.org/amigo/term/GO:1901605","GO:1901605")</f>
        <v>GO:1901605</v>
      </c>
      <c r="D66" t="s">
        <v>7075</v>
      </c>
      <c r="E66">
        <v>811</v>
      </c>
      <c r="F66">
        <v>6</v>
      </c>
      <c r="G66">
        <v>4.6635288175280896E-3</v>
      </c>
      <c r="H66">
        <v>0.382409363037303</v>
      </c>
      <c r="I66" t="s">
        <v>9628</v>
      </c>
    </row>
    <row r="67" spans="1:9" x14ac:dyDescent="0.25">
      <c r="A67" t="s">
        <v>8722</v>
      </c>
      <c r="C67" s="3" t="str">
        <f>HYPERLINK("http://amigo.geneontology.org/amigo/term/GO:0005985","GO:0005985")</f>
        <v>GO:0005985</v>
      </c>
      <c r="D67" t="s">
        <v>481</v>
      </c>
      <c r="E67">
        <v>55</v>
      </c>
      <c r="F67">
        <v>2</v>
      </c>
      <c r="G67">
        <v>4.9545473722316302E-3</v>
      </c>
      <c r="H67">
        <v>0.39636378977852998</v>
      </c>
      <c r="I67" t="s">
        <v>8738</v>
      </c>
    </row>
    <row r="68" spans="1:9" x14ac:dyDescent="0.25">
      <c r="A68" t="s">
        <v>9629</v>
      </c>
      <c r="C68" s="3" t="str">
        <f>HYPERLINK("http://amigo.geneontology.org/amigo/term/GO:0009056","GO:0009056")</f>
        <v>GO:0009056</v>
      </c>
      <c r="D68" t="s">
        <v>5309</v>
      </c>
      <c r="E68">
        <v>2670</v>
      </c>
      <c r="F68">
        <v>12</v>
      </c>
      <c r="G68">
        <v>5.0181100886113397E-3</v>
      </c>
      <c r="H68">
        <v>0.39643069700029598</v>
      </c>
      <c r="I68" t="s">
        <v>9630</v>
      </c>
    </row>
    <row r="69" spans="1:9" x14ac:dyDescent="0.25">
      <c r="A69" t="s">
        <v>9631</v>
      </c>
      <c r="C69" s="3" t="str">
        <f>HYPERLINK("http://amigo.geneontology.org/amigo/term/GO:0006525","GO:0006525")</f>
        <v>GO:0006525</v>
      </c>
      <c r="D69" t="s">
        <v>9632</v>
      </c>
      <c r="E69">
        <v>56</v>
      </c>
      <c r="F69">
        <v>2</v>
      </c>
      <c r="G69">
        <v>5.1316996221297201E-3</v>
      </c>
      <c r="H69">
        <v>0.39514087090398903</v>
      </c>
      <c r="I69" t="s">
        <v>9633</v>
      </c>
    </row>
    <row r="70" spans="1:9" x14ac:dyDescent="0.25">
      <c r="A70" t="s">
        <v>9634</v>
      </c>
      <c r="C70" s="3" t="str">
        <f>HYPERLINK("http://amigo.geneontology.org/amigo/term/GO:0019748","GO:0019748")</f>
        <v>GO:0019748</v>
      </c>
      <c r="D70" t="s">
        <v>5900</v>
      </c>
      <c r="E70">
        <v>362</v>
      </c>
      <c r="F70">
        <v>4</v>
      </c>
      <c r="G70">
        <v>5.1519775604900097E-3</v>
      </c>
      <c r="H70">
        <v>0.39155029459724</v>
      </c>
      <c r="I70" t="s">
        <v>9589</v>
      </c>
    </row>
    <row r="71" spans="1:9" x14ac:dyDescent="0.25">
      <c r="A71" t="s">
        <v>8724</v>
      </c>
      <c r="C71" s="3" t="str">
        <f>HYPERLINK("http://amigo.geneontology.org/amigo/term/GO:0015979","GO:0015979")</f>
        <v>GO:0015979</v>
      </c>
      <c r="D71" t="s">
        <v>4247</v>
      </c>
      <c r="E71">
        <v>834</v>
      </c>
      <c r="F71">
        <v>6</v>
      </c>
      <c r="G71">
        <v>5.3281397451652498E-3</v>
      </c>
      <c r="H71">
        <v>0.39961048088739398</v>
      </c>
      <c r="I71" t="s">
        <v>8719</v>
      </c>
    </row>
    <row r="72" spans="1:9" x14ac:dyDescent="0.25">
      <c r="A72" t="s">
        <v>9635</v>
      </c>
      <c r="C72" s="3" t="str">
        <f>HYPERLINK("http://amigo.geneontology.org/amigo/term/GO:0016628","GO:0016628")</f>
        <v>GO:0016628</v>
      </c>
      <c r="D72" t="s">
        <v>8752</v>
      </c>
      <c r="E72">
        <v>58</v>
      </c>
      <c r="F72">
        <v>2</v>
      </c>
      <c r="G72">
        <v>5.4946439024119598E-3</v>
      </c>
      <c r="H72">
        <v>0.40660364877848498</v>
      </c>
      <c r="I72" t="s">
        <v>8713</v>
      </c>
    </row>
    <row r="73" spans="1:9" x14ac:dyDescent="0.25">
      <c r="A73" t="s">
        <v>9636</v>
      </c>
      <c r="C73" s="3" t="str">
        <f>HYPERLINK("http://amigo.geneontology.org/amigo/term/GO:0009523","GO:0009523")</f>
        <v>GO:0009523</v>
      </c>
      <c r="D73" t="s">
        <v>8732</v>
      </c>
      <c r="E73">
        <v>379</v>
      </c>
      <c r="F73">
        <v>4</v>
      </c>
      <c r="G73">
        <v>6.0443673245281103E-3</v>
      </c>
      <c r="H73">
        <v>0.43519444736602397</v>
      </c>
      <c r="I73" t="s">
        <v>8709</v>
      </c>
    </row>
    <row r="74" spans="1:9" x14ac:dyDescent="0.25">
      <c r="A74" t="s">
        <v>9637</v>
      </c>
      <c r="C74" s="3" t="str">
        <f>HYPERLINK("http://amigo.geneontology.org/amigo/term/GO:0016054","GO:0016054")</f>
        <v>GO:0016054</v>
      </c>
      <c r="D74" t="s">
        <v>5292</v>
      </c>
      <c r="E74">
        <v>381</v>
      </c>
      <c r="F74">
        <v>4</v>
      </c>
      <c r="G74">
        <v>6.1556736282378796E-3</v>
      </c>
      <c r="H74">
        <v>0.43089715397665201</v>
      </c>
      <c r="I74" t="s">
        <v>9598</v>
      </c>
    </row>
    <row r="75" spans="1:9" x14ac:dyDescent="0.25">
      <c r="A75" t="s">
        <v>9638</v>
      </c>
      <c r="C75" s="3" t="str">
        <f>HYPERLINK("http://amigo.geneontology.org/amigo/term/GO:0046395","GO:0046395")</f>
        <v>GO:0046395</v>
      </c>
      <c r="D75" t="s">
        <v>5294</v>
      </c>
      <c r="E75">
        <v>381</v>
      </c>
      <c r="F75">
        <v>4</v>
      </c>
      <c r="G75">
        <v>6.1556736282378796E-3</v>
      </c>
      <c r="H75">
        <v>0.437052827604889</v>
      </c>
      <c r="I75" t="s">
        <v>9598</v>
      </c>
    </row>
    <row r="76" spans="1:9" x14ac:dyDescent="0.25">
      <c r="A76" t="s">
        <v>8725</v>
      </c>
      <c r="C76" s="3" t="str">
        <f>HYPERLINK("http://amigo.geneontology.org/amigo/term/GO:0016491","GO:0016491")</f>
        <v>GO:0016491</v>
      </c>
      <c r="D76" t="s">
        <v>315</v>
      </c>
      <c r="E76">
        <v>6975</v>
      </c>
      <c r="F76">
        <v>23</v>
      </c>
      <c r="G76">
        <v>6.2650442121976102E-3</v>
      </c>
      <c r="H76">
        <v>0.432288050641635</v>
      </c>
      <c r="I76" t="s">
        <v>9639</v>
      </c>
    </row>
    <row r="77" spans="1:9" x14ac:dyDescent="0.25">
      <c r="A77" t="s">
        <v>9640</v>
      </c>
      <c r="C77" s="3" t="str">
        <f>HYPERLINK("http://amigo.geneontology.org/amigo/term/GO:0061695","GO:0061695")</f>
        <v>GO:0061695</v>
      </c>
      <c r="D77" t="s">
        <v>8742</v>
      </c>
      <c r="E77">
        <v>200</v>
      </c>
      <c r="F77">
        <v>3</v>
      </c>
      <c r="G77">
        <v>6.6610987270830603E-3</v>
      </c>
      <c r="H77">
        <v>0.452954713441648</v>
      </c>
      <c r="I77" t="s">
        <v>8707</v>
      </c>
    </row>
    <row r="78" spans="1:9" x14ac:dyDescent="0.25">
      <c r="A78" t="s">
        <v>8727</v>
      </c>
      <c r="C78" s="3" t="str">
        <f>HYPERLINK("http://amigo.geneontology.org/amigo/term/GO:0016160","GO:0016160")</f>
        <v>GO:0016160</v>
      </c>
      <c r="D78" t="s">
        <v>692</v>
      </c>
      <c r="E78">
        <v>65</v>
      </c>
      <c r="F78">
        <v>2</v>
      </c>
      <c r="G78">
        <v>6.85447570464551E-3</v>
      </c>
      <c r="H78">
        <v>0.45924987221124902</v>
      </c>
      <c r="I78" t="s">
        <v>9604</v>
      </c>
    </row>
    <row r="79" spans="1:9" x14ac:dyDescent="0.25">
      <c r="A79" t="s">
        <v>9641</v>
      </c>
      <c r="C79" s="3" t="str">
        <f>HYPERLINK("http://amigo.geneontology.org/amigo/term/GO:0003899","GO:0003899")</f>
        <v>GO:0003899</v>
      </c>
      <c r="D79" t="s">
        <v>8744</v>
      </c>
      <c r="E79">
        <v>206</v>
      </c>
      <c r="F79">
        <v>3</v>
      </c>
      <c r="G79">
        <v>7.2224182748562597E-3</v>
      </c>
      <c r="H79">
        <v>0.47667960614051302</v>
      </c>
      <c r="I79" t="s">
        <v>8707</v>
      </c>
    </row>
    <row r="80" spans="1:9" x14ac:dyDescent="0.25">
      <c r="A80" t="s">
        <v>9642</v>
      </c>
      <c r="C80" s="3" t="str">
        <f>HYPERLINK("http://amigo.geneontology.org/amigo/term/GO:0055114","GO:0055114")</f>
        <v>GO:0055114</v>
      </c>
      <c r="D80" t="s">
        <v>454</v>
      </c>
      <c r="E80">
        <v>6698</v>
      </c>
      <c r="F80">
        <v>22</v>
      </c>
      <c r="G80">
        <v>7.84774557040048E-3</v>
      </c>
      <c r="H80">
        <v>0.51010346207603097</v>
      </c>
      <c r="I80" t="s">
        <v>9643</v>
      </c>
    </row>
    <row r="81" spans="1:9" x14ac:dyDescent="0.25">
      <c r="A81" t="s">
        <v>9644</v>
      </c>
      <c r="C81" s="3" t="str">
        <f>HYPERLINK("http://amigo.geneontology.org/amigo/term/GO:0042744","GO:0042744")</f>
        <v>GO:0042744</v>
      </c>
      <c r="D81" t="s">
        <v>1152</v>
      </c>
      <c r="E81">
        <v>227</v>
      </c>
      <c r="F81">
        <v>3</v>
      </c>
      <c r="G81">
        <v>9.4033322238043608E-3</v>
      </c>
      <c r="H81">
        <v>0.60181326232347898</v>
      </c>
      <c r="I81" t="s">
        <v>9645</v>
      </c>
    </row>
    <row r="82" spans="1:9" x14ac:dyDescent="0.25">
      <c r="A82" t="s">
        <v>9646</v>
      </c>
      <c r="C82" s="3" t="str">
        <f>HYPERLINK("http://amigo.geneontology.org/amigo/term/GO:0090502","GO:0090502")</f>
        <v>GO:0090502</v>
      </c>
      <c r="D82" t="s">
        <v>9647</v>
      </c>
      <c r="E82">
        <v>78</v>
      </c>
      <c r="F82">
        <v>2</v>
      </c>
      <c r="G82">
        <v>9.7387157896578098E-3</v>
      </c>
      <c r="H82">
        <v>0.61353909474844204</v>
      </c>
      <c r="I82" t="s">
        <v>9601</v>
      </c>
    </row>
    <row r="83" spans="1:9" x14ac:dyDescent="0.25">
      <c r="A83" t="s">
        <v>9648</v>
      </c>
      <c r="C83" s="3" t="str">
        <f>HYPERLINK("http://amigo.geneontology.org/amigo/term/GO:0035251","GO:0035251")</f>
        <v>GO:0035251</v>
      </c>
      <c r="D83" t="s">
        <v>436</v>
      </c>
      <c r="E83">
        <v>234</v>
      </c>
      <c r="F83">
        <v>3</v>
      </c>
      <c r="G83">
        <v>1.02064469954674E-2</v>
      </c>
      <c r="H83">
        <v>0.62259326672351201</v>
      </c>
      <c r="I83" t="s">
        <v>9649</v>
      </c>
    </row>
    <row r="84" spans="1:9" x14ac:dyDescent="0.25">
      <c r="A84" t="s">
        <v>9650</v>
      </c>
      <c r="C84" s="3" t="str">
        <f>HYPERLINK("http://amigo.geneontology.org/amigo/term/GO:0017001","GO:0017001")</f>
        <v>GO:0017001</v>
      </c>
      <c r="D84" t="s">
        <v>1226</v>
      </c>
      <c r="E84">
        <v>234</v>
      </c>
      <c r="F84">
        <v>3</v>
      </c>
      <c r="G84">
        <v>1.02064469954674E-2</v>
      </c>
      <c r="H84">
        <v>0.63279971371898003</v>
      </c>
      <c r="I84" t="s">
        <v>9645</v>
      </c>
    </row>
    <row r="85" spans="1:9" x14ac:dyDescent="0.25">
      <c r="A85" t="s">
        <v>9651</v>
      </c>
      <c r="C85" s="3" t="str">
        <f>HYPERLINK("http://amigo.geneontology.org/amigo/term/GO:0097747","GO:0097747")</f>
        <v>GO:0097747</v>
      </c>
      <c r="D85" t="s">
        <v>6258</v>
      </c>
      <c r="E85">
        <v>242</v>
      </c>
      <c r="F85">
        <v>3</v>
      </c>
      <c r="G85">
        <v>1.11716861633779E-2</v>
      </c>
      <c r="H85">
        <v>0.67030116980267795</v>
      </c>
      <c r="I85" t="s">
        <v>8707</v>
      </c>
    </row>
    <row r="86" spans="1:9" x14ac:dyDescent="0.25">
      <c r="A86" t="s">
        <v>9652</v>
      </c>
      <c r="C86" s="3" t="str">
        <f>HYPERLINK("http://amigo.geneontology.org/amigo/term/GO:0034062","GO:0034062")</f>
        <v>GO:0034062</v>
      </c>
      <c r="D86" t="s">
        <v>6260</v>
      </c>
      <c r="E86">
        <v>242</v>
      </c>
      <c r="F86">
        <v>3</v>
      </c>
      <c r="G86">
        <v>1.11716861633779E-2</v>
      </c>
      <c r="H86">
        <v>0.681472855966056</v>
      </c>
      <c r="I86" t="s">
        <v>8707</v>
      </c>
    </row>
    <row r="87" spans="1:9" x14ac:dyDescent="0.25">
      <c r="A87" t="s">
        <v>8729</v>
      </c>
      <c r="C87" s="3" t="str">
        <f>HYPERLINK("http://amigo.geneontology.org/amigo/term/GO:0031209","GO:0031209")</f>
        <v>GO:0031209</v>
      </c>
      <c r="D87" t="s">
        <v>9653</v>
      </c>
      <c r="E87">
        <v>6</v>
      </c>
      <c r="F87">
        <v>1</v>
      </c>
      <c r="G87">
        <v>1.13116464358735E-2</v>
      </c>
      <c r="H87">
        <v>0.66738713971653896</v>
      </c>
      <c r="I87" t="s">
        <v>9580</v>
      </c>
    </row>
    <row r="88" spans="1:9" x14ac:dyDescent="0.25">
      <c r="A88" t="s">
        <v>8731</v>
      </c>
      <c r="C88" s="3" t="str">
        <f>HYPERLINK("http://amigo.geneontology.org/amigo/term/GO:0016021","GO:0016021")</f>
        <v>GO:0016021</v>
      </c>
      <c r="D88" t="s">
        <v>203</v>
      </c>
      <c r="E88">
        <v>7362</v>
      </c>
      <c r="F88">
        <v>23</v>
      </c>
      <c r="G88">
        <v>1.16281129558914E-2</v>
      </c>
      <c r="H88">
        <v>0.67443055144170205</v>
      </c>
      <c r="I88" t="s">
        <v>9654</v>
      </c>
    </row>
    <row r="89" spans="1:9" x14ac:dyDescent="0.25">
      <c r="A89" t="s">
        <v>9655</v>
      </c>
      <c r="C89" s="3" t="str">
        <f>HYPERLINK("http://amigo.geneontology.org/amigo/term/GO:0009521","GO:0009521")</f>
        <v>GO:0009521</v>
      </c>
      <c r="D89" t="s">
        <v>8740</v>
      </c>
      <c r="E89">
        <v>472</v>
      </c>
      <c r="F89">
        <v>4</v>
      </c>
      <c r="G89">
        <v>1.27569566423767E-2</v>
      </c>
      <c r="H89">
        <v>0.72714652861547202</v>
      </c>
      <c r="I89" t="s">
        <v>8709</v>
      </c>
    </row>
    <row r="90" spans="1:9" x14ac:dyDescent="0.25">
      <c r="A90" t="s">
        <v>9656</v>
      </c>
      <c r="C90" s="3" t="str">
        <f>HYPERLINK("http://amigo.geneontology.org/amigo/term/GO:0031224","GO:0031224")</f>
        <v>GO:0031224</v>
      </c>
      <c r="D90" t="s">
        <v>191</v>
      </c>
      <c r="E90">
        <v>7435</v>
      </c>
      <c r="F90">
        <v>23</v>
      </c>
      <c r="G90">
        <v>1.29699871722385E-2</v>
      </c>
      <c r="H90">
        <v>0.73928926881759804</v>
      </c>
      <c r="I90" t="s">
        <v>9654</v>
      </c>
    </row>
    <row r="91" spans="1:9" x14ac:dyDescent="0.25">
      <c r="A91" t="s">
        <v>9657</v>
      </c>
      <c r="C91" s="3" t="str">
        <f>HYPERLINK("http://amigo.geneontology.org/amigo/term/GO:0003991","GO:0003991")</f>
        <v>GO:0003991</v>
      </c>
      <c r="D91" t="s">
        <v>9658</v>
      </c>
      <c r="E91">
        <v>7</v>
      </c>
      <c r="F91">
        <v>1</v>
      </c>
      <c r="G91">
        <v>1.3184526688028801E-2</v>
      </c>
      <c r="H91">
        <v>0.73833349452961505</v>
      </c>
      <c r="I91" t="s">
        <v>9659</v>
      </c>
    </row>
    <row r="92" spans="1:9" x14ac:dyDescent="0.25">
      <c r="A92" t="s">
        <v>9660</v>
      </c>
      <c r="C92" s="3" t="str">
        <f>HYPERLINK("http://amigo.geneontology.org/amigo/term/GO:0042743","GO:0042743")</f>
        <v>GO:0042743</v>
      </c>
      <c r="D92" t="s">
        <v>1237</v>
      </c>
      <c r="E92">
        <v>259</v>
      </c>
      <c r="F92">
        <v>3</v>
      </c>
      <c r="G92">
        <v>1.33926761560875E-2</v>
      </c>
      <c r="H92">
        <v>0.73659718858481305</v>
      </c>
      <c r="I92" t="s">
        <v>9645</v>
      </c>
    </row>
    <row r="93" spans="1:9" x14ac:dyDescent="0.25">
      <c r="A93" t="s">
        <v>8733</v>
      </c>
      <c r="C93" s="3" t="str">
        <f>HYPERLINK("http://amigo.geneontology.org/amigo/term/GO:0090501","GO:0090501")</f>
        <v>GO:0090501</v>
      </c>
      <c r="D93" t="s">
        <v>9661</v>
      </c>
      <c r="E93">
        <v>107</v>
      </c>
      <c r="F93">
        <v>2</v>
      </c>
      <c r="G93">
        <v>1.7746761583505199E-2</v>
      </c>
      <c r="H93">
        <v>0.97607188709278603</v>
      </c>
      <c r="I93" t="s">
        <v>9601</v>
      </c>
    </row>
    <row r="94" spans="1:9" x14ac:dyDescent="0.25">
      <c r="A94" t="s">
        <v>9662</v>
      </c>
      <c r="C94" s="3" t="str">
        <f>HYPERLINK("http://amigo.geneontology.org/amigo/term/GO:0005615","GO:0005615")</f>
        <v>GO:0005615</v>
      </c>
      <c r="D94" t="s">
        <v>9663</v>
      </c>
      <c r="E94">
        <v>110</v>
      </c>
      <c r="F94">
        <v>2</v>
      </c>
      <c r="G94">
        <v>1.8691771964316501E-2</v>
      </c>
      <c r="H94">
        <v>1</v>
      </c>
      <c r="I94" t="s">
        <v>9664</v>
      </c>
    </row>
    <row r="95" spans="1:9" x14ac:dyDescent="0.25">
      <c r="A95" t="s">
        <v>6878</v>
      </c>
      <c r="C95" s="3" t="str">
        <f>HYPERLINK("http://amigo.geneontology.org/amigo/term/GO:0019825","GO:0019825")</f>
        <v>GO:0019825</v>
      </c>
      <c r="D95" t="s">
        <v>7314</v>
      </c>
      <c r="E95">
        <v>10</v>
      </c>
      <c r="F95">
        <v>1</v>
      </c>
      <c r="G95">
        <v>1.87820524160996E-2</v>
      </c>
      <c r="H95">
        <v>0.97666672563718104</v>
      </c>
      <c r="I95" t="s">
        <v>9576</v>
      </c>
    </row>
    <row r="96" spans="1:9" x14ac:dyDescent="0.25">
      <c r="A96" t="s">
        <v>9665</v>
      </c>
      <c r="C96" s="3" t="str">
        <f>HYPERLINK("http://amigo.geneontology.org/amigo/term/GO:0010143","GO:0010143")</f>
        <v>GO:0010143</v>
      </c>
      <c r="D96" t="s">
        <v>9666</v>
      </c>
      <c r="E96">
        <v>10</v>
      </c>
      <c r="F96">
        <v>1</v>
      </c>
      <c r="G96">
        <v>1.87820524160996E-2</v>
      </c>
      <c r="H96">
        <v>0.99544877805328102</v>
      </c>
      <c r="I96" t="s">
        <v>9621</v>
      </c>
    </row>
    <row r="97" spans="1:9" x14ac:dyDescent="0.25">
      <c r="A97" t="s">
        <v>9667</v>
      </c>
      <c r="C97" s="3" t="str">
        <f>HYPERLINK("http://amigo.geneontology.org/amigo/term/GO:0016174","GO:0016174")</f>
        <v>GO:0016174</v>
      </c>
      <c r="D97" t="s">
        <v>9668</v>
      </c>
      <c r="E97">
        <v>10</v>
      </c>
      <c r="F97">
        <v>1</v>
      </c>
      <c r="G97">
        <v>1.87820524160996E-2</v>
      </c>
      <c r="H97">
        <v>0.99544877805328102</v>
      </c>
      <c r="I97" t="s">
        <v>9669</v>
      </c>
    </row>
    <row r="98" spans="1:9" x14ac:dyDescent="0.25">
      <c r="A98" t="s">
        <v>6879</v>
      </c>
      <c r="C98" s="3" t="str">
        <f>HYPERLINK("http://amigo.geneontology.org/amigo/term/GO:0044282","GO:0044282")</f>
        <v>GO:0044282</v>
      </c>
      <c r="D98" t="s">
        <v>5280</v>
      </c>
      <c r="E98">
        <v>546</v>
      </c>
      <c r="F98">
        <v>4</v>
      </c>
      <c r="G98">
        <v>2.05804172499604E-2</v>
      </c>
      <c r="H98">
        <v>1</v>
      </c>
      <c r="I98" t="s">
        <v>9598</v>
      </c>
    </row>
    <row r="99" spans="1:9" x14ac:dyDescent="0.25">
      <c r="A99" t="s">
        <v>9670</v>
      </c>
      <c r="C99" s="3" t="str">
        <f>HYPERLINK("http://amigo.geneontology.org/amigo/term/GO:0072593","GO:0072593")</f>
        <v>GO:0072593</v>
      </c>
      <c r="D99" t="s">
        <v>4212</v>
      </c>
      <c r="E99">
        <v>311</v>
      </c>
      <c r="F99">
        <v>3</v>
      </c>
      <c r="G99">
        <v>2.1648209592667202E-2</v>
      </c>
      <c r="H99">
        <v>1</v>
      </c>
      <c r="I99" t="s">
        <v>9645</v>
      </c>
    </row>
    <row r="100" spans="1:9" x14ac:dyDescent="0.25">
      <c r="A100" t="s">
        <v>9671</v>
      </c>
      <c r="C100" s="3" t="str">
        <f>HYPERLINK("http://amigo.geneontology.org/amigo/term/GO:0044451","GO:0044451")</f>
        <v>GO:0044451</v>
      </c>
      <c r="D100" t="s">
        <v>8760</v>
      </c>
      <c r="E100">
        <v>311</v>
      </c>
      <c r="F100">
        <v>3</v>
      </c>
      <c r="G100">
        <v>2.1648209592667202E-2</v>
      </c>
      <c r="H100">
        <v>1</v>
      </c>
      <c r="I100" t="s">
        <v>8707</v>
      </c>
    </row>
    <row r="101" spans="1:9" x14ac:dyDescent="0.25">
      <c r="A101" t="s">
        <v>9672</v>
      </c>
      <c r="C101" s="3" t="str">
        <f>HYPERLINK("http://amigo.geneontology.org/amigo/term/GO:0050662","GO:0050662")</f>
        <v>GO:0050662</v>
      </c>
      <c r="D101" t="s">
        <v>4434</v>
      </c>
      <c r="E101">
        <v>1801</v>
      </c>
      <c r="F101">
        <v>8</v>
      </c>
      <c r="G101">
        <v>2.1882329846266899E-2</v>
      </c>
      <c r="H101">
        <v>1</v>
      </c>
      <c r="I101" t="s">
        <v>9673</v>
      </c>
    </row>
    <row r="102" spans="1:9" x14ac:dyDescent="0.25">
      <c r="A102" t="s">
        <v>8735</v>
      </c>
      <c r="C102" s="3" t="str">
        <f>HYPERLINK("http://amigo.geneontology.org/amigo/term/GO:0009522","GO:0009522")</f>
        <v>GO:0009522</v>
      </c>
      <c r="D102" t="s">
        <v>6001</v>
      </c>
      <c r="E102">
        <v>120</v>
      </c>
      <c r="F102">
        <v>2</v>
      </c>
      <c r="G102">
        <v>2.19906236908896E-2</v>
      </c>
      <c r="H102">
        <v>1</v>
      </c>
      <c r="I102" t="s">
        <v>8768</v>
      </c>
    </row>
    <row r="103" spans="1:9" x14ac:dyDescent="0.25">
      <c r="A103" t="s">
        <v>9621</v>
      </c>
      <c r="C103" s="3" t="str">
        <f>HYPERLINK("http://amigo.geneontology.org/amigo/term/GO:0008792","GO:0008792")</f>
        <v>GO:0008792</v>
      </c>
      <c r="D103" t="s">
        <v>9674</v>
      </c>
      <c r="E103">
        <v>12</v>
      </c>
      <c r="F103">
        <v>1</v>
      </c>
      <c r="G103">
        <v>2.2496206063588198E-2</v>
      </c>
      <c r="H103">
        <v>1</v>
      </c>
      <c r="I103" t="s">
        <v>9675</v>
      </c>
    </row>
    <row r="104" spans="1:9" x14ac:dyDescent="0.25">
      <c r="A104" t="s">
        <v>9676</v>
      </c>
      <c r="C104" s="3" t="str">
        <f>HYPERLINK("http://amigo.geneontology.org/amigo/term/GO:0044421","GO:0044421")</f>
        <v>GO:0044421</v>
      </c>
      <c r="D104" t="s">
        <v>9677</v>
      </c>
      <c r="E104">
        <v>126</v>
      </c>
      <c r="F104">
        <v>2</v>
      </c>
      <c r="G104">
        <v>2.40769051076485E-2</v>
      </c>
      <c r="H104">
        <v>1</v>
      </c>
      <c r="I104" t="s">
        <v>9664</v>
      </c>
    </row>
    <row r="105" spans="1:9" x14ac:dyDescent="0.25">
      <c r="A105" t="s">
        <v>8737</v>
      </c>
      <c r="C105" s="3" t="str">
        <f>HYPERLINK("http://amigo.geneontology.org/amigo/term/GO:0016682","GO:0016682")</f>
        <v>GO:0016682</v>
      </c>
      <c r="D105" t="s">
        <v>864</v>
      </c>
      <c r="E105">
        <v>126</v>
      </c>
      <c r="F105">
        <v>2</v>
      </c>
      <c r="G105">
        <v>2.40769051076485E-2</v>
      </c>
      <c r="H105">
        <v>1</v>
      </c>
      <c r="I105" t="s">
        <v>9678</v>
      </c>
    </row>
    <row r="106" spans="1:9" x14ac:dyDescent="0.25">
      <c r="A106" t="s">
        <v>9679</v>
      </c>
      <c r="C106" s="3" t="str">
        <f>HYPERLINK("http://amigo.geneontology.org/amigo/term/GO:0005976","GO:0005976")</f>
        <v>GO:0005976</v>
      </c>
      <c r="D106" t="s">
        <v>312</v>
      </c>
      <c r="E106">
        <v>876</v>
      </c>
      <c r="F106">
        <v>5</v>
      </c>
      <c r="G106">
        <v>2.6164980048643701E-2</v>
      </c>
      <c r="H106">
        <v>1</v>
      </c>
      <c r="I106" t="s">
        <v>9680</v>
      </c>
    </row>
    <row r="107" spans="1:9" x14ac:dyDescent="0.25">
      <c r="A107" t="s">
        <v>8739</v>
      </c>
      <c r="C107" s="3" t="str">
        <f>HYPERLINK("http://amigo.geneontology.org/amigo/term/GO:0051187","GO:0051187")</f>
        <v>GO:0051187</v>
      </c>
      <c r="D107" t="s">
        <v>4229</v>
      </c>
      <c r="E107">
        <v>340</v>
      </c>
      <c r="F107">
        <v>3</v>
      </c>
      <c r="G107">
        <v>2.7220510496481401E-2</v>
      </c>
      <c r="H107">
        <v>1</v>
      </c>
      <c r="I107" t="s">
        <v>9645</v>
      </c>
    </row>
    <row r="108" spans="1:9" x14ac:dyDescent="0.25">
      <c r="A108" t="s">
        <v>8741</v>
      </c>
      <c r="C108" s="3" t="str">
        <f>HYPERLINK("http://amigo.geneontology.org/amigo/term/GO:0005654","GO:0005654")</f>
        <v>GO:0005654</v>
      </c>
      <c r="D108" t="s">
        <v>8764</v>
      </c>
      <c r="E108">
        <v>341</v>
      </c>
      <c r="F108">
        <v>3</v>
      </c>
      <c r="G108">
        <v>2.7425035033402899E-2</v>
      </c>
      <c r="H108">
        <v>1</v>
      </c>
      <c r="I108" t="s">
        <v>8707</v>
      </c>
    </row>
    <row r="109" spans="1:9" x14ac:dyDescent="0.25">
      <c r="A109" t="s">
        <v>9681</v>
      </c>
      <c r="C109" s="3" t="str">
        <f>HYPERLINK("http://amigo.geneontology.org/amigo/term/GO:0009072","GO:0009072")</f>
        <v>GO:0009072</v>
      </c>
      <c r="D109" t="s">
        <v>7036</v>
      </c>
      <c r="E109">
        <v>359</v>
      </c>
      <c r="F109">
        <v>3</v>
      </c>
      <c r="G109">
        <v>3.12469808577382E-2</v>
      </c>
      <c r="H109">
        <v>1</v>
      </c>
      <c r="I109" t="s">
        <v>9577</v>
      </c>
    </row>
    <row r="110" spans="1:9" x14ac:dyDescent="0.25">
      <c r="A110" t="s">
        <v>6880</v>
      </c>
      <c r="C110" s="3" t="str">
        <f>HYPERLINK("http://amigo.geneontology.org/amigo/term/GO:0016679","GO:0016679")</f>
        <v>GO:0016679</v>
      </c>
      <c r="D110" t="s">
        <v>1062</v>
      </c>
      <c r="E110">
        <v>147</v>
      </c>
      <c r="F110">
        <v>2</v>
      </c>
      <c r="G110">
        <v>3.1977999213281101E-2</v>
      </c>
      <c r="H110">
        <v>1</v>
      </c>
      <c r="I110" t="s">
        <v>9678</v>
      </c>
    </row>
    <row r="111" spans="1:9" x14ac:dyDescent="0.25">
      <c r="A111" t="s">
        <v>9682</v>
      </c>
      <c r="C111" s="3" t="str">
        <f>HYPERLINK("http://amigo.geneontology.org/amigo/term/GO:0017144","GO:0017144")</f>
        <v>GO:0017144</v>
      </c>
      <c r="D111" t="s">
        <v>4310</v>
      </c>
      <c r="E111">
        <v>1595</v>
      </c>
      <c r="F111">
        <v>7</v>
      </c>
      <c r="G111">
        <v>3.2852734466433303E-2</v>
      </c>
      <c r="H111">
        <v>1</v>
      </c>
      <c r="I111" t="s">
        <v>9583</v>
      </c>
    </row>
    <row r="112" spans="1:9" x14ac:dyDescent="0.25">
      <c r="A112" t="s">
        <v>9683</v>
      </c>
      <c r="C112" s="3" t="str">
        <f>HYPERLINK("http://amigo.geneontology.org/amigo/term/GO:1901575","GO:1901575")</f>
        <v>GO:1901575</v>
      </c>
      <c r="D112" t="s">
        <v>5759</v>
      </c>
      <c r="E112">
        <v>2326</v>
      </c>
      <c r="F112">
        <v>9</v>
      </c>
      <c r="G112">
        <v>3.3568941262019598E-2</v>
      </c>
      <c r="H112">
        <v>1</v>
      </c>
      <c r="I112" t="s">
        <v>9684</v>
      </c>
    </row>
    <row r="113" spans="1:9" x14ac:dyDescent="0.25">
      <c r="A113" t="s">
        <v>9685</v>
      </c>
      <c r="C113" s="3" t="str">
        <f>HYPERLINK("http://amigo.geneontology.org/amigo/term/GO:0005506","GO:0005506")</f>
        <v>GO:0005506</v>
      </c>
      <c r="D113" t="s">
        <v>1214</v>
      </c>
      <c r="E113">
        <v>1961</v>
      </c>
      <c r="F113">
        <v>8</v>
      </c>
      <c r="G113">
        <v>3.3794600787671603E-2</v>
      </c>
      <c r="H113">
        <v>1</v>
      </c>
      <c r="I113" t="s">
        <v>9686</v>
      </c>
    </row>
    <row r="114" spans="1:9" x14ac:dyDescent="0.25">
      <c r="A114" t="s">
        <v>9687</v>
      </c>
      <c r="C114" s="3" t="str">
        <f>HYPERLINK("http://amigo.geneontology.org/amigo/term/GO:0015098","GO:0015098")</f>
        <v>GO:0015098</v>
      </c>
      <c r="D114" t="s">
        <v>9688</v>
      </c>
      <c r="E114">
        <v>19</v>
      </c>
      <c r="F114">
        <v>1</v>
      </c>
      <c r="G114">
        <v>3.5386126359867501E-2</v>
      </c>
      <c r="H114">
        <v>1</v>
      </c>
      <c r="I114" t="s">
        <v>9665</v>
      </c>
    </row>
    <row r="115" spans="1:9" x14ac:dyDescent="0.25">
      <c r="A115" t="s">
        <v>9689</v>
      </c>
      <c r="C115" s="3" t="str">
        <f>HYPERLINK("http://amigo.geneontology.org/amigo/term/GO:0015689","GO:0015689")</f>
        <v>GO:0015689</v>
      </c>
      <c r="D115" t="s">
        <v>9690</v>
      </c>
      <c r="E115">
        <v>19</v>
      </c>
      <c r="F115">
        <v>1</v>
      </c>
      <c r="G115">
        <v>3.5386126359867501E-2</v>
      </c>
      <c r="H115">
        <v>1</v>
      </c>
      <c r="I115" t="s">
        <v>9665</v>
      </c>
    </row>
    <row r="116" spans="1:9" x14ac:dyDescent="0.25">
      <c r="A116" t="s">
        <v>9691</v>
      </c>
      <c r="C116" s="3" t="str">
        <f>HYPERLINK("http://amigo.geneontology.org/amigo/term/GO:0004351","GO:0004351")</f>
        <v>GO:0004351</v>
      </c>
      <c r="D116" t="s">
        <v>4290</v>
      </c>
      <c r="E116">
        <v>19</v>
      </c>
      <c r="F116">
        <v>1</v>
      </c>
      <c r="G116">
        <v>3.5386126359867501E-2</v>
      </c>
      <c r="H116">
        <v>1</v>
      </c>
      <c r="I116" t="s">
        <v>9692</v>
      </c>
    </row>
    <row r="117" spans="1:9" x14ac:dyDescent="0.25">
      <c r="A117" t="s">
        <v>9693</v>
      </c>
      <c r="C117" s="3" t="str">
        <f>HYPERLINK("http://amigo.geneontology.org/amigo/term/GO:0006527","GO:0006527")</f>
        <v>GO:0006527</v>
      </c>
      <c r="D117" t="s">
        <v>9694</v>
      </c>
      <c r="E117">
        <v>19</v>
      </c>
      <c r="F117">
        <v>1</v>
      </c>
      <c r="G117">
        <v>3.5386126359867501E-2</v>
      </c>
      <c r="H117">
        <v>1</v>
      </c>
      <c r="I117" t="s">
        <v>9675</v>
      </c>
    </row>
    <row r="118" spans="1:9" x14ac:dyDescent="0.25">
      <c r="A118" t="s">
        <v>9695</v>
      </c>
      <c r="C118" s="3" t="str">
        <f>HYPERLINK("http://amigo.geneontology.org/amigo/term/GO:0044248","GO:0044248")</f>
        <v>GO:0044248</v>
      </c>
      <c r="D118" t="s">
        <v>5244</v>
      </c>
      <c r="E118">
        <v>2352</v>
      </c>
      <c r="F118">
        <v>9</v>
      </c>
      <c r="G118">
        <v>3.5633981970302098E-2</v>
      </c>
      <c r="H118">
        <v>1</v>
      </c>
      <c r="I118" t="s">
        <v>9696</v>
      </c>
    </row>
    <row r="119" spans="1:9" x14ac:dyDescent="0.25">
      <c r="A119" t="s">
        <v>9692</v>
      </c>
      <c r="C119" s="3" t="str">
        <f>HYPERLINK("http://amigo.geneontology.org/amigo/term/GO:0046527","GO:0046527")</f>
        <v>GO:0046527</v>
      </c>
      <c r="D119" t="s">
        <v>234</v>
      </c>
      <c r="E119">
        <v>380</v>
      </c>
      <c r="F119">
        <v>3</v>
      </c>
      <c r="G119">
        <v>3.6040427707266599E-2</v>
      </c>
      <c r="H119">
        <v>1</v>
      </c>
      <c r="I119" t="s">
        <v>9649</v>
      </c>
    </row>
    <row r="120" spans="1:9" x14ac:dyDescent="0.25">
      <c r="A120" t="s">
        <v>9697</v>
      </c>
      <c r="C120" s="3" t="str">
        <f>HYPERLINK("http://amigo.geneontology.org/amigo/term/GO:0016627","GO:0016627")</f>
        <v>GO:0016627</v>
      </c>
      <c r="D120" t="s">
        <v>8784</v>
      </c>
      <c r="E120">
        <v>159</v>
      </c>
      <c r="F120">
        <v>2</v>
      </c>
      <c r="G120">
        <v>3.6888119017180698E-2</v>
      </c>
      <c r="H120">
        <v>1</v>
      </c>
      <c r="I120" t="s">
        <v>8713</v>
      </c>
    </row>
    <row r="121" spans="1:9" x14ac:dyDescent="0.25">
      <c r="A121" t="s">
        <v>9698</v>
      </c>
      <c r="C121" s="3" t="str">
        <f>HYPERLINK("http://amigo.geneontology.org/amigo/term/GO:0052689","GO:0052689")</f>
        <v>GO:0052689</v>
      </c>
      <c r="D121" t="s">
        <v>267</v>
      </c>
      <c r="E121">
        <v>389</v>
      </c>
      <c r="F121">
        <v>3</v>
      </c>
      <c r="G121">
        <v>3.8204059623606602E-2</v>
      </c>
      <c r="H121">
        <v>1</v>
      </c>
      <c r="I121" t="s">
        <v>9624</v>
      </c>
    </row>
    <row r="122" spans="1:9" x14ac:dyDescent="0.25">
      <c r="A122" t="s">
        <v>9699</v>
      </c>
      <c r="C122" s="3" t="str">
        <f>HYPERLINK("http://amigo.geneontology.org/amigo/term/GO:0016829","GO:0016829")</f>
        <v>GO:0016829</v>
      </c>
      <c r="D122" t="s">
        <v>523</v>
      </c>
      <c r="E122">
        <v>984</v>
      </c>
      <c r="F122">
        <v>5</v>
      </c>
      <c r="G122">
        <v>3.9979495924615902E-2</v>
      </c>
      <c r="H122">
        <v>1</v>
      </c>
      <c r="I122" t="s">
        <v>9700</v>
      </c>
    </row>
    <row r="123" spans="1:9" x14ac:dyDescent="0.25">
      <c r="A123" t="s">
        <v>9701</v>
      </c>
      <c r="C123" s="3" t="str">
        <f>HYPERLINK("http://amigo.geneontology.org/amigo/term/GO:0004521","GO:0004521")</f>
        <v>GO:0004521</v>
      </c>
      <c r="D123" t="s">
        <v>9702</v>
      </c>
      <c r="E123">
        <v>168</v>
      </c>
      <c r="F123">
        <v>2</v>
      </c>
      <c r="G123">
        <v>4.0747811398312003E-2</v>
      </c>
      <c r="H123">
        <v>1</v>
      </c>
      <c r="I123" t="s">
        <v>9601</v>
      </c>
    </row>
    <row r="124" spans="1:9" x14ac:dyDescent="0.25">
      <c r="A124" t="s">
        <v>9703</v>
      </c>
      <c r="C124" s="3" t="str">
        <f>HYPERLINK("http://amigo.geneontology.org/amigo/term/GO:0042545","GO:0042545")</f>
        <v>GO:0042545</v>
      </c>
      <c r="D124" t="s">
        <v>188</v>
      </c>
      <c r="E124">
        <v>168</v>
      </c>
      <c r="F124">
        <v>2</v>
      </c>
      <c r="G124">
        <v>4.0747811398312003E-2</v>
      </c>
      <c r="H124">
        <v>1</v>
      </c>
      <c r="I124" t="s">
        <v>9704</v>
      </c>
    </row>
    <row r="125" spans="1:9" x14ac:dyDescent="0.25">
      <c r="A125" t="s">
        <v>9669</v>
      </c>
      <c r="C125" s="3" t="str">
        <f>HYPERLINK("http://amigo.geneontology.org/amigo/term/GO:0006561","GO:0006561")</f>
        <v>GO:0006561</v>
      </c>
      <c r="D125" t="s">
        <v>9705</v>
      </c>
      <c r="E125">
        <v>22</v>
      </c>
      <c r="F125">
        <v>1</v>
      </c>
      <c r="G125">
        <v>4.0858568122492299E-2</v>
      </c>
      <c r="H125">
        <v>1</v>
      </c>
      <c r="I125" t="s">
        <v>9659</v>
      </c>
    </row>
    <row r="126" spans="1:9" x14ac:dyDescent="0.25">
      <c r="A126" t="s">
        <v>9706</v>
      </c>
      <c r="C126" s="3" t="str">
        <f>HYPERLINK("http://amigo.geneontology.org/amigo/term/GO:0030151","GO:0030151")</f>
        <v>GO:0030151</v>
      </c>
      <c r="D126" t="s">
        <v>7554</v>
      </c>
      <c r="E126">
        <v>23</v>
      </c>
      <c r="F126">
        <v>1</v>
      </c>
      <c r="G126">
        <v>4.2675854666132503E-2</v>
      </c>
      <c r="H126">
        <v>1</v>
      </c>
      <c r="I126" t="s">
        <v>9707</v>
      </c>
    </row>
    <row r="127" spans="1:9" x14ac:dyDescent="0.25">
      <c r="A127" t="s">
        <v>8743</v>
      </c>
      <c r="C127" s="3" t="str">
        <f>HYPERLINK("http://amigo.geneontology.org/amigo/term/GO:0006520","GO:0006520")</f>
        <v>GO:0006520</v>
      </c>
      <c r="D127" t="s">
        <v>5762</v>
      </c>
      <c r="E127">
        <v>1345</v>
      </c>
      <c r="F127">
        <v>6</v>
      </c>
      <c r="G127">
        <v>4.3612015018132201E-2</v>
      </c>
      <c r="H127">
        <v>1</v>
      </c>
      <c r="I127" t="s">
        <v>9628</v>
      </c>
    </row>
    <row r="128" spans="1:9" x14ac:dyDescent="0.25">
      <c r="A128" t="s">
        <v>9708</v>
      </c>
      <c r="C128" s="3" t="str">
        <f>HYPERLINK("http://amigo.geneontology.org/amigo/term/GO:0006091","GO:0006091")</f>
        <v>GO:0006091</v>
      </c>
      <c r="D128" t="s">
        <v>8756</v>
      </c>
      <c r="E128">
        <v>1013</v>
      </c>
      <c r="F128">
        <v>5</v>
      </c>
      <c r="G128">
        <v>4.4320474844084003E-2</v>
      </c>
      <c r="H128">
        <v>1</v>
      </c>
      <c r="I128" t="s">
        <v>8704</v>
      </c>
    </row>
    <row r="129" spans="1:9" x14ac:dyDescent="0.25">
      <c r="A129" t="s">
        <v>9709</v>
      </c>
      <c r="C129" s="3" t="str">
        <f>HYPERLINK("http://amigo.geneontology.org/amigo/term/GO:0004097","GO:0004097")</f>
        <v>GO:0004097</v>
      </c>
      <c r="D129" t="s">
        <v>1507</v>
      </c>
      <c r="E129">
        <v>24</v>
      </c>
      <c r="F129">
        <v>1</v>
      </c>
      <c r="G129">
        <v>4.4489721529754403E-2</v>
      </c>
      <c r="H129">
        <v>1</v>
      </c>
      <c r="I129" t="s">
        <v>9619</v>
      </c>
    </row>
    <row r="130" spans="1:9" x14ac:dyDescent="0.25">
      <c r="A130" t="s">
        <v>9710</v>
      </c>
      <c r="C130" s="3" t="str">
        <f>HYPERLINK("http://amigo.geneontology.org/amigo/term/GO:0140098","GO:0140098")</f>
        <v>GO:0140098</v>
      </c>
      <c r="D130" t="s">
        <v>8848</v>
      </c>
      <c r="E130">
        <v>1025</v>
      </c>
      <c r="F130">
        <v>5</v>
      </c>
      <c r="G130">
        <v>4.6196418886562202E-2</v>
      </c>
      <c r="H130">
        <v>1</v>
      </c>
      <c r="I130" t="s">
        <v>9711</v>
      </c>
    </row>
    <row r="131" spans="1:9" x14ac:dyDescent="0.25">
      <c r="A131" t="s">
        <v>8745</v>
      </c>
      <c r="C131" s="3" t="str">
        <f>HYPERLINK("http://amigo.geneontology.org/amigo/term/GO:0016999","GO:0016999")</f>
        <v>GO:0016999</v>
      </c>
      <c r="D131" t="s">
        <v>764</v>
      </c>
      <c r="E131">
        <v>427</v>
      </c>
      <c r="F131">
        <v>3</v>
      </c>
      <c r="G131">
        <v>4.8050124384866701E-2</v>
      </c>
      <c r="H131">
        <v>1</v>
      </c>
      <c r="I131" t="s">
        <v>9645</v>
      </c>
    </row>
    <row r="132" spans="1:9" x14ac:dyDescent="0.25">
      <c r="A132" t="s">
        <v>8746</v>
      </c>
      <c r="C132" s="3" t="str">
        <f>HYPERLINK("http://amigo.geneontology.org/amigo/term/GO:0044425","GO:0044425")</f>
        <v>GO:0044425</v>
      </c>
      <c r="D132" t="s">
        <v>215</v>
      </c>
      <c r="E132">
        <v>8465</v>
      </c>
      <c r="F132">
        <v>23</v>
      </c>
      <c r="G132">
        <v>4.8576769275852603E-2</v>
      </c>
      <c r="H132">
        <v>1</v>
      </c>
      <c r="I132" t="s">
        <v>9654</v>
      </c>
    </row>
    <row r="133" spans="1:9" x14ac:dyDescent="0.25">
      <c r="A133" t="s">
        <v>9712</v>
      </c>
      <c r="C133" s="3" t="str">
        <f>HYPERLINK("http://amigo.geneontology.org/amigo/term/GO:0006560","GO:0006560")</f>
        <v>GO:0006560</v>
      </c>
      <c r="D133" t="s">
        <v>9713</v>
      </c>
      <c r="E133">
        <v>27</v>
      </c>
      <c r="F133">
        <v>1</v>
      </c>
      <c r="G133">
        <v>4.9910867917651203E-2</v>
      </c>
      <c r="H133">
        <v>1</v>
      </c>
      <c r="I133" t="s">
        <v>9659</v>
      </c>
    </row>
    <row r="134" spans="1:9" x14ac:dyDescent="0.25">
      <c r="A134" t="s">
        <v>9714</v>
      </c>
    </row>
    <row r="135" spans="1:9" x14ac:dyDescent="0.25">
      <c r="A135" t="s">
        <v>9715</v>
      </c>
    </row>
    <row r="136" spans="1:9" x14ac:dyDescent="0.25">
      <c r="A136" t="s">
        <v>9716</v>
      </c>
    </row>
    <row r="137" spans="1:9" x14ac:dyDescent="0.25">
      <c r="A137" t="s">
        <v>9707</v>
      </c>
    </row>
    <row r="138" spans="1:9" x14ac:dyDescent="0.25">
      <c r="A138" t="s">
        <v>9717</v>
      </c>
    </row>
    <row r="139" spans="1:9" x14ac:dyDescent="0.25">
      <c r="A139" t="s">
        <v>9718</v>
      </c>
    </row>
    <row r="140" spans="1:9" x14ac:dyDescent="0.25">
      <c r="A140" t="s">
        <v>9719</v>
      </c>
    </row>
    <row r="141" spans="1:9" x14ac:dyDescent="0.25">
      <c r="A141" t="s">
        <v>9720</v>
      </c>
    </row>
    <row r="142" spans="1:9" x14ac:dyDescent="0.25">
      <c r="A142" t="s">
        <v>9721</v>
      </c>
    </row>
    <row r="143" spans="1:9" x14ac:dyDescent="0.25">
      <c r="A143" t="s">
        <v>8747</v>
      </c>
    </row>
    <row r="144" spans="1:9" x14ac:dyDescent="0.25">
      <c r="A144" t="s">
        <v>9722</v>
      </c>
    </row>
    <row r="145" spans="1:1" x14ac:dyDescent="0.25">
      <c r="A145" t="s">
        <v>9723</v>
      </c>
    </row>
    <row r="146" spans="1:1" x14ac:dyDescent="0.25">
      <c r="A146" t="s">
        <v>9724</v>
      </c>
    </row>
    <row r="147" spans="1:1" x14ac:dyDescent="0.25">
      <c r="A147" t="s">
        <v>9725</v>
      </c>
    </row>
    <row r="148" spans="1:1" x14ac:dyDescent="0.25">
      <c r="A148" t="s">
        <v>9726</v>
      </c>
    </row>
    <row r="149" spans="1:1" x14ac:dyDescent="0.25">
      <c r="A149" t="s">
        <v>9727</v>
      </c>
    </row>
    <row r="150" spans="1:1" x14ac:dyDescent="0.25">
      <c r="A150" t="s">
        <v>8749</v>
      </c>
    </row>
    <row r="151" spans="1:1" x14ac:dyDescent="0.25">
      <c r="A151" t="s">
        <v>9728</v>
      </c>
    </row>
    <row r="152" spans="1:1" x14ac:dyDescent="0.25">
      <c r="A152" t="s">
        <v>9729</v>
      </c>
    </row>
    <row r="153" spans="1:1" x14ac:dyDescent="0.25">
      <c r="A153" t="s">
        <v>6881</v>
      </c>
    </row>
    <row r="154" spans="1:1" x14ac:dyDescent="0.25">
      <c r="A154" t="s">
        <v>9730</v>
      </c>
    </row>
    <row r="155" spans="1:1" x14ac:dyDescent="0.25">
      <c r="A155" t="s">
        <v>9731</v>
      </c>
    </row>
    <row r="156" spans="1:1" x14ac:dyDescent="0.25">
      <c r="A156" t="s">
        <v>9732</v>
      </c>
    </row>
    <row r="157" spans="1:1" x14ac:dyDescent="0.25">
      <c r="A157" t="s">
        <v>9733</v>
      </c>
    </row>
    <row r="158" spans="1:1" x14ac:dyDescent="0.25">
      <c r="A158" t="s">
        <v>9734</v>
      </c>
    </row>
    <row r="159" spans="1:1" x14ac:dyDescent="0.25">
      <c r="A159" t="s">
        <v>9735</v>
      </c>
    </row>
    <row r="160" spans="1:1" x14ac:dyDescent="0.25">
      <c r="A160" t="s">
        <v>8750</v>
      </c>
    </row>
    <row r="161" spans="1:1" x14ac:dyDescent="0.25">
      <c r="A161" t="s">
        <v>9736</v>
      </c>
    </row>
    <row r="162" spans="1:1" x14ac:dyDescent="0.25">
      <c r="A162" t="s">
        <v>9737</v>
      </c>
    </row>
    <row r="163" spans="1:1" x14ac:dyDescent="0.25">
      <c r="A163" t="s">
        <v>9738</v>
      </c>
    </row>
    <row r="164" spans="1:1" x14ac:dyDescent="0.25">
      <c r="A164" t="s">
        <v>9739</v>
      </c>
    </row>
    <row r="165" spans="1:1" x14ac:dyDescent="0.25">
      <c r="A165" t="s">
        <v>8751</v>
      </c>
    </row>
    <row r="166" spans="1:1" x14ac:dyDescent="0.25">
      <c r="A166" t="s">
        <v>9740</v>
      </c>
    </row>
    <row r="167" spans="1:1" x14ac:dyDescent="0.25">
      <c r="A167" t="s">
        <v>9741</v>
      </c>
    </row>
    <row r="168" spans="1:1" x14ac:dyDescent="0.25">
      <c r="A168" t="s">
        <v>8753</v>
      </c>
    </row>
    <row r="169" spans="1:1" x14ac:dyDescent="0.25">
      <c r="A169" t="s">
        <v>9742</v>
      </c>
    </row>
    <row r="170" spans="1:1" x14ac:dyDescent="0.25">
      <c r="A170" t="s">
        <v>9659</v>
      </c>
    </row>
    <row r="171" spans="1:1" x14ac:dyDescent="0.25">
      <c r="A171" t="s">
        <v>9743</v>
      </c>
    </row>
    <row r="172" spans="1:1" x14ac:dyDescent="0.25">
      <c r="A172" t="s">
        <v>9744</v>
      </c>
    </row>
    <row r="173" spans="1:1" x14ac:dyDescent="0.25">
      <c r="A173" t="s">
        <v>9745</v>
      </c>
    </row>
    <row r="174" spans="1:1" x14ac:dyDescent="0.25">
      <c r="A174" t="s">
        <v>8754</v>
      </c>
    </row>
    <row r="175" spans="1:1" x14ac:dyDescent="0.25">
      <c r="A175" t="s">
        <v>9746</v>
      </c>
    </row>
    <row r="176" spans="1:1" x14ac:dyDescent="0.25">
      <c r="A176" t="s">
        <v>9747</v>
      </c>
    </row>
    <row r="177" spans="1:1" x14ac:dyDescent="0.25">
      <c r="A177" t="s">
        <v>9748</v>
      </c>
    </row>
    <row r="178" spans="1:1" x14ac:dyDescent="0.25">
      <c r="A178" t="s">
        <v>9749</v>
      </c>
    </row>
    <row r="179" spans="1:1" x14ac:dyDescent="0.25">
      <c r="A179" t="s">
        <v>8755</v>
      </c>
    </row>
    <row r="180" spans="1:1" x14ac:dyDescent="0.25">
      <c r="A180" t="s">
        <v>8757</v>
      </c>
    </row>
    <row r="181" spans="1:1" x14ac:dyDescent="0.25">
      <c r="A181" t="s">
        <v>9750</v>
      </c>
    </row>
    <row r="182" spans="1:1" x14ac:dyDescent="0.25">
      <c r="A182" t="s">
        <v>9751</v>
      </c>
    </row>
    <row r="183" spans="1:1" x14ac:dyDescent="0.25">
      <c r="A183" t="s">
        <v>9752</v>
      </c>
    </row>
    <row r="184" spans="1:1" x14ac:dyDescent="0.25">
      <c r="A184" t="s">
        <v>9753</v>
      </c>
    </row>
    <row r="185" spans="1:1" x14ac:dyDescent="0.25">
      <c r="A185" t="s">
        <v>9754</v>
      </c>
    </row>
    <row r="186" spans="1:1" x14ac:dyDescent="0.25">
      <c r="A186" t="s">
        <v>8759</v>
      </c>
    </row>
    <row r="187" spans="1:1" x14ac:dyDescent="0.25">
      <c r="A187" t="s">
        <v>8761</v>
      </c>
    </row>
    <row r="188" spans="1:1" x14ac:dyDescent="0.25">
      <c r="A188" t="s">
        <v>8763</v>
      </c>
    </row>
    <row r="189" spans="1:1" x14ac:dyDescent="0.25">
      <c r="A189" t="s">
        <v>9755</v>
      </c>
    </row>
    <row r="190" spans="1:1" x14ac:dyDescent="0.25">
      <c r="A190" t="s">
        <v>9756</v>
      </c>
    </row>
    <row r="191" spans="1:1" x14ac:dyDescent="0.25">
      <c r="A191" t="s">
        <v>9757</v>
      </c>
    </row>
    <row r="192" spans="1:1" x14ac:dyDescent="0.25">
      <c r="A192" t="s">
        <v>8765</v>
      </c>
    </row>
    <row r="193" spans="1:1" x14ac:dyDescent="0.25">
      <c r="A193" t="s">
        <v>9758</v>
      </c>
    </row>
    <row r="194" spans="1:1" x14ac:dyDescent="0.25">
      <c r="A194" t="s">
        <v>9759</v>
      </c>
    </row>
    <row r="195" spans="1:1" x14ac:dyDescent="0.25">
      <c r="A195" t="s">
        <v>8767</v>
      </c>
    </row>
    <row r="196" spans="1:1" x14ac:dyDescent="0.25">
      <c r="A196" t="s">
        <v>8769</v>
      </c>
    </row>
    <row r="197" spans="1:1" x14ac:dyDescent="0.25">
      <c r="A197" t="s">
        <v>9760</v>
      </c>
    </row>
    <row r="198" spans="1:1" x14ac:dyDescent="0.25">
      <c r="A198" t="s">
        <v>9761</v>
      </c>
    </row>
    <row r="199" spans="1:1" x14ac:dyDescent="0.25">
      <c r="A199" t="s">
        <v>9762</v>
      </c>
    </row>
    <row r="200" spans="1:1" x14ac:dyDescent="0.25">
      <c r="A200" t="s">
        <v>9763</v>
      </c>
    </row>
    <row r="201" spans="1:1" x14ac:dyDescent="0.25">
      <c r="A201" t="s">
        <v>8771</v>
      </c>
    </row>
    <row r="202" spans="1:1" x14ac:dyDescent="0.25">
      <c r="A202" t="s">
        <v>9764</v>
      </c>
    </row>
    <row r="203" spans="1:1" x14ac:dyDescent="0.25">
      <c r="A203" t="s">
        <v>8772</v>
      </c>
    </row>
    <row r="204" spans="1:1" x14ac:dyDescent="0.25">
      <c r="A204" t="s">
        <v>8774</v>
      </c>
    </row>
    <row r="205" spans="1:1" x14ac:dyDescent="0.25">
      <c r="A205" t="s">
        <v>8776</v>
      </c>
    </row>
    <row r="206" spans="1:1" x14ac:dyDescent="0.25">
      <c r="A206" t="s">
        <v>9675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8"/>
  <sheetViews>
    <sheetView workbookViewId="0">
      <pane xSplit="4" ySplit="11" topLeftCell="E12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20.7109375" customWidth="1"/>
    <col min="3" max="3" width="16.42578125" customWidth="1"/>
    <col min="4" max="4" width="33" customWidth="1"/>
  </cols>
  <sheetData>
    <row r="1" spans="1:12" ht="20.25" x14ac:dyDescent="0.3">
      <c r="A1" s="12" t="s">
        <v>9765</v>
      </c>
    </row>
    <row r="2" spans="1:12" x14ac:dyDescent="0.25">
      <c r="A2" s="6" t="s">
        <v>9766</v>
      </c>
      <c r="B2" s="8">
        <f>316/6855</f>
        <v>4.6097738876732311E-2</v>
      </c>
      <c r="C2" t="s">
        <v>2</v>
      </c>
      <c r="D2">
        <v>237</v>
      </c>
      <c r="L2" s="14"/>
    </row>
    <row r="3" spans="1:12" x14ac:dyDescent="0.25">
      <c r="A3" t="s">
        <v>6894</v>
      </c>
      <c r="C3" t="s">
        <v>4</v>
      </c>
      <c r="D3">
        <v>77079</v>
      </c>
    </row>
    <row r="4" spans="1:12" x14ac:dyDescent="0.25">
      <c r="A4" t="s">
        <v>6898</v>
      </c>
      <c r="C4" t="s">
        <v>6</v>
      </c>
      <c r="D4" t="s">
        <v>7</v>
      </c>
    </row>
    <row r="5" spans="1:12" x14ac:dyDescent="0.25">
      <c r="A5" t="s">
        <v>6900</v>
      </c>
      <c r="C5" t="s">
        <v>9</v>
      </c>
      <c r="D5" t="s">
        <v>10</v>
      </c>
    </row>
    <row r="6" spans="1:12" x14ac:dyDescent="0.25">
      <c r="A6" t="s">
        <v>6915</v>
      </c>
      <c r="C6" t="s">
        <v>12</v>
      </c>
      <c r="D6" t="s">
        <v>13</v>
      </c>
    </row>
    <row r="7" spans="1:12" x14ac:dyDescent="0.25">
      <c r="A7" t="s">
        <v>6917</v>
      </c>
      <c r="C7" t="s">
        <v>15</v>
      </c>
      <c r="D7" t="s">
        <v>16</v>
      </c>
    </row>
    <row r="8" spans="1:12" x14ac:dyDescent="0.25">
      <c r="A8" t="s">
        <v>8862</v>
      </c>
      <c r="C8" t="s">
        <v>18</v>
      </c>
      <c r="D8" t="s">
        <v>19</v>
      </c>
    </row>
    <row r="9" spans="1:12" x14ac:dyDescent="0.25">
      <c r="A9" t="s">
        <v>6926</v>
      </c>
      <c r="C9" t="s">
        <v>21</v>
      </c>
      <c r="D9">
        <v>3</v>
      </c>
    </row>
    <row r="10" spans="1:12" x14ac:dyDescent="0.25">
      <c r="A10" t="s">
        <v>6935</v>
      </c>
    </row>
    <row r="11" spans="1:12" x14ac:dyDescent="0.25">
      <c r="A11" t="s">
        <v>6946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12" x14ac:dyDescent="0.25">
      <c r="A12" t="s">
        <v>6952</v>
      </c>
      <c r="C12" s="3" t="str">
        <f>HYPERLINK("http://amigo.geneontology.org/amigo/term/GO:0055114","GO:0055114")</f>
        <v>GO:0055114</v>
      </c>
      <c r="D12" t="s">
        <v>454</v>
      </c>
      <c r="E12">
        <v>6698</v>
      </c>
      <c r="F12">
        <v>56</v>
      </c>
      <c r="G12" s="4">
        <v>3.4023619126026398E-12</v>
      </c>
      <c r="H12" s="4">
        <v>1.5361664035400899E-8</v>
      </c>
      <c r="I12" t="s">
        <v>9767</v>
      </c>
    </row>
    <row r="13" spans="1:12" x14ac:dyDescent="0.25">
      <c r="A13" t="s">
        <v>6954</v>
      </c>
      <c r="C13" s="3" t="str">
        <f>HYPERLINK("http://amigo.geneontology.org/amigo/term/GO:0016491","GO:0016491")</f>
        <v>GO:0016491</v>
      </c>
      <c r="D13" t="s">
        <v>315</v>
      </c>
      <c r="E13">
        <v>6975</v>
      </c>
      <c r="F13">
        <v>57</v>
      </c>
      <c r="G13" s="4">
        <v>5.1457083593043502E-12</v>
      </c>
      <c r="H13" s="4">
        <v>1.16138637669499E-8</v>
      </c>
      <c r="I13" t="s">
        <v>9768</v>
      </c>
    </row>
    <row r="14" spans="1:12" x14ac:dyDescent="0.25">
      <c r="A14" t="s">
        <v>6956</v>
      </c>
      <c r="C14" s="3" t="str">
        <f>HYPERLINK("http://amigo.geneontology.org/amigo/term/GO:0004867","GO:0004867")</f>
        <v>GO:0004867</v>
      </c>
      <c r="D14" t="s">
        <v>7084</v>
      </c>
      <c r="E14">
        <v>335</v>
      </c>
      <c r="F14">
        <v>13</v>
      </c>
      <c r="G14" s="4">
        <v>5.3060127589865297E-11</v>
      </c>
      <c r="H14" s="4">
        <v>7.9855492022747302E-8</v>
      </c>
      <c r="I14" t="s">
        <v>9769</v>
      </c>
    </row>
    <row r="15" spans="1:12" x14ac:dyDescent="0.25">
      <c r="A15" t="s">
        <v>8890</v>
      </c>
      <c r="C15" s="3" t="str">
        <f>HYPERLINK("http://amigo.geneontology.org/amigo/term/GO:0005506","GO:0005506")</f>
        <v>GO:0005506</v>
      </c>
      <c r="D15" t="s">
        <v>1214</v>
      </c>
      <c r="E15">
        <v>1961</v>
      </c>
      <c r="F15">
        <v>26</v>
      </c>
      <c r="G15" s="4">
        <v>5.2050874011504704E-10</v>
      </c>
      <c r="H15" s="4">
        <v>5.8713385884977295E-7</v>
      </c>
      <c r="I15" t="s">
        <v>9770</v>
      </c>
    </row>
    <row r="16" spans="1:12" x14ac:dyDescent="0.25">
      <c r="A16" t="s">
        <v>6981</v>
      </c>
      <c r="C16" s="3" t="str">
        <f>HYPERLINK("http://amigo.geneontology.org/amigo/term/GO:0016705","GO:0016705")</f>
        <v>GO:0016705</v>
      </c>
      <c r="D16" t="s">
        <v>4121</v>
      </c>
      <c r="E16">
        <v>2131</v>
      </c>
      <c r="F16">
        <v>27</v>
      </c>
      <c r="G16" s="4">
        <v>6.3031370424133799E-10</v>
      </c>
      <c r="H16" s="4">
        <v>5.6917327492992796E-7</v>
      </c>
      <c r="I16" t="s">
        <v>9771</v>
      </c>
    </row>
    <row r="17" spans="1:9" x14ac:dyDescent="0.25">
      <c r="A17" t="s">
        <v>8892</v>
      </c>
      <c r="C17" s="3" t="str">
        <f>HYPERLINK("http://amigo.geneontology.org/amigo/term/GO:0061134","GO:0061134")</f>
        <v>GO:0061134</v>
      </c>
      <c r="D17" t="s">
        <v>7169</v>
      </c>
      <c r="E17">
        <v>445</v>
      </c>
      <c r="F17">
        <v>13</v>
      </c>
      <c r="G17" s="4">
        <v>1.6788704002316E-9</v>
      </c>
      <c r="H17" s="4">
        <v>8.4111407051603501E-7</v>
      </c>
      <c r="I17" t="s">
        <v>9769</v>
      </c>
    </row>
    <row r="18" spans="1:9" x14ac:dyDescent="0.25">
      <c r="A18" t="s">
        <v>6988</v>
      </c>
      <c r="C18" s="3" t="str">
        <f>HYPERLINK("http://amigo.geneontology.org/amigo/term/GO:0030414","GO:0030414")</f>
        <v>GO:0030414</v>
      </c>
      <c r="D18" t="s">
        <v>7171</v>
      </c>
      <c r="E18">
        <v>445</v>
      </c>
      <c r="F18">
        <v>13</v>
      </c>
      <c r="G18" s="4">
        <v>1.6788704002316E-9</v>
      </c>
      <c r="H18" s="4">
        <v>9.4688290573062703E-7</v>
      </c>
      <c r="I18" t="s">
        <v>9769</v>
      </c>
    </row>
    <row r="19" spans="1:9" x14ac:dyDescent="0.25">
      <c r="A19" t="s">
        <v>8898</v>
      </c>
      <c r="C19" s="3" t="str">
        <f>HYPERLINK("http://amigo.geneontology.org/amigo/term/GO:0061135","GO:0061135")</f>
        <v>GO:0061135</v>
      </c>
      <c r="D19" t="s">
        <v>7173</v>
      </c>
      <c r="E19">
        <v>445</v>
      </c>
      <c r="F19">
        <v>13</v>
      </c>
      <c r="G19" s="4">
        <v>1.6788704002316E-9</v>
      </c>
      <c r="H19" s="4">
        <v>1.0828714081493801E-6</v>
      </c>
      <c r="I19" t="s">
        <v>9769</v>
      </c>
    </row>
    <row r="20" spans="1:9" x14ac:dyDescent="0.25">
      <c r="A20" t="s">
        <v>8906</v>
      </c>
      <c r="C20" s="3" t="str">
        <f>HYPERLINK("http://amigo.geneontology.org/amigo/term/GO:0004866","GO:0004866")</f>
        <v>GO:0004866</v>
      </c>
      <c r="D20" t="s">
        <v>7175</v>
      </c>
      <c r="E20">
        <v>445</v>
      </c>
      <c r="F20">
        <v>13</v>
      </c>
      <c r="G20" s="4">
        <v>1.6788704002316E-9</v>
      </c>
      <c r="H20" s="4">
        <v>1.26251054097416E-6</v>
      </c>
      <c r="I20" t="s">
        <v>9769</v>
      </c>
    </row>
    <row r="21" spans="1:9" x14ac:dyDescent="0.25">
      <c r="A21" t="s">
        <v>9772</v>
      </c>
      <c r="C21" s="3" t="str">
        <f>HYPERLINK("http://amigo.geneontology.org/amigo/term/GO:0052547","GO:0052547")</f>
        <v>GO:0052547</v>
      </c>
      <c r="D21" t="s">
        <v>6982</v>
      </c>
      <c r="E21">
        <v>77</v>
      </c>
      <c r="F21">
        <v>6</v>
      </c>
      <c r="G21" s="4">
        <v>1.5282181109514601E-7</v>
      </c>
      <c r="H21" s="4">
        <v>5.3029168450015699E-5</v>
      </c>
      <c r="I21" t="s">
        <v>9773</v>
      </c>
    </row>
    <row r="22" spans="1:9" x14ac:dyDescent="0.25">
      <c r="A22" t="s">
        <v>7008</v>
      </c>
      <c r="C22" s="3" t="str">
        <f>HYPERLINK("http://amigo.geneontology.org/amigo/term/GO:0010466","GO:0010466")</f>
        <v>GO:0010466</v>
      </c>
      <c r="D22" t="s">
        <v>6985</v>
      </c>
      <c r="E22">
        <v>77</v>
      </c>
      <c r="F22">
        <v>6</v>
      </c>
      <c r="G22" s="4">
        <v>1.5282181109514601E-7</v>
      </c>
      <c r="H22" s="4">
        <v>5.7461000971774897E-5</v>
      </c>
      <c r="I22" t="s">
        <v>9773</v>
      </c>
    </row>
    <row r="23" spans="1:9" x14ac:dyDescent="0.25">
      <c r="A23" t="s">
        <v>7014</v>
      </c>
      <c r="C23" s="3" t="str">
        <f>HYPERLINK("http://amigo.geneontology.org/amigo/term/GO:0052548","GO:0052548")</f>
        <v>GO:0052548</v>
      </c>
      <c r="D23" t="s">
        <v>6987</v>
      </c>
      <c r="E23">
        <v>77</v>
      </c>
      <c r="F23">
        <v>6</v>
      </c>
      <c r="G23" s="4">
        <v>1.5282181109514601E-7</v>
      </c>
      <c r="H23" s="4">
        <v>6.2656942549009902E-5</v>
      </c>
      <c r="I23" t="s">
        <v>9773</v>
      </c>
    </row>
    <row r="24" spans="1:9" x14ac:dyDescent="0.25">
      <c r="A24" t="s">
        <v>7021</v>
      </c>
      <c r="C24" s="3" t="str">
        <f>HYPERLINK("http://amigo.geneontology.org/amigo/term/GO:0010951","GO:0010951")</f>
        <v>GO:0010951</v>
      </c>
      <c r="D24" t="s">
        <v>6989</v>
      </c>
      <c r="E24">
        <v>77</v>
      </c>
      <c r="F24">
        <v>6</v>
      </c>
      <c r="G24" s="4">
        <v>1.5282181109514601E-7</v>
      </c>
      <c r="H24" s="4">
        <v>6.8922636803910901E-5</v>
      </c>
      <c r="I24" t="s">
        <v>9773</v>
      </c>
    </row>
    <row r="25" spans="1:9" x14ac:dyDescent="0.25">
      <c r="A25" t="s">
        <v>7033</v>
      </c>
      <c r="C25" s="3" t="str">
        <f>HYPERLINK("http://amigo.geneontology.org/amigo/term/GO:0045861","GO:0045861")</f>
        <v>GO:0045861</v>
      </c>
      <c r="D25" t="s">
        <v>6994</v>
      </c>
      <c r="E25">
        <v>78</v>
      </c>
      <c r="F25">
        <v>6</v>
      </c>
      <c r="G25" s="4">
        <v>1.65134783830869E-7</v>
      </c>
      <c r="H25" s="4">
        <v>5.3173400393539999E-5</v>
      </c>
      <c r="I25" t="s">
        <v>9773</v>
      </c>
    </row>
    <row r="26" spans="1:9" x14ac:dyDescent="0.25">
      <c r="A26" t="s">
        <v>8916</v>
      </c>
      <c r="C26" s="3" t="str">
        <f>HYPERLINK("http://amigo.geneontology.org/amigo/term/GO:0030162","GO:0030162")</f>
        <v>GO:0030162</v>
      </c>
      <c r="D26" t="s">
        <v>7004</v>
      </c>
      <c r="E26">
        <v>82</v>
      </c>
      <c r="F26">
        <v>6</v>
      </c>
      <c r="G26" s="4">
        <v>2.2283839574849401E-7</v>
      </c>
      <c r="H26" s="4">
        <v>6.7074357120296797E-5</v>
      </c>
      <c r="I26" t="s">
        <v>9773</v>
      </c>
    </row>
    <row r="27" spans="1:9" x14ac:dyDescent="0.25">
      <c r="A27" t="s">
        <v>7045</v>
      </c>
      <c r="C27" s="3" t="str">
        <f>HYPERLINK("http://amigo.geneontology.org/amigo/term/GO:0051346","GO:0051346")</f>
        <v>GO:0051346</v>
      </c>
      <c r="D27" t="s">
        <v>7015</v>
      </c>
      <c r="E27">
        <v>87</v>
      </c>
      <c r="F27">
        <v>6</v>
      </c>
      <c r="G27" s="4">
        <v>3.1728818391197198E-7</v>
      </c>
      <c r="H27" s="4">
        <v>8.9475267863176294E-5</v>
      </c>
      <c r="I27" t="s">
        <v>9773</v>
      </c>
    </row>
    <row r="28" spans="1:9" x14ac:dyDescent="0.25">
      <c r="A28" t="s">
        <v>7048</v>
      </c>
      <c r="C28" s="3" t="str">
        <f>HYPERLINK("http://amigo.geneontology.org/amigo/term/GO:0020037","GO:0020037")</f>
        <v>GO:0020037</v>
      </c>
      <c r="D28" t="s">
        <v>1181</v>
      </c>
      <c r="E28">
        <v>2527</v>
      </c>
      <c r="F28">
        <v>25</v>
      </c>
      <c r="G28" s="4">
        <v>3.2260903608753699E-7</v>
      </c>
      <c r="H28" s="4">
        <v>8.5491394563197502E-5</v>
      </c>
      <c r="I28" t="s">
        <v>9774</v>
      </c>
    </row>
    <row r="29" spans="1:9" x14ac:dyDescent="0.25">
      <c r="A29" t="s">
        <v>7051</v>
      </c>
      <c r="C29" s="3" t="str">
        <f>HYPERLINK("http://amigo.geneontology.org/amigo/term/GO:0046906","GO:0046906")</f>
        <v>GO:0046906</v>
      </c>
      <c r="D29" t="s">
        <v>1085</v>
      </c>
      <c r="E29">
        <v>2625</v>
      </c>
      <c r="F29">
        <v>25</v>
      </c>
      <c r="G29" s="4">
        <v>6.4477244733690699E-7</v>
      </c>
      <c r="H29" s="4">
        <v>1.61193111834226E-4</v>
      </c>
      <c r="I29" t="s">
        <v>9774</v>
      </c>
    </row>
    <row r="30" spans="1:9" x14ac:dyDescent="0.25">
      <c r="A30" t="s">
        <v>8934</v>
      </c>
      <c r="C30" s="3" t="str">
        <f>HYPERLINK("http://amigo.geneontology.org/amigo/term/GO:0048037","GO:0048037")</f>
        <v>GO:0048037</v>
      </c>
      <c r="D30" t="s">
        <v>4125</v>
      </c>
      <c r="E30">
        <v>4750</v>
      </c>
      <c r="F30">
        <v>35</v>
      </c>
      <c r="G30" s="4">
        <v>1.4071085498573001E-6</v>
      </c>
      <c r="H30" s="4">
        <v>3.3348472631617999E-4</v>
      </c>
      <c r="I30" t="s">
        <v>9775</v>
      </c>
    </row>
    <row r="31" spans="1:9" x14ac:dyDescent="0.25">
      <c r="A31" t="s">
        <v>8937</v>
      </c>
      <c r="C31" s="3" t="str">
        <f>HYPERLINK("http://amigo.geneontology.org/amigo/term/GO:0004857","GO:0004857")</f>
        <v>GO:0004857</v>
      </c>
      <c r="D31" t="s">
        <v>347</v>
      </c>
      <c r="E31">
        <v>860</v>
      </c>
      <c r="F31">
        <v>13</v>
      </c>
      <c r="G31" s="4">
        <v>3.14957628490256E-6</v>
      </c>
      <c r="H31" s="4">
        <v>7.0865466410307697E-4</v>
      </c>
      <c r="I31" t="s">
        <v>9769</v>
      </c>
    </row>
    <row r="32" spans="1:9" x14ac:dyDescent="0.25">
      <c r="A32" t="s">
        <v>8939</v>
      </c>
      <c r="C32" s="3" t="str">
        <f>HYPERLINK("http://amigo.geneontology.org/amigo/term/GO:0009607","GO:0009607")</f>
        <v>GO:0009607</v>
      </c>
      <c r="D32" t="s">
        <v>157</v>
      </c>
      <c r="E32">
        <v>624</v>
      </c>
      <c r="F32">
        <v>11</v>
      </c>
      <c r="G32" s="4">
        <v>4.3561160087466504E-6</v>
      </c>
      <c r="H32" s="4">
        <v>9.3656494188053101E-4</v>
      </c>
      <c r="I32" t="s">
        <v>9776</v>
      </c>
    </row>
    <row r="33" spans="1:9" x14ac:dyDescent="0.25">
      <c r="A33" t="s">
        <v>8944</v>
      </c>
      <c r="C33" s="3" t="str">
        <f>HYPERLINK("http://amigo.geneontology.org/amigo/term/GO:0051336","GO:0051336")</f>
        <v>GO:0051336</v>
      </c>
      <c r="D33" t="s">
        <v>7071</v>
      </c>
      <c r="E33">
        <v>148</v>
      </c>
      <c r="F33">
        <v>6</v>
      </c>
      <c r="G33" s="4">
        <v>7.0847447984084996E-6</v>
      </c>
      <c r="H33">
        <v>1.45237268367374E-3</v>
      </c>
      <c r="I33" t="s">
        <v>9773</v>
      </c>
    </row>
    <row r="34" spans="1:9" x14ac:dyDescent="0.25">
      <c r="A34" t="s">
        <v>7074</v>
      </c>
      <c r="C34" s="3" t="str">
        <f>HYPERLINK("http://amigo.geneontology.org/amigo/term/GO:0005355","GO:0005355")</f>
        <v>GO:0005355</v>
      </c>
      <c r="D34" t="s">
        <v>7138</v>
      </c>
      <c r="E34">
        <v>2</v>
      </c>
      <c r="F34">
        <v>2</v>
      </c>
      <c r="G34" s="4">
        <v>9.3349792399669704E-6</v>
      </c>
      <c r="H34">
        <v>1.61495140851428E-3</v>
      </c>
      <c r="I34" t="s">
        <v>7139</v>
      </c>
    </row>
    <row r="35" spans="1:9" x14ac:dyDescent="0.25">
      <c r="A35" t="s">
        <v>7079</v>
      </c>
      <c r="C35" s="3" t="str">
        <f>HYPERLINK("http://amigo.geneontology.org/amigo/term/GO:0009679","GO:0009679")</f>
        <v>GO:0009679</v>
      </c>
      <c r="D35" t="s">
        <v>7141</v>
      </c>
      <c r="E35">
        <v>2</v>
      </c>
      <c r="F35">
        <v>2</v>
      </c>
      <c r="G35" s="4">
        <v>9.3349792399669704E-6</v>
      </c>
      <c r="H35">
        <v>1.6802962631940501E-3</v>
      </c>
      <c r="I35" t="s">
        <v>7139</v>
      </c>
    </row>
    <row r="36" spans="1:9" x14ac:dyDescent="0.25">
      <c r="A36" t="s">
        <v>8952</v>
      </c>
      <c r="C36" s="3" t="str">
        <f>HYPERLINK("http://amigo.geneontology.org/amigo/term/GO:0005356","GO:0005356")</f>
        <v>GO:0005356</v>
      </c>
      <c r="D36" t="s">
        <v>7143</v>
      </c>
      <c r="E36">
        <v>2</v>
      </c>
      <c r="F36">
        <v>2</v>
      </c>
      <c r="G36" s="4">
        <v>9.3349792399669704E-6</v>
      </c>
      <c r="H36">
        <v>1.75497609711379E-3</v>
      </c>
      <c r="I36" t="s">
        <v>7139</v>
      </c>
    </row>
    <row r="37" spans="1:9" x14ac:dyDescent="0.25">
      <c r="A37" t="s">
        <v>9777</v>
      </c>
      <c r="C37" s="3" t="str">
        <f>HYPERLINK("http://amigo.geneontology.org/amigo/term/GO:0005358","GO:0005358")</f>
        <v>GO:0005358</v>
      </c>
      <c r="D37" t="s">
        <v>7145</v>
      </c>
      <c r="E37">
        <v>2</v>
      </c>
      <c r="F37">
        <v>2</v>
      </c>
      <c r="G37" s="4">
        <v>9.3349792399669704E-6</v>
      </c>
      <c r="H37">
        <v>1.8296559310335199E-3</v>
      </c>
      <c r="I37" t="s">
        <v>7139</v>
      </c>
    </row>
    <row r="38" spans="1:9" x14ac:dyDescent="0.25">
      <c r="A38" t="s">
        <v>9778</v>
      </c>
      <c r="C38" s="3" t="str">
        <f>HYPERLINK("http://amigo.geneontology.org/amigo/term/GO:0004553","GO:0004553")</f>
        <v>GO:0004553</v>
      </c>
      <c r="D38" t="s">
        <v>174</v>
      </c>
      <c r="E38">
        <v>1509</v>
      </c>
      <c r="F38">
        <v>16</v>
      </c>
      <c r="G38" s="4">
        <v>2.03282677258055E-5</v>
      </c>
      <c r="H38">
        <v>3.3948207102095199E-3</v>
      </c>
      <c r="I38" t="s">
        <v>9779</v>
      </c>
    </row>
    <row r="39" spans="1:9" x14ac:dyDescent="0.25">
      <c r="A39" t="s">
        <v>9780</v>
      </c>
      <c r="C39" s="3" t="str">
        <f>HYPERLINK("http://amigo.geneontology.org/amigo/term/GO:0030234","GO:0030234")</f>
        <v>GO:0030234</v>
      </c>
      <c r="D39" t="s">
        <v>353</v>
      </c>
      <c r="E39">
        <v>1103</v>
      </c>
      <c r="F39">
        <v>13</v>
      </c>
      <c r="G39" s="4">
        <v>4.2590065892847003E-5</v>
      </c>
      <c r="H39">
        <v>6.8570006087483697E-3</v>
      </c>
      <c r="I39" t="s">
        <v>9769</v>
      </c>
    </row>
    <row r="40" spans="1:9" x14ac:dyDescent="0.25">
      <c r="A40" t="s">
        <v>7103</v>
      </c>
      <c r="C40" s="3" t="str">
        <f>HYPERLINK("http://amigo.geneontology.org/amigo/term/GO:0043086","GO:0043086")</f>
        <v>GO:0043086</v>
      </c>
      <c r="D40" t="s">
        <v>510</v>
      </c>
      <c r="E40">
        <v>209</v>
      </c>
      <c r="F40">
        <v>6</v>
      </c>
      <c r="G40" s="4">
        <v>4.9593902129148799E-5</v>
      </c>
      <c r="H40">
        <v>7.6870548300180704E-3</v>
      </c>
      <c r="I40" t="s">
        <v>9773</v>
      </c>
    </row>
    <row r="41" spans="1:9" x14ac:dyDescent="0.25">
      <c r="A41" t="s">
        <v>7111</v>
      </c>
      <c r="C41" s="3" t="str">
        <f>HYPERLINK("http://amigo.geneontology.org/amigo/term/GO:0015149","GO:0015149")</f>
        <v>GO:0015149</v>
      </c>
      <c r="D41" t="s">
        <v>7204</v>
      </c>
      <c r="E41">
        <v>4</v>
      </c>
      <c r="F41">
        <v>2</v>
      </c>
      <c r="G41" s="4">
        <v>5.57834100696537E-5</v>
      </c>
      <c r="H41">
        <v>8.3675115104480599E-3</v>
      </c>
      <c r="I41" t="s">
        <v>7139</v>
      </c>
    </row>
    <row r="42" spans="1:9" x14ac:dyDescent="0.25">
      <c r="A42" t="s">
        <v>7119</v>
      </c>
      <c r="C42" s="3" t="str">
        <f>HYPERLINK("http://amigo.geneontology.org/amigo/term/GO:0044092","GO:0044092")</f>
        <v>GO:0044092</v>
      </c>
      <c r="D42" t="s">
        <v>552</v>
      </c>
      <c r="E42">
        <v>221</v>
      </c>
      <c r="F42">
        <v>6</v>
      </c>
      <c r="G42" s="4">
        <v>6.7515632212056598E-5</v>
      </c>
      <c r="H42">
        <v>9.7897666707482105E-3</v>
      </c>
      <c r="I42" t="s">
        <v>9773</v>
      </c>
    </row>
    <row r="43" spans="1:9" x14ac:dyDescent="0.25">
      <c r="A43" t="s">
        <v>7120</v>
      </c>
      <c r="C43" s="3" t="str">
        <f>HYPERLINK("http://amigo.geneontology.org/amigo/term/GO:0016798","GO:0016798")</f>
        <v>GO:0016798</v>
      </c>
      <c r="D43" t="s">
        <v>177</v>
      </c>
      <c r="E43">
        <v>1691</v>
      </c>
      <c r="F43">
        <v>16</v>
      </c>
      <c r="G43" s="4">
        <v>7.7703822670691604E-5</v>
      </c>
      <c r="H43">
        <v>1.09562389965675E-2</v>
      </c>
      <c r="I43" t="s">
        <v>9779</v>
      </c>
    </row>
    <row r="44" spans="1:9" x14ac:dyDescent="0.25">
      <c r="A44" t="s">
        <v>7137</v>
      </c>
      <c r="C44" s="3" t="str">
        <f>HYPERLINK("http://amigo.geneontology.org/amigo/term/GO:0051248","GO:0051248")</f>
        <v>GO:0051248</v>
      </c>
      <c r="D44" t="s">
        <v>6227</v>
      </c>
      <c r="E44">
        <v>228</v>
      </c>
      <c r="F44">
        <v>6</v>
      </c>
      <c r="G44" s="4">
        <v>8.0143945390245304E-5</v>
      </c>
      <c r="H44">
        <v>1.05790007915123E-2</v>
      </c>
      <c r="I44" t="s">
        <v>9773</v>
      </c>
    </row>
    <row r="45" spans="1:9" x14ac:dyDescent="0.25">
      <c r="A45" t="s">
        <v>7140</v>
      </c>
      <c r="C45" s="3" t="str">
        <f>HYPERLINK("http://amigo.geneontology.org/amigo/term/GO:0032269","GO:0032269")</f>
        <v>GO:0032269</v>
      </c>
      <c r="D45" t="s">
        <v>6230</v>
      </c>
      <c r="E45">
        <v>228</v>
      </c>
      <c r="F45">
        <v>6</v>
      </c>
      <c r="G45" s="4">
        <v>8.0143945390245304E-5</v>
      </c>
      <c r="H45">
        <v>1.08995765730733E-2</v>
      </c>
      <c r="I45" t="s">
        <v>9773</v>
      </c>
    </row>
    <row r="46" spans="1:9" x14ac:dyDescent="0.25">
      <c r="A46" t="s">
        <v>7142</v>
      </c>
      <c r="C46" s="3" t="str">
        <f>HYPERLINK("http://amigo.geneontology.org/amigo/term/GO:0015145","GO:0015145")</f>
        <v>GO:0015145</v>
      </c>
      <c r="D46" t="s">
        <v>7256</v>
      </c>
      <c r="E46">
        <v>6</v>
      </c>
      <c r="F46">
        <v>2</v>
      </c>
      <c r="G46" s="4">
        <v>1.3889492574577301E-4</v>
      </c>
      <c r="H46">
        <v>1.7361865718221601E-2</v>
      </c>
      <c r="I46" t="s">
        <v>7139</v>
      </c>
    </row>
    <row r="47" spans="1:9" x14ac:dyDescent="0.25">
      <c r="A47" t="s">
        <v>7144</v>
      </c>
      <c r="C47" s="3" t="str">
        <f>HYPERLINK("http://amigo.geneontology.org/amigo/term/GO:0015749","GO:0015749")</f>
        <v>GO:0015749</v>
      </c>
      <c r="D47" t="s">
        <v>7258</v>
      </c>
      <c r="E47">
        <v>6</v>
      </c>
      <c r="F47">
        <v>2</v>
      </c>
      <c r="G47" s="4">
        <v>1.3889492574577301E-4</v>
      </c>
      <c r="H47">
        <v>1.79174454212047E-2</v>
      </c>
      <c r="I47" t="s">
        <v>7139</v>
      </c>
    </row>
    <row r="48" spans="1:9" x14ac:dyDescent="0.25">
      <c r="A48" t="s">
        <v>8995</v>
      </c>
      <c r="C48" s="3" t="str">
        <f>HYPERLINK("http://amigo.geneontology.org/amigo/term/GO:0004029","GO:0004029")</f>
        <v>GO:0004029</v>
      </c>
      <c r="D48" t="s">
        <v>9009</v>
      </c>
      <c r="E48">
        <v>7</v>
      </c>
      <c r="F48">
        <v>2</v>
      </c>
      <c r="G48" s="4">
        <v>1.9405971714175099E-4</v>
      </c>
      <c r="H48">
        <v>2.36752854912936E-2</v>
      </c>
      <c r="I48" t="s">
        <v>9010</v>
      </c>
    </row>
    <row r="49" spans="1:9" x14ac:dyDescent="0.25">
      <c r="A49" t="s">
        <v>9001</v>
      </c>
      <c r="C49" s="3" t="str">
        <f>HYPERLINK("http://amigo.geneontology.org/amigo/term/GO:0045493","GO:0045493")</f>
        <v>GO:0045493</v>
      </c>
      <c r="D49" t="s">
        <v>7309</v>
      </c>
      <c r="E49">
        <v>10</v>
      </c>
      <c r="F49">
        <v>2</v>
      </c>
      <c r="G49" s="4">
        <v>4.1332610875830498E-4</v>
      </c>
      <c r="H49">
        <v>4.7532502507205102E-2</v>
      </c>
      <c r="I49" t="s">
        <v>7310</v>
      </c>
    </row>
    <row r="50" spans="1:9" x14ac:dyDescent="0.25">
      <c r="A50" t="s">
        <v>9003</v>
      </c>
      <c r="C50" s="3" t="str">
        <f>HYPERLINK("http://amigo.geneontology.org/amigo/term/GO:0034219","GO:0034219")</f>
        <v>GO:0034219</v>
      </c>
      <c r="D50" t="s">
        <v>7312</v>
      </c>
      <c r="E50">
        <v>10</v>
      </c>
      <c r="F50">
        <v>2</v>
      </c>
      <c r="G50" s="4">
        <v>4.1332610875830498E-4</v>
      </c>
      <c r="H50">
        <v>4.877248083348E-2</v>
      </c>
      <c r="I50" t="s">
        <v>7139</v>
      </c>
    </row>
    <row r="51" spans="1:9" x14ac:dyDescent="0.25">
      <c r="A51" t="s">
        <v>9005</v>
      </c>
      <c r="C51" s="3" t="str">
        <f>HYPERLINK("http://amigo.geneontology.org/amigo/term/GO:0004557","GO:0004557")</f>
        <v>GO:0004557</v>
      </c>
      <c r="D51" t="s">
        <v>5324</v>
      </c>
      <c r="E51">
        <v>13</v>
      </c>
      <c r="F51">
        <v>2</v>
      </c>
      <c r="G51" s="4">
        <v>7.1210017663636896E-4</v>
      </c>
      <c r="H51">
        <v>7.8331019430000495E-2</v>
      </c>
      <c r="I51" t="s">
        <v>9781</v>
      </c>
    </row>
    <row r="52" spans="1:9" x14ac:dyDescent="0.25">
      <c r="A52" t="s">
        <v>7160</v>
      </c>
      <c r="C52" s="3" t="str">
        <f>HYPERLINK("http://amigo.geneontology.org/amigo/term/GO:0052692","GO:0052692")</f>
        <v>GO:0052692</v>
      </c>
      <c r="D52" t="s">
        <v>5326</v>
      </c>
      <c r="E52">
        <v>13</v>
      </c>
      <c r="F52">
        <v>2</v>
      </c>
      <c r="G52" s="4">
        <v>7.1210017663636896E-4</v>
      </c>
      <c r="H52">
        <v>7.9755219783273296E-2</v>
      </c>
      <c r="I52" t="s">
        <v>9781</v>
      </c>
    </row>
    <row r="53" spans="1:9" x14ac:dyDescent="0.25">
      <c r="A53" t="s">
        <v>9008</v>
      </c>
      <c r="C53" s="3" t="str">
        <f>HYPERLINK("http://amigo.geneontology.org/amigo/term/GO:0051119","GO:0051119")</f>
        <v>GO:0051119</v>
      </c>
      <c r="D53" t="s">
        <v>7384</v>
      </c>
      <c r="E53">
        <v>14</v>
      </c>
      <c r="F53">
        <v>2</v>
      </c>
      <c r="G53" s="4">
        <v>8.2910659464891998E-4</v>
      </c>
      <c r="H53">
        <v>8.4568872654189803E-2</v>
      </c>
      <c r="I53" t="s">
        <v>7139</v>
      </c>
    </row>
    <row r="54" spans="1:9" x14ac:dyDescent="0.25">
      <c r="A54" t="s">
        <v>9013</v>
      </c>
      <c r="C54" s="3" t="str">
        <f>HYPERLINK("http://amigo.geneontology.org/amigo/term/GO:0015217","GO:0015217")</f>
        <v>GO:0015217</v>
      </c>
      <c r="D54" t="s">
        <v>9085</v>
      </c>
      <c r="E54">
        <v>14</v>
      </c>
      <c r="F54">
        <v>2</v>
      </c>
      <c r="G54" s="4">
        <v>8.2910659464891998E-4</v>
      </c>
      <c r="H54">
        <v>8.7056192438136601E-2</v>
      </c>
      <c r="I54" t="s">
        <v>9086</v>
      </c>
    </row>
    <row r="55" spans="1:9" x14ac:dyDescent="0.25">
      <c r="A55" t="s">
        <v>9782</v>
      </c>
      <c r="C55" s="3" t="str">
        <f>HYPERLINK("http://amigo.geneontology.org/amigo/term/GO:0005471","GO:0005471")</f>
        <v>GO:0005471</v>
      </c>
      <c r="D55" t="s">
        <v>9087</v>
      </c>
      <c r="E55">
        <v>14</v>
      </c>
      <c r="F55">
        <v>2</v>
      </c>
      <c r="G55" s="4">
        <v>8.2910659464891998E-4</v>
      </c>
      <c r="H55">
        <v>8.8714405627434406E-2</v>
      </c>
      <c r="I55" t="s">
        <v>9086</v>
      </c>
    </row>
    <row r="56" spans="1:9" x14ac:dyDescent="0.25">
      <c r="A56" t="s">
        <v>7205</v>
      </c>
      <c r="C56" s="3" t="str">
        <f>HYPERLINK("http://amigo.geneontology.org/amigo/term/GO:0004619","GO:0004619")</f>
        <v>GO:0004619</v>
      </c>
      <c r="D56" t="s">
        <v>9094</v>
      </c>
      <c r="E56">
        <v>15</v>
      </c>
      <c r="F56">
        <v>2</v>
      </c>
      <c r="G56" s="4">
        <v>9.5473089918303195E-4</v>
      </c>
      <c r="H56">
        <v>9.3563628119937098E-2</v>
      </c>
      <c r="I56" t="s">
        <v>9095</v>
      </c>
    </row>
    <row r="57" spans="1:9" x14ac:dyDescent="0.25">
      <c r="A57" t="s">
        <v>7221</v>
      </c>
      <c r="C57" s="3" t="str">
        <f>HYPERLINK("http://amigo.geneontology.org/amigo/term/GO:0015301","GO:0015301")</f>
        <v>GO:0015301</v>
      </c>
      <c r="D57" t="s">
        <v>9096</v>
      </c>
      <c r="E57">
        <v>15</v>
      </c>
      <c r="F57">
        <v>2</v>
      </c>
      <c r="G57" s="4">
        <v>9.5473089918303195E-4</v>
      </c>
      <c r="H57">
        <v>9.5473089918303194E-2</v>
      </c>
      <c r="I57" t="s">
        <v>9086</v>
      </c>
    </row>
    <row r="58" spans="1:9" x14ac:dyDescent="0.25">
      <c r="A58" t="s">
        <v>9783</v>
      </c>
      <c r="C58" s="3" t="str">
        <f>HYPERLINK("http://amigo.geneontology.org/amigo/term/GO:0015865","GO:0015865")</f>
        <v>GO:0015865</v>
      </c>
      <c r="D58" t="s">
        <v>8972</v>
      </c>
      <c r="E58">
        <v>16</v>
      </c>
      <c r="F58">
        <v>2</v>
      </c>
      <c r="G58">
        <v>1.0889196716104301E-3</v>
      </c>
      <c r="H58">
        <v>0.104536288474601</v>
      </c>
      <c r="I58" t="s">
        <v>9086</v>
      </c>
    </row>
    <row r="59" spans="1:9" x14ac:dyDescent="0.25">
      <c r="A59" t="s">
        <v>7234</v>
      </c>
      <c r="C59" s="3" t="str">
        <f>HYPERLINK("http://amigo.geneontology.org/amigo/term/GO:0016706","GO:0016706")</f>
        <v>GO:0016706</v>
      </c>
      <c r="D59" t="s">
        <v>5638</v>
      </c>
      <c r="E59">
        <v>251</v>
      </c>
      <c r="F59">
        <v>5</v>
      </c>
      <c r="G59">
        <v>1.1171631117649801E-3</v>
      </c>
      <c r="H59">
        <v>0.105013332505908</v>
      </c>
      <c r="I59" t="s">
        <v>9784</v>
      </c>
    </row>
    <row r="60" spans="1:9" x14ac:dyDescent="0.25">
      <c r="A60" t="s">
        <v>7236</v>
      </c>
      <c r="C60" s="3" t="str">
        <f>HYPERLINK("http://amigo.geneontology.org/amigo/term/GO:0005347","GO:0005347")</f>
        <v>GO:0005347</v>
      </c>
      <c r="D60" t="s">
        <v>9111</v>
      </c>
      <c r="E60">
        <v>17</v>
      </c>
      <c r="F60">
        <v>2</v>
      </c>
      <c r="G60">
        <v>1.2316197369821101E-3</v>
      </c>
      <c r="H60">
        <v>0.113309015802354</v>
      </c>
      <c r="I60" t="s">
        <v>9086</v>
      </c>
    </row>
    <row r="61" spans="1:9" x14ac:dyDescent="0.25">
      <c r="A61" t="s">
        <v>7238</v>
      </c>
      <c r="C61" s="3" t="str">
        <f>HYPERLINK("http://amigo.geneontology.org/amigo/term/GO:0044036","GO:0044036")</f>
        <v>GO:0044036</v>
      </c>
      <c r="D61" t="s">
        <v>828</v>
      </c>
      <c r="E61">
        <v>388</v>
      </c>
      <c r="F61">
        <v>6</v>
      </c>
      <c r="G61">
        <v>1.3357576781636499E-3</v>
      </c>
      <c r="H61">
        <v>0.120218191034729</v>
      </c>
      <c r="I61" t="s">
        <v>9785</v>
      </c>
    </row>
    <row r="62" spans="1:9" x14ac:dyDescent="0.25">
      <c r="A62" t="s">
        <v>7239</v>
      </c>
      <c r="C62" s="3" t="str">
        <f>HYPERLINK("http://amigo.geneontology.org/amigo/term/GO:0043090","GO:0043090")</f>
        <v>GO:0043090</v>
      </c>
      <c r="D62" t="s">
        <v>7437</v>
      </c>
      <c r="E62">
        <v>18</v>
      </c>
      <c r="F62">
        <v>2</v>
      </c>
      <c r="G62">
        <v>1.3827781635284101E-3</v>
      </c>
      <c r="H62">
        <v>0.114770587572858</v>
      </c>
      <c r="I62" t="s">
        <v>7139</v>
      </c>
    </row>
    <row r="63" spans="1:9" x14ac:dyDescent="0.25">
      <c r="A63" t="s">
        <v>7247</v>
      </c>
      <c r="C63" s="3" t="str">
        <f>HYPERLINK("http://amigo.geneontology.org/amigo/term/GO:0015216","GO:0015216")</f>
        <v>GO:0015216</v>
      </c>
      <c r="D63" t="s">
        <v>8978</v>
      </c>
      <c r="E63">
        <v>18</v>
      </c>
      <c r="F63">
        <v>2</v>
      </c>
      <c r="G63">
        <v>1.3827781635284101E-3</v>
      </c>
      <c r="H63">
        <v>0.117536143899915</v>
      </c>
      <c r="I63" t="s">
        <v>9086</v>
      </c>
    </row>
    <row r="64" spans="1:9" x14ac:dyDescent="0.25">
      <c r="A64" t="s">
        <v>7251</v>
      </c>
      <c r="C64" s="3" t="str">
        <f>HYPERLINK("http://amigo.geneontology.org/amigo/term/GO:0000295","GO:0000295")</f>
        <v>GO:0000295</v>
      </c>
      <c r="D64" t="s">
        <v>8979</v>
      </c>
      <c r="E64">
        <v>18</v>
      </c>
      <c r="F64">
        <v>2</v>
      </c>
      <c r="G64">
        <v>1.3827781635284101E-3</v>
      </c>
      <c r="H64">
        <v>0.118918922063443</v>
      </c>
      <c r="I64" t="s">
        <v>9086</v>
      </c>
    </row>
    <row r="65" spans="1:9" x14ac:dyDescent="0.25">
      <c r="A65" t="s">
        <v>9090</v>
      </c>
      <c r="C65" s="3" t="str">
        <f>HYPERLINK("http://amigo.geneontology.org/amigo/term/GO:0005346","GO:0005346")</f>
        <v>GO:0005346</v>
      </c>
      <c r="D65" t="s">
        <v>8981</v>
      </c>
      <c r="E65">
        <v>18</v>
      </c>
      <c r="F65">
        <v>2</v>
      </c>
      <c r="G65">
        <v>1.3827781635284101E-3</v>
      </c>
      <c r="H65">
        <v>0.12168447839050001</v>
      </c>
      <c r="I65" t="s">
        <v>9086</v>
      </c>
    </row>
    <row r="66" spans="1:9" x14ac:dyDescent="0.25">
      <c r="A66" t="s">
        <v>9097</v>
      </c>
      <c r="C66" s="3" t="str">
        <f>HYPERLINK("http://amigo.geneontology.org/amigo/term/GO:0006952","GO:0006952")</f>
        <v>GO:0006952</v>
      </c>
      <c r="D66" t="s">
        <v>155</v>
      </c>
      <c r="E66">
        <v>1416</v>
      </c>
      <c r="F66">
        <v>12</v>
      </c>
      <c r="G66">
        <v>1.5525134610038099E-3</v>
      </c>
      <c r="H66">
        <v>0.127306103802313</v>
      </c>
      <c r="I66" t="s">
        <v>9786</v>
      </c>
    </row>
    <row r="67" spans="1:9" x14ac:dyDescent="0.25">
      <c r="A67" t="s">
        <v>9112</v>
      </c>
      <c r="C67" s="3" t="str">
        <f>HYPERLINK("http://amigo.geneontology.org/amigo/term/GO:0006950","GO:0006950")</f>
        <v>GO:0006950</v>
      </c>
      <c r="D67" t="s">
        <v>7156</v>
      </c>
      <c r="E67">
        <v>4305</v>
      </c>
      <c r="F67">
        <v>25</v>
      </c>
      <c r="G67">
        <v>1.71070535096883E-3</v>
      </c>
      <c r="H67">
        <v>0.136856428077507</v>
      </c>
      <c r="I67" t="s">
        <v>9787</v>
      </c>
    </row>
    <row r="68" spans="1:9" x14ac:dyDescent="0.25">
      <c r="A68" t="s">
        <v>9119</v>
      </c>
      <c r="C68" s="3" t="str">
        <f>HYPERLINK("http://amigo.geneontology.org/amigo/term/GO:0030246","GO:0030246")</f>
        <v>GO:0030246</v>
      </c>
      <c r="D68" t="s">
        <v>6959</v>
      </c>
      <c r="E68">
        <v>1249</v>
      </c>
      <c r="F68">
        <v>11</v>
      </c>
      <c r="G68">
        <v>1.7932161931050899E-3</v>
      </c>
      <c r="H68">
        <v>0.141664079255302</v>
      </c>
      <c r="I68" t="s">
        <v>9788</v>
      </c>
    </row>
    <row r="69" spans="1:9" x14ac:dyDescent="0.25">
      <c r="A69" t="s">
        <v>9134</v>
      </c>
      <c r="C69" s="3" t="str">
        <f>HYPERLINK("http://amigo.geneontology.org/amigo/term/GO:0004497","GO:0004497")</f>
        <v>GO:0004497</v>
      </c>
      <c r="D69" t="s">
        <v>783</v>
      </c>
      <c r="E69">
        <v>891</v>
      </c>
      <c r="F69">
        <v>9</v>
      </c>
      <c r="G69">
        <v>1.86314016914429E-3</v>
      </c>
      <c r="H69">
        <v>0.143461793024111</v>
      </c>
      <c r="I69" t="s">
        <v>9789</v>
      </c>
    </row>
    <row r="70" spans="1:9" x14ac:dyDescent="0.25">
      <c r="A70" t="s">
        <v>9137</v>
      </c>
      <c r="C70" s="3" t="str">
        <f>HYPERLINK("http://amigo.geneontology.org/amigo/term/GO:0015215","GO:0015215")</f>
        <v>GO:0015215</v>
      </c>
      <c r="D70" t="s">
        <v>9006</v>
      </c>
      <c r="E70">
        <v>22</v>
      </c>
      <c r="F70">
        <v>2</v>
      </c>
      <c r="G70">
        <v>2.0709452903796498E-3</v>
      </c>
      <c r="H70">
        <v>0.15739184206885301</v>
      </c>
      <c r="I70" t="s">
        <v>9086</v>
      </c>
    </row>
    <row r="71" spans="1:9" x14ac:dyDescent="0.25">
      <c r="A71" t="s">
        <v>9141</v>
      </c>
      <c r="C71" s="3" t="str">
        <f>HYPERLINK("http://amigo.geneontology.org/amigo/term/GO:0016866","GO:0016866")</f>
        <v>GO:0016866</v>
      </c>
      <c r="D71" t="s">
        <v>4350</v>
      </c>
      <c r="E71">
        <v>176</v>
      </c>
      <c r="F71">
        <v>4</v>
      </c>
      <c r="G71">
        <v>2.19339200601631E-3</v>
      </c>
      <c r="H71">
        <v>0.164504400451223</v>
      </c>
      <c r="I71" t="s">
        <v>9790</v>
      </c>
    </row>
    <row r="72" spans="1:9" x14ac:dyDescent="0.25">
      <c r="A72" t="s">
        <v>9143</v>
      </c>
      <c r="C72" s="3" t="str">
        <f>HYPERLINK("http://amigo.geneontology.org/amigo/term/GO:0004568","GO:0004568")</f>
        <v>GO:0004568</v>
      </c>
      <c r="D72" t="s">
        <v>6938</v>
      </c>
      <c r="E72">
        <v>84</v>
      </c>
      <c r="F72">
        <v>3</v>
      </c>
      <c r="G72">
        <v>2.24923812753349E-3</v>
      </c>
      <c r="H72">
        <v>0.15294819267227699</v>
      </c>
      <c r="I72" t="s">
        <v>9791</v>
      </c>
    </row>
    <row r="73" spans="1:9" x14ac:dyDescent="0.25">
      <c r="A73" t="s">
        <v>7322</v>
      </c>
      <c r="C73" s="3" t="str">
        <f>HYPERLINK("http://amigo.geneontology.org/amigo/term/GO:0006026","GO:0006026")</f>
        <v>GO:0006026</v>
      </c>
      <c r="D73" t="s">
        <v>6941</v>
      </c>
      <c r="E73">
        <v>84</v>
      </c>
      <c r="F73">
        <v>3</v>
      </c>
      <c r="G73">
        <v>2.24923812753349E-3</v>
      </c>
      <c r="H73">
        <v>0.15519743079980999</v>
      </c>
      <c r="I73" t="s">
        <v>9791</v>
      </c>
    </row>
    <row r="74" spans="1:9" x14ac:dyDescent="0.25">
      <c r="A74" t="s">
        <v>9151</v>
      </c>
      <c r="C74" s="3" t="str">
        <f>HYPERLINK("http://amigo.geneontology.org/amigo/term/GO:0006030","GO:0006030")</f>
        <v>GO:0006030</v>
      </c>
      <c r="D74" t="s">
        <v>6943</v>
      </c>
      <c r="E74">
        <v>84</v>
      </c>
      <c r="F74">
        <v>3</v>
      </c>
      <c r="G74">
        <v>2.24923812753349E-3</v>
      </c>
      <c r="H74">
        <v>0.15744666892734399</v>
      </c>
      <c r="I74" t="s">
        <v>9791</v>
      </c>
    </row>
    <row r="75" spans="1:9" x14ac:dyDescent="0.25">
      <c r="A75" t="s">
        <v>9792</v>
      </c>
      <c r="C75" s="3" t="str">
        <f>HYPERLINK("http://amigo.geneontology.org/amigo/term/GO:0046348","GO:0046348")</f>
        <v>GO:0046348</v>
      </c>
      <c r="D75" t="s">
        <v>6945</v>
      </c>
      <c r="E75">
        <v>84</v>
      </c>
      <c r="F75">
        <v>3</v>
      </c>
      <c r="G75">
        <v>2.24923812753349E-3</v>
      </c>
      <c r="H75">
        <v>0.15969590705487699</v>
      </c>
      <c r="I75" t="s">
        <v>9791</v>
      </c>
    </row>
    <row r="76" spans="1:9" x14ac:dyDescent="0.25">
      <c r="A76" t="s">
        <v>9793</v>
      </c>
      <c r="C76" s="3" t="str">
        <f>HYPERLINK("http://amigo.geneontology.org/amigo/term/GO:1901072","GO:1901072")</f>
        <v>GO:1901072</v>
      </c>
      <c r="D76" t="s">
        <v>6947</v>
      </c>
      <c r="E76">
        <v>84</v>
      </c>
      <c r="F76">
        <v>3</v>
      </c>
      <c r="G76">
        <v>2.24923812753349E-3</v>
      </c>
      <c r="H76">
        <v>0.16194514518241099</v>
      </c>
      <c r="I76" t="s">
        <v>9791</v>
      </c>
    </row>
    <row r="77" spans="1:9" x14ac:dyDescent="0.25">
      <c r="A77" t="s">
        <v>9794</v>
      </c>
      <c r="C77" s="3" t="str">
        <f>HYPERLINK("http://amigo.geneontology.org/amigo/term/GO:0006032","GO:0006032")</f>
        <v>GO:0006032</v>
      </c>
      <c r="D77" t="s">
        <v>6949</v>
      </c>
      <c r="E77">
        <v>84</v>
      </c>
      <c r="F77">
        <v>3</v>
      </c>
      <c r="G77">
        <v>2.24923812753349E-3</v>
      </c>
      <c r="H77">
        <v>0.16644362143747801</v>
      </c>
      <c r="I77" t="s">
        <v>9791</v>
      </c>
    </row>
    <row r="78" spans="1:9" x14ac:dyDescent="0.25">
      <c r="A78" t="s">
        <v>7336</v>
      </c>
      <c r="C78" s="3" t="str">
        <f>HYPERLINK("http://amigo.geneontology.org/amigo/term/GO:0005402","GO:0005402")</f>
        <v>GO:0005402</v>
      </c>
      <c r="D78" t="s">
        <v>7550</v>
      </c>
      <c r="E78">
        <v>23</v>
      </c>
      <c r="F78">
        <v>2</v>
      </c>
      <c r="G78">
        <v>2.2636099780820999E-3</v>
      </c>
      <c r="H78">
        <v>0.14713464857533601</v>
      </c>
      <c r="I78" t="s">
        <v>7139</v>
      </c>
    </row>
    <row r="79" spans="1:9" x14ac:dyDescent="0.25">
      <c r="A79" t="s">
        <v>9795</v>
      </c>
      <c r="C79" s="3" t="str">
        <f>HYPERLINK("http://amigo.geneontology.org/amigo/term/GO:0005351","GO:0005351")</f>
        <v>GO:0005351</v>
      </c>
      <c r="D79" t="s">
        <v>7552</v>
      </c>
      <c r="E79">
        <v>23</v>
      </c>
      <c r="F79">
        <v>2</v>
      </c>
      <c r="G79">
        <v>2.2636099780820999E-3</v>
      </c>
      <c r="H79">
        <v>0.14939825855341801</v>
      </c>
      <c r="I79" t="s">
        <v>7139</v>
      </c>
    </row>
    <row r="80" spans="1:9" x14ac:dyDescent="0.25">
      <c r="A80" t="s">
        <v>9796</v>
      </c>
      <c r="C80" s="3" t="str">
        <f>HYPERLINK("http://amigo.geneontology.org/amigo/term/GO:0015605","GO:0015605")</f>
        <v>GO:0015605</v>
      </c>
      <c r="D80" t="s">
        <v>9011</v>
      </c>
      <c r="E80">
        <v>23</v>
      </c>
      <c r="F80">
        <v>2</v>
      </c>
      <c r="G80">
        <v>2.2636099780820999E-3</v>
      </c>
      <c r="H80">
        <v>0.15166186853149999</v>
      </c>
      <c r="I80" t="s">
        <v>9086</v>
      </c>
    </row>
    <row r="81" spans="1:9" x14ac:dyDescent="0.25">
      <c r="A81" t="s">
        <v>7346</v>
      </c>
      <c r="C81" s="3" t="str">
        <f>HYPERLINK("http://amigo.geneontology.org/amigo/term/GO:0005975","GO:0005975")</f>
        <v>GO:0005975</v>
      </c>
      <c r="D81" t="s">
        <v>171</v>
      </c>
      <c r="E81">
        <v>2990</v>
      </c>
      <c r="F81">
        <v>19</v>
      </c>
      <c r="G81">
        <v>2.3228631227929599E-3</v>
      </c>
      <c r="H81">
        <v>0.14866323985874899</v>
      </c>
      <c r="I81" t="s">
        <v>9797</v>
      </c>
    </row>
    <row r="82" spans="1:9" x14ac:dyDescent="0.25">
      <c r="A82" t="s">
        <v>7348</v>
      </c>
      <c r="C82" s="3" t="str">
        <f>HYPERLINK("http://amigo.geneontology.org/amigo/term/GO:0016998","GO:0016998")</f>
        <v>GO:0016998</v>
      </c>
      <c r="D82" t="s">
        <v>6933</v>
      </c>
      <c r="E82">
        <v>86</v>
      </c>
      <c r="F82">
        <v>3</v>
      </c>
      <c r="G82">
        <v>2.40498614001929E-3</v>
      </c>
      <c r="H82">
        <v>0.15151412682121501</v>
      </c>
      <c r="I82" t="s">
        <v>9791</v>
      </c>
    </row>
    <row r="83" spans="1:9" x14ac:dyDescent="0.25">
      <c r="A83" t="s">
        <v>7349</v>
      </c>
      <c r="C83" s="3" t="str">
        <f>HYPERLINK("http://amigo.geneontology.org/amigo/term/GO:0016903","GO:0016903")</f>
        <v>GO:0016903</v>
      </c>
      <c r="D83" t="s">
        <v>992</v>
      </c>
      <c r="E83">
        <v>182</v>
      </c>
      <c r="F83">
        <v>4</v>
      </c>
      <c r="G83">
        <v>2.47552561740587E-3</v>
      </c>
      <c r="H83">
        <v>0.153482588279164</v>
      </c>
      <c r="I83" t="s">
        <v>9798</v>
      </c>
    </row>
    <row r="84" spans="1:9" x14ac:dyDescent="0.25">
      <c r="A84" t="s">
        <v>9799</v>
      </c>
      <c r="C84" s="3" t="str">
        <f>HYPERLINK("http://amigo.geneontology.org/amigo/term/GO:1901071","GO:1901071")</f>
        <v>GO:1901071</v>
      </c>
      <c r="D84" t="s">
        <v>6953</v>
      </c>
      <c r="E84">
        <v>87</v>
      </c>
      <c r="F84">
        <v>3</v>
      </c>
      <c r="G84">
        <v>2.4852988451041702E-3</v>
      </c>
      <c r="H84">
        <v>0.151603229551354</v>
      </c>
      <c r="I84" t="s">
        <v>9791</v>
      </c>
    </row>
    <row r="85" spans="1:9" x14ac:dyDescent="0.25">
      <c r="A85" t="s">
        <v>9163</v>
      </c>
      <c r="C85" s="3" t="str">
        <f>HYPERLINK("http://amigo.geneontology.org/amigo/term/GO:0006040","GO:0006040")</f>
        <v>GO:0006040</v>
      </c>
      <c r="D85" t="s">
        <v>6955</v>
      </c>
      <c r="E85">
        <v>93</v>
      </c>
      <c r="F85">
        <v>3</v>
      </c>
      <c r="G85">
        <v>3.00202061758802E-3</v>
      </c>
      <c r="H85">
        <v>0.18312325767286899</v>
      </c>
      <c r="I85" t="s">
        <v>9791</v>
      </c>
    </row>
    <row r="86" spans="1:9" x14ac:dyDescent="0.25">
      <c r="A86" t="s">
        <v>7358</v>
      </c>
      <c r="C86" s="3" t="str">
        <f>HYPERLINK("http://amigo.geneontology.org/amigo/term/GO:0015295","GO:0015295")</f>
        <v>GO:0015295</v>
      </c>
      <c r="D86" t="s">
        <v>9800</v>
      </c>
      <c r="E86">
        <v>27</v>
      </c>
      <c r="F86">
        <v>2</v>
      </c>
      <c r="G86">
        <v>3.1152154817038502E-3</v>
      </c>
      <c r="H86">
        <v>0.18691292890223099</v>
      </c>
      <c r="I86" t="s">
        <v>7139</v>
      </c>
    </row>
    <row r="87" spans="1:9" x14ac:dyDescent="0.25">
      <c r="A87" t="s">
        <v>9168</v>
      </c>
      <c r="C87" s="3" t="str">
        <f>HYPERLINK("http://amigo.geneontology.org/amigo/term/GO:0006022","GO:0006022")</f>
        <v>GO:0006022</v>
      </c>
      <c r="D87" t="s">
        <v>6974</v>
      </c>
      <c r="E87">
        <v>101</v>
      </c>
      <c r="F87">
        <v>3</v>
      </c>
      <c r="G87">
        <v>3.7868575923892E-3</v>
      </c>
      <c r="H87">
        <v>0.22342459795096201</v>
      </c>
      <c r="I87" t="s">
        <v>9791</v>
      </c>
    </row>
    <row r="88" spans="1:9" x14ac:dyDescent="0.25">
      <c r="A88" t="s">
        <v>9174</v>
      </c>
      <c r="C88" s="3" t="str">
        <f>HYPERLINK("http://amigo.geneontology.org/amigo/term/GO:0051172","GO:0051172")</f>
        <v>GO:0051172</v>
      </c>
      <c r="D88" t="s">
        <v>7163</v>
      </c>
      <c r="E88">
        <v>479</v>
      </c>
      <c r="F88">
        <v>6</v>
      </c>
      <c r="G88">
        <v>3.7918565141074399E-3</v>
      </c>
      <c r="H88">
        <v>0.219927677818231</v>
      </c>
      <c r="I88" t="s">
        <v>9773</v>
      </c>
    </row>
    <row r="89" spans="1:9" x14ac:dyDescent="0.25">
      <c r="A89" t="s">
        <v>9801</v>
      </c>
      <c r="C89" s="3" t="str">
        <f>HYPERLINK("http://amigo.geneontology.org/amigo/term/GO:0031324","GO:0031324")</f>
        <v>GO:0031324</v>
      </c>
      <c r="D89" t="s">
        <v>7179</v>
      </c>
      <c r="E89">
        <v>488</v>
      </c>
      <c r="F89">
        <v>6</v>
      </c>
      <c r="G89">
        <v>4.1479735397009498E-3</v>
      </c>
      <c r="H89">
        <v>0.236434491762954</v>
      </c>
      <c r="I89" t="s">
        <v>9773</v>
      </c>
    </row>
    <row r="90" spans="1:9" x14ac:dyDescent="0.25">
      <c r="A90" t="s">
        <v>9802</v>
      </c>
      <c r="C90" s="3" t="str">
        <f>HYPERLINK("http://amigo.geneontology.org/amigo/term/GO:0009627","GO:0009627")</f>
        <v>GO:0009627</v>
      </c>
      <c r="D90" t="s">
        <v>7432</v>
      </c>
      <c r="E90">
        <v>114</v>
      </c>
      <c r="F90">
        <v>3</v>
      </c>
      <c r="G90">
        <v>5.3076566656568604E-3</v>
      </c>
      <c r="H90">
        <v>0.30253642994244101</v>
      </c>
      <c r="I90" t="s">
        <v>9803</v>
      </c>
    </row>
    <row r="91" spans="1:9" x14ac:dyDescent="0.25">
      <c r="A91" t="s">
        <v>7394</v>
      </c>
      <c r="C91" s="3" t="str">
        <f>HYPERLINK("http://amigo.geneontology.org/amigo/term/GO:0016868","GO:0016868")</f>
        <v>GO:0016868</v>
      </c>
      <c r="D91" t="s">
        <v>9804</v>
      </c>
      <c r="E91">
        <v>36</v>
      </c>
      <c r="F91">
        <v>2</v>
      </c>
      <c r="G91">
        <v>5.4910956132496599E-3</v>
      </c>
      <c r="H91">
        <v>0.307501354341981</v>
      </c>
      <c r="I91" t="s">
        <v>9095</v>
      </c>
    </row>
    <row r="92" spans="1:9" x14ac:dyDescent="0.25">
      <c r="A92" t="s">
        <v>9805</v>
      </c>
      <c r="C92" s="3" t="str">
        <f>HYPERLINK("http://amigo.geneontology.org/amigo/term/GO:0000305","GO:0000305")</f>
        <v>GO:0000305</v>
      </c>
      <c r="D92" t="s">
        <v>9806</v>
      </c>
      <c r="E92">
        <v>39</v>
      </c>
      <c r="F92">
        <v>2</v>
      </c>
      <c r="G92">
        <v>6.4197740798464199E-3</v>
      </c>
      <c r="H92">
        <v>0.35308757439155303</v>
      </c>
      <c r="I92" t="s">
        <v>9010</v>
      </c>
    </row>
    <row r="93" spans="1:9" x14ac:dyDescent="0.25">
      <c r="A93" t="s">
        <v>7408</v>
      </c>
      <c r="C93" s="3" t="str">
        <f>HYPERLINK("http://amigo.geneontology.org/amigo/term/GO:0000303","GO:0000303")</f>
        <v>GO:0000303</v>
      </c>
      <c r="D93" t="s">
        <v>9807</v>
      </c>
      <c r="E93">
        <v>39</v>
      </c>
      <c r="F93">
        <v>2</v>
      </c>
      <c r="G93">
        <v>6.4197740798464199E-3</v>
      </c>
      <c r="H93">
        <v>0.35308757439155303</v>
      </c>
      <c r="I93" t="s">
        <v>9010</v>
      </c>
    </row>
    <row r="94" spans="1:9" x14ac:dyDescent="0.25">
      <c r="A94" t="s">
        <v>9205</v>
      </c>
      <c r="C94" s="3" t="str">
        <f>HYPERLINK("http://amigo.geneontology.org/amigo/term/GO:0015925","GO:0015925")</f>
        <v>GO:0015925</v>
      </c>
      <c r="D94" t="s">
        <v>847</v>
      </c>
      <c r="E94">
        <v>40</v>
      </c>
      <c r="F94">
        <v>2</v>
      </c>
      <c r="G94">
        <v>6.7441041677340401E-3</v>
      </c>
      <c r="H94">
        <v>0.35743752088990399</v>
      </c>
      <c r="I94" t="s">
        <v>9781</v>
      </c>
    </row>
    <row r="95" spans="1:9" x14ac:dyDescent="0.25">
      <c r="A95" t="s">
        <v>9207</v>
      </c>
      <c r="C95" s="3" t="str">
        <f>HYPERLINK("http://amigo.geneontology.org/amigo/term/GO:0006862","GO:0006862")</f>
        <v>GO:0006862</v>
      </c>
      <c r="D95" t="s">
        <v>9101</v>
      </c>
      <c r="E95">
        <v>40</v>
      </c>
      <c r="F95">
        <v>2</v>
      </c>
      <c r="G95">
        <v>6.7441041677340401E-3</v>
      </c>
      <c r="H95">
        <v>0.36418162505763801</v>
      </c>
      <c r="I95" t="s">
        <v>9086</v>
      </c>
    </row>
    <row r="96" spans="1:9" x14ac:dyDescent="0.25">
      <c r="A96" t="s">
        <v>9808</v>
      </c>
      <c r="C96" s="3" t="str">
        <f>HYPERLINK("http://amigo.geneontology.org/amigo/term/GO:0032268","GO:0032268")</f>
        <v>GO:0032268</v>
      </c>
      <c r="D96" t="s">
        <v>7306</v>
      </c>
      <c r="E96">
        <v>554</v>
      </c>
      <c r="F96">
        <v>6</v>
      </c>
      <c r="G96">
        <v>7.5588860186082399E-3</v>
      </c>
      <c r="H96">
        <v>0.40062095898623701</v>
      </c>
      <c r="I96" t="s">
        <v>9773</v>
      </c>
    </row>
    <row r="97" spans="1:9" x14ac:dyDescent="0.25">
      <c r="A97" t="s">
        <v>9809</v>
      </c>
      <c r="C97" s="3" t="str">
        <f>HYPERLINK("http://amigo.geneontology.org/amigo/term/GO:0051213","GO:0051213")</f>
        <v>GO:0051213</v>
      </c>
      <c r="D97" t="s">
        <v>5728</v>
      </c>
      <c r="E97">
        <v>396</v>
      </c>
      <c r="F97">
        <v>5</v>
      </c>
      <c r="G97">
        <v>7.7716296826645399E-3</v>
      </c>
      <c r="H97">
        <v>0.40412474349855598</v>
      </c>
      <c r="I97" t="s">
        <v>9784</v>
      </c>
    </row>
    <row r="98" spans="1:9" x14ac:dyDescent="0.25">
      <c r="A98" t="s">
        <v>9810</v>
      </c>
      <c r="C98" s="3" t="str">
        <f>HYPERLINK("http://amigo.geneontology.org/amigo/term/GO:1901136","GO:1901136")</f>
        <v>GO:1901136</v>
      </c>
      <c r="D98" t="s">
        <v>6302</v>
      </c>
      <c r="E98">
        <v>132</v>
      </c>
      <c r="F98">
        <v>3</v>
      </c>
      <c r="G98">
        <v>7.9443147764190602E-3</v>
      </c>
      <c r="H98">
        <v>0.40516005359737201</v>
      </c>
      <c r="I98" t="s">
        <v>9791</v>
      </c>
    </row>
    <row r="99" spans="1:9" x14ac:dyDescent="0.25">
      <c r="A99" t="s">
        <v>7454</v>
      </c>
      <c r="C99" s="3" t="str">
        <f>HYPERLINK("http://amigo.geneontology.org/amigo/term/GO:0051246","GO:0051246")</f>
        <v>GO:0051246</v>
      </c>
      <c r="D99" t="s">
        <v>7327</v>
      </c>
      <c r="E99">
        <v>576</v>
      </c>
      <c r="F99">
        <v>6</v>
      </c>
      <c r="G99">
        <v>9.0492015298990099E-3</v>
      </c>
      <c r="H99">
        <v>0.46150927802484898</v>
      </c>
      <c r="I99" t="s">
        <v>9773</v>
      </c>
    </row>
    <row r="100" spans="1:9" x14ac:dyDescent="0.25">
      <c r="A100" t="s">
        <v>7459</v>
      </c>
      <c r="C100" s="3" t="str">
        <f>HYPERLINK("http://amigo.geneontology.org/amigo/term/GO:0015294","GO:0015294")</f>
        <v>GO:0015294</v>
      </c>
      <c r="D100" t="s">
        <v>9811</v>
      </c>
      <c r="E100">
        <v>48</v>
      </c>
      <c r="F100">
        <v>2</v>
      </c>
      <c r="G100">
        <v>9.5977995832874398E-3</v>
      </c>
      <c r="H100">
        <v>0.47988997916437198</v>
      </c>
      <c r="I100" t="s">
        <v>7139</v>
      </c>
    </row>
    <row r="101" spans="1:9" x14ac:dyDescent="0.25">
      <c r="A101" t="s">
        <v>9812</v>
      </c>
      <c r="C101" s="3" t="str">
        <f>HYPERLINK("http://amigo.geneontology.org/amigo/term/GO:0034976","GO:0034976")</f>
        <v>GO:0034976</v>
      </c>
      <c r="D101" t="s">
        <v>9091</v>
      </c>
      <c r="E101">
        <v>143</v>
      </c>
      <c r="F101">
        <v>3</v>
      </c>
      <c r="G101">
        <v>9.8737324078035094E-3</v>
      </c>
      <c r="H101">
        <v>0.49368662039017502</v>
      </c>
      <c r="I101" t="s">
        <v>9813</v>
      </c>
    </row>
    <row r="102" spans="1:9" x14ac:dyDescent="0.25">
      <c r="A102" t="s">
        <v>9214</v>
      </c>
      <c r="C102" s="3" t="str">
        <f>HYPERLINK("http://amigo.geneontology.org/amigo/term/GO:0006007","GO:0006007")</f>
        <v>GO:0006007</v>
      </c>
      <c r="D102" t="s">
        <v>9814</v>
      </c>
      <c r="E102">
        <v>49</v>
      </c>
      <c r="F102">
        <v>2</v>
      </c>
      <c r="G102">
        <v>9.9861939861576304E-3</v>
      </c>
      <c r="H102">
        <v>0.48932350532172397</v>
      </c>
      <c r="I102" t="s">
        <v>9095</v>
      </c>
    </row>
    <row r="103" spans="1:9" x14ac:dyDescent="0.25">
      <c r="A103" t="s">
        <v>7474</v>
      </c>
      <c r="C103" s="3" t="str">
        <f>HYPERLINK("http://amigo.geneontology.org/amigo/term/GO:1901505","GO:1901505")</f>
        <v>GO:1901505</v>
      </c>
      <c r="D103" t="s">
        <v>9148</v>
      </c>
      <c r="E103">
        <v>49</v>
      </c>
      <c r="F103">
        <v>2</v>
      </c>
      <c r="G103">
        <v>9.9861939861576304E-3</v>
      </c>
      <c r="H103">
        <v>0.48932350532172397</v>
      </c>
      <c r="I103" t="s">
        <v>9086</v>
      </c>
    </row>
    <row r="104" spans="1:9" x14ac:dyDescent="0.25">
      <c r="A104" t="s">
        <v>9215</v>
      </c>
      <c r="C104" s="3" t="str">
        <f>HYPERLINK("http://amigo.geneontology.org/amigo/term/GO:0071369","GO:0071369")</f>
        <v>GO:0071369</v>
      </c>
      <c r="D104" t="s">
        <v>9815</v>
      </c>
      <c r="E104">
        <v>52</v>
      </c>
      <c r="F104">
        <v>2</v>
      </c>
      <c r="G104">
        <v>1.11925183153828E-2</v>
      </c>
      <c r="H104">
        <v>0.53724087913837604</v>
      </c>
      <c r="I104" t="s">
        <v>9010</v>
      </c>
    </row>
    <row r="105" spans="1:9" x14ac:dyDescent="0.25">
      <c r="A105" t="s">
        <v>9216</v>
      </c>
      <c r="C105" s="3" t="str">
        <f>HYPERLINK("http://amigo.geneontology.org/amigo/term/GO:0009873","GO:0009873")</f>
        <v>GO:0009873</v>
      </c>
      <c r="D105" t="s">
        <v>9816</v>
      </c>
      <c r="E105">
        <v>52</v>
      </c>
      <c r="F105">
        <v>2</v>
      </c>
      <c r="G105">
        <v>1.11925183153828E-2</v>
      </c>
      <c r="H105">
        <v>0.53724087913837604</v>
      </c>
      <c r="I105" t="s">
        <v>9010</v>
      </c>
    </row>
    <row r="106" spans="1:9" x14ac:dyDescent="0.25">
      <c r="A106" t="s">
        <v>7477</v>
      </c>
      <c r="C106" s="3" t="str">
        <f>HYPERLINK("http://amigo.geneontology.org/amigo/term/GO:0006865","GO:0006865")</f>
        <v>GO:0006865</v>
      </c>
      <c r="D106" t="s">
        <v>5232</v>
      </c>
      <c r="E106">
        <v>151</v>
      </c>
      <c r="F106">
        <v>3</v>
      </c>
      <c r="G106">
        <v>1.1433333696570199E-2</v>
      </c>
      <c r="H106">
        <v>0.53736668373880103</v>
      </c>
      <c r="I106" t="s">
        <v>9817</v>
      </c>
    </row>
    <row r="107" spans="1:9" x14ac:dyDescent="0.25">
      <c r="A107" t="s">
        <v>7480</v>
      </c>
      <c r="C107" s="3" t="str">
        <f>HYPERLINK("http://amigo.geneontology.org/amigo/term/GO:0015095","GO:0015095")</f>
        <v>GO:0015095</v>
      </c>
      <c r="D107" t="s">
        <v>9818</v>
      </c>
      <c r="E107">
        <v>53</v>
      </c>
      <c r="F107">
        <v>2</v>
      </c>
      <c r="G107">
        <v>1.1608189360386901E-2</v>
      </c>
      <c r="H107">
        <v>0.54558489993818604</v>
      </c>
      <c r="I107" t="s">
        <v>9819</v>
      </c>
    </row>
    <row r="108" spans="1:9" x14ac:dyDescent="0.25">
      <c r="A108" t="s">
        <v>9218</v>
      </c>
      <c r="C108" s="3" t="str">
        <f>HYPERLINK("http://amigo.geneontology.org/amigo/term/GO:0016620","GO:0016620")</f>
        <v>GO:0016620</v>
      </c>
      <c r="D108" t="s">
        <v>803</v>
      </c>
      <c r="E108">
        <v>152</v>
      </c>
      <c r="F108">
        <v>3</v>
      </c>
      <c r="G108">
        <v>1.1637667582909799E-2</v>
      </c>
      <c r="H108">
        <v>0.53533270881385098</v>
      </c>
      <c r="I108" t="s">
        <v>9820</v>
      </c>
    </row>
    <row r="109" spans="1:9" x14ac:dyDescent="0.25">
      <c r="A109" t="s">
        <v>9821</v>
      </c>
      <c r="C109" s="3" t="str">
        <f>HYPERLINK("http://amigo.geneontology.org/amigo/term/GO:0015693","GO:0015693")</f>
        <v>GO:0015693</v>
      </c>
      <c r="D109" t="s">
        <v>9822</v>
      </c>
      <c r="E109">
        <v>54</v>
      </c>
      <c r="F109">
        <v>2</v>
      </c>
      <c r="G109">
        <v>1.20305670130803E-2</v>
      </c>
      <c r="H109">
        <v>0.54137551558861496</v>
      </c>
      <c r="I109" t="s">
        <v>9819</v>
      </c>
    </row>
    <row r="110" spans="1:9" x14ac:dyDescent="0.25">
      <c r="A110" t="s">
        <v>9231</v>
      </c>
      <c r="C110" s="3" t="str">
        <f>HYPERLINK("http://amigo.geneontology.org/amigo/term/GO:0015144","GO:0015144")</f>
        <v>GO:0015144</v>
      </c>
      <c r="D110" t="s">
        <v>9823</v>
      </c>
      <c r="E110">
        <v>54</v>
      </c>
      <c r="F110">
        <v>2</v>
      </c>
      <c r="G110">
        <v>1.20305670130803E-2</v>
      </c>
      <c r="H110">
        <v>0.54137551558861496</v>
      </c>
      <c r="I110" t="s">
        <v>7139</v>
      </c>
    </row>
    <row r="111" spans="1:9" x14ac:dyDescent="0.25">
      <c r="A111" t="s">
        <v>9232</v>
      </c>
      <c r="C111" s="3" t="str">
        <f>HYPERLINK("http://amigo.geneontology.org/amigo/term/GO:0015932","GO:0015932")</f>
        <v>GO:0015932</v>
      </c>
      <c r="D111" t="s">
        <v>9164</v>
      </c>
      <c r="E111">
        <v>54</v>
      </c>
      <c r="F111">
        <v>2</v>
      </c>
      <c r="G111">
        <v>1.20305670130803E-2</v>
      </c>
      <c r="H111">
        <v>0.55340608260169499</v>
      </c>
      <c r="I111" t="s">
        <v>9086</v>
      </c>
    </row>
    <row r="112" spans="1:9" x14ac:dyDescent="0.25">
      <c r="A112" t="s">
        <v>7515</v>
      </c>
      <c r="C112" s="3" t="str">
        <f>HYPERLINK("http://amigo.geneontology.org/amigo/term/GO:0006633","GO:0006633")</f>
        <v>GO:0006633</v>
      </c>
      <c r="D112" t="s">
        <v>287</v>
      </c>
      <c r="E112">
        <v>444</v>
      </c>
      <c r="F112">
        <v>5</v>
      </c>
      <c r="G112">
        <v>1.22888574338326E-2</v>
      </c>
      <c r="H112">
        <v>0.54070972708863796</v>
      </c>
      <c r="I112" t="s">
        <v>9824</v>
      </c>
    </row>
    <row r="113" spans="1:9" x14ac:dyDescent="0.25">
      <c r="A113" t="s">
        <v>7517</v>
      </c>
      <c r="C113" s="3" t="str">
        <f>HYPERLINK("http://amigo.geneontology.org/amigo/term/GO:0050790","GO:0050790")</f>
        <v>GO:0050790</v>
      </c>
      <c r="D113" t="s">
        <v>1064</v>
      </c>
      <c r="E113">
        <v>622</v>
      </c>
      <c r="F113">
        <v>6</v>
      </c>
      <c r="G113">
        <v>1.28248447407243E-2</v>
      </c>
      <c r="H113">
        <v>0.56429316859187095</v>
      </c>
      <c r="I113" t="s">
        <v>9773</v>
      </c>
    </row>
    <row r="114" spans="1:9" x14ac:dyDescent="0.25">
      <c r="A114" t="s">
        <v>7522</v>
      </c>
      <c r="C114" s="3" t="str">
        <f>HYPERLINK("http://amigo.geneontology.org/amigo/term/GO:0015711","GO:0015711")</f>
        <v>GO:0015711</v>
      </c>
      <c r="D114" t="s">
        <v>7210</v>
      </c>
      <c r="E114">
        <v>295</v>
      </c>
      <c r="F114">
        <v>4</v>
      </c>
      <c r="G114">
        <v>1.32610041021918E-2</v>
      </c>
      <c r="H114">
        <v>0.57022317639425102</v>
      </c>
      <c r="I114" t="s">
        <v>9825</v>
      </c>
    </row>
    <row r="115" spans="1:9" x14ac:dyDescent="0.25">
      <c r="A115" t="s">
        <v>7524</v>
      </c>
      <c r="C115" s="3" t="str">
        <f>HYPERLINK("http://amigo.geneontology.org/amigo/term/GO:0009814","GO:0009814")</f>
        <v>GO:0009814</v>
      </c>
      <c r="D115" t="s">
        <v>7455</v>
      </c>
      <c r="E115">
        <v>161</v>
      </c>
      <c r="F115">
        <v>3</v>
      </c>
      <c r="G115">
        <v>1.35714331708577E-2</v>
      </c>
      <c r="H115">
        <v>0.58357162634688198</v>
      </c>
      <c r="I115" t="s">
        <v>9803</v>
      </c>
    </row>
    <row r="116" spans="1:9" x14ac:dyDescent="0.25">
      <c r="A116" t="s">
        <v>9239</v>
      </c>
      <c r="C116" s="3" t="str">
        <f>HYPERLINK("http://amigo.geneontology.org/amigo/term/GO:0099516","GO:0099516")</f>
        <v>GO:0099516</v>
      </c>
      <c r="D116" t="s">
        <v>579</v>
      </c>
      <c r="E116">
        <v>58</v>
      </c>
      <c r="F116">
        <v>2</v>
      </c>
      <c r="G116">
        <v>1.3786254786382599E-2</v>
      </c>
      <c r="H116">
        <v>0.59280895581445203</v>
      </c>
      <c r="I116" t="s">
        <v>9086</v>
      </c>
    </row>
    <row r="117" spans="1:9" x14ac:dyDescent="0.25">
      <c r="A117" t="s">
        <v>7526</v>
      </c>
      <c r="C117" s="3" t="str">
        <f>HYPERLINK("http://amigo.geneontology.org/amigo/term/GO:0004588","GO:0004588")</f>
        <v>GO:0004588</v>
      </c>
      <c r="D117" t="s">
        <v>7222</v>
      </c>
      <c r="E117">
        <v>5</v>
      </c>
      <c r="F117">
        <v>1</v>
      </c>
      <c r="G117">
        <v>1.52159019021764E-2</v>
      </c>
      <c r="H117">
        <v>0.63906787989141001</v>
      </c>
      <c r="I117" t="s">
        <v>7649</v>
      </c>
    </row>
    <row r="118" spans="1:9" x14ac:dyDescent="0.25">
      <c r="A118" t="s">
        <v>7529</v>
      </c>
      <c r="C118" s="3" t="str">
        <f>HYPERLINK("http://amigo.geneontology.org/amigo/term/GO:0004590","GO:0004590")</f>
        <v>GO:0004590</v>
      </c>
      <c r="D118" t="s">
        <v>7225</v>
      </c>
      <c r="E118">
        <v>5</v>
      </c>
      <c r="F118">
        <v>1</v>
      </c>
      <c r="G118">
        <v>1.52159019021764E-2</v>
      </c>
      <c r="H118">
        <v>0.63906787989141001</v>
      </c>
      <c r="I118" t="s">
        <v>7649</v>
      </c>
    </row>
    <row r="119" spans="1:9" x14ac:dyDescent="0.25">
      <c r="A119" t="s">
        <v>9243</v>
      </c>
      <c r="C119" s="3" t="str">
        <f>HYPERLINK("http://amigo.geneontology.org/amigo/term/GO:0065009","GO:0065009")</f>
        <v>GO:0065009</v>
      </c>
      <c r="D119" t="s">
        <v>879</v>
      </c>
      <c r="E119">
        <v>647</v>
      </c>
      <c r="F119">
        <v>6</v>
      </c>
      <c r="G119">
        <v>1.52842280869187E-2</v>
      </c>
      <c r="H119">
        <v>0.62665335156366697</v>
      </c>
      <c r="I119" t="s">
        <v>9773</v>
      </c>
    </row>
    <row r="120" spans="1:9" x14ac:dyDescent="0.25">
      <c r="A120" t="s">
        <v>8367</v>
      </c>
      <c r="C120" s="3" t="str">
        <f>HYPERLINK("http://amigo.geneontology.org/amigo/term/GO:0046365","GO:0046365")</f>
        <v>GO:0046365</v>
      </c>
      <c r="D120" t="s">
        <v>9826</v>
      </c>
      <c r="E120">
        <v>62</v>
      </c>
      <c r="F120">
        <v>2</v>
      </c>
      <c r="G120">
        <v>1.56457174267071E-2</v>
      </c>
      <c r="H120">
        <v>0.64147441449499398</v>
      </c>
      <c r="I120" t="s">
        <v>9095</v>
      </c>
    </row>
    <row r="121" spans="1:9" x14ac:dyDescent="0.25">
      <c r="A121" t="s">
        <v>7533</v>
      </c>
      <c r="C121" s="3" t="str">
        <f>HYPERLINK("http://amigo.geneontology.org/amigo/term/GO:0019320","GO:0019320")</f>
        <v>GO:0019320</v>
      </c>
      <c r="D121" t="s">
        <v>9827</v>
      </c>
      <c r="E121">
        <v>62</v>
      </c>
      <c r="F121">
        <v>2</v>
      </c>
      <c r="G121">
        <v>1.56457174267071E-2</v>
      </c>
      <c r="H121">
        <v>0.64147441449499398</v>
      </c>
      <c r="I121" t="s">
        <v>9095</v>
      </c>
    </row>
    <row r="122" spans="1:9" x14ac:dyDescent="0.25">
      <c r="A122" t="s">
        <v>9244</v>
      </c>
      <c r="C122" s="3" t="str">
        <f>HYPERLINK("http://amigo.geneontology.org/amigo/term/GO:0043169","GO:0043169")</f>
        <v>GO:0043169</v>
      </c>
      <c r="D122" t="s">
        <v>1535</v>
      </c>
      <c r="E122">
        <v>11833</v>
      </c>
      <c r="F122">
        <v>49</v>
      </c>
      <c r="G122">
        <v>1.58052623886419E-2</v>
      </c>
      <c r="H122">
        <v>0.63221049554567799</v>
      </c>
      <c r="I122" t="s">
        <v>9828</v>
      </c>
    </row>
    <row r="123" spans="1:9" x14ac:dyDescent="0.25">
      <c r="A123" t="s">
        <v>9829</v>
      </c>
      <c r="C123" s="3" t="str">
        <f>HYPERLINK("http://amigo.geneontology.org/amigo/term/GO:0016717","GO:0016717")</f>
        <v>GO:0016717</v>
      </c>
      <c r="D123" t="s">
        <v>475</v>
      </c>
      <c r="E123">
        <v>64</v>
      </c>
      <c r="F123">
        <v>2</v>
      </c>
      <c r="G123">
        <v>1.6613496997689901E-2</v>
      </c>
      <c r="H123">
        <v>0.664539879907598</v>
      </c>
      <c r="I123" t="s">
        <v>9830</v>
      </c>
    </row>
    <row r="124" spans="1:9" x14ac:dyDescent="0.25">
      <c r="A124" t="s">
        <v>7535</v>
      </c>
      <c r="C124" s="3" t="str">
        <f>HYPERLINK("http://amigo.geneontology.org/amigo/term/GO:0015293","GO:0015293")</f>
        <v>GO:0015293</v>
      </c>
      <c r="D124" t="s">
        <v>5958</v>
      </c>
      <c r="E124">
        <v>67</v>
      </c>
      <c r="F124">
        <v>2</v>
      </c>
      <c r="G124">
        <v>1.81117657235664E-2</v>
      </c>
      <c r="H124">
        <v>0.70635886321909003</v>
      </c>
      <c r="I124" t="s">
        <v>7139</v>
      </c>
    </row>
    <row r="125" spans="1:9" x14ac:dyDescent="0.25">
      <c r="A125" t="s">
        <v>9248</v>
      </c>
      <c r="C125" s="3" t="str">
        <f>HYPERLINK("http://amigo.geneontology.org/amigo/term/GO:0004350","GO:0004350")</f>
        <v>GO:0004350</v>
      </c>
      <c r="D125" t="s">
        <v>9831</v>
      </c>
      <c r="E125">
        <v>6</v>
      </c>
      <c r="F125">
        <v>1</v>
      </c>
      <c r="G125">
        <v>1.8231303295890601E-2</v>
      </c>
      <c r="H125">
        <v>0.71102082853973603</v>
      </c>
      <c r="I125" t="s">
        <v>7593</v>
      </c>
    </row>
    <row r="126" spans="1:9" x14ac:dyDescent="0.25">
      <c r="A126" t="s">
        <v>7542</v>
      </c>
      <c r="C126" s="3" t="str">
        <f>HYPERLINK("http://amigo.geneontology.org/amigo/term/GO:0008429","GO:0008429")</f>
        <v>GO:0008429</v>
      </c>
      <c r="D126" t="s">
        <v>7104</v>
      </c>
      <c r="E126">
        <v>6</v>
      </c>
      <c r="F126">
        <v>1</v>
      </c>
      <c r="G126">
        <v>1.8231303295890601E-2</v>
      </c>
      <c r="H126">
        <v>0.71102082853973603</v>
      </c>
      <c r="I126" t="s">
        <v>8053</v>
      </c>
    </row>
    <row r="127" spans="1:9" x14ac:dyDescent="0.25">
      <c r="A127" t="s">
        <v>9832</v>
      </c>
      <c r="C127" s="3" t="str">
        <f>HYPERLINK("http://amigo.geneontology.org/amigo/term/GO:0048523","GO:0048523")</f>
        <v>GO:0048523</v>
      </c>
      <c r="D127" t="s">
        <v>7240</v>
      </c>
      <c r="E127">
        <v>682</v>
      </c>
      <c r="F127">
        <v>6</v>
      </c>
      <c r="G127">
        <v>1.92512615505681E-2</v>
      </c>
      <c r="H127">
        <v>0.73154793892158798</v>
      </c>
      <c r="I127" t="s">
        <v>9773</v>
      </c>
    </row>
    <row r="128" spans="1:9" x14ac:dyDescent="0.25">
      <c r="A128" t="s">
        <v>9251</v>
      </c>
      <c r="C128" s="3" t="str">
        <f>HYPERLINK("http://amigo.geneontology.org/amigo/term/GO:0015748","GO:0015748")</f>
        <v>GO:0015748</v>
      </c>
      <c r="D128" t="s">
        <v>7395</v>
      </c>
      <c r="E128">
        <v>70</v>
      </c>
      <c r="F128">
        <v>2</v>
      </c>
      <c r="G128">
        <v>1.96649430645571E-2</v>
      </c>
      <c r="H128">
        <v>0.74726783645317196</v>
      </c>
      <c r="I128" t="s">
        <v>9086</v>
      </c>
    </row>
    <row r="129" spans="1:9" x14ac:dyDescent="0.25">
      <c r="A129" t="s">
        <v>9253</v>
      </c>
      <c r="C129" s="3" t="str">
        <f>HYPERLINK("http://amigo.geneontology.org/amigo/term/GO:0046872","GO:0046872")</f>
        <v>GO:0046872</v>
      </c>
      <c r="D129" t="s">
        <v>1484</v>
      </c>
      <c r="E129">
        <v>11725</v>
      </c>
      <c r="F129">
        <v>48</v>
      </c>
      <c r="G129">
        <v>2.04718289029647E-2</v>
      </c>
      <c r="H129">
        <v>0.77792949831266001</v>
      </c>
      <c r="I129" t="s">
        <v>9833</v>
      </c>
    </row>
    <row r="130" spans="1:9" x14ac:dyDescent="0.25">
      <c r="A130" t="s">
        <v>9258</v>
      </c>
      <c r="C130" s="3" t="str">
        <f>HYPERLINK("http://amigo.geneontology.org/amigo/term/GO:0015669","GO:0015669")</f>
        <v>GO:0015669</v>
      </c>
      <c r="D130" t="s">
        <v>7274</v>
      </c>
      <c r="E130">
        <v>7</v>
      </c>
      <c r="F130">
        <v>1</v>
      </c>
      <c r="G130">
        <v>2.1237510559302401E-2</v>
      </c>
      <c r="H130">
        <v>0.78578789069419097</v>
      </c>
      <c r="I130" t="s">
        <v>7749</v>
      </c>
    </row>
    <row r="131" spans="1:9" x14ac:dyDescent="0.25">
      <c r="A131" t="s">
        <v>9259</v>
      </c>
      <c r="C131" s="3" t="str">
        <f>HYPERLINK("http://amigo.geneontology.org/amigo/term/GO:0015671","GO:0015671")</f>
        <v>GO:0015671</v>
      </c>
      <c r="D131" t="s">
        <v>7277</v>
      </c>
      <c r="E131">
        <v>7</v>
      </c>
      <c r="F131">
        <v>1</v>
      </c>
      <c r="G131">
        <v>2.1237510559302401E-2</v>
      </c>
      <c r="H131">
        <v>0.78578789069419097</v>
      </c>
      <c r="I131" t="s">
        <v>7749</v>
      </c>
    </row>
    <row r="132" spans="1:9" x14ac:dyDescent="0.25">
      <c r="A132" t="s">
        <v>9834</v>
      </c>
      <c r="C132" s="3" t="str">
        <f>HYPERLINK("http://amigo.geneontology.org/amigo/term/GO:0009505","GO:0009505")</f>
        <v>GO:0009505</v>
      </c>
      <c r="D132" t="s">
        <v>6690</v>
      </c>
      <c r="E132">
        <v>77</v>
      </c>
      <c r="F132">
        <v>2</v>
      </c>
      <c r="G132">
        <v>2.3496282269538701E-2</v>
      </c>
      <c r="H132">
        <v>0.84586616170339601</v>
      </c>
      <c r="I132" t="s">
        <v>9781</v>
      </c>
    </row>
    <row r="133" spans="1:9" x14ac:dyDescent="0.25">
      <c r="A133" t="s">
        <v>9262</v>
      </c>
      <c r="C133" s="3" t="str">
        <f>HYPERLINK("http://amigo.geneontology.org/amigo/term/GO:0046149","GO:0046149")</f>
        <v>GO:0046149</v>
      </c>
      <c r="D133" t="s">
        <v>9835</v>
      </c>
      <c r="E133">
        <v>77</v>
      </c>
      <c r="F133">
        <v>2</v>
      </c>
      <c r="G133">
        <v>2.3496282269538701E-2</v>
      </c>
      <c r="H133">
        <v>0.86936244397293505</v>
      </c>
      <c r="I133" t="s">
        <v>9010</v>
      </c>
    </row>
    <row r="134" spans="1:9" x14ac:dyDescent="0.25">
      <c r="A134" t="s">
        <v>7593</v>
      </c>
      <c r="C134" s="3" t="str">
        <f>HYPERLINK("http://amigo.geneontology.org/amigo/term/GO:0015996","GO:0015996")</f>
        <v>GO:0015996</v>
      </c>
      <c r="D134" t="s">
        <v>9836</v>
      </c>
      <c r="E134">
        <v>77</v>
      </c>
      <c r="F134">
        <v>2</v>
      </c>
      <c r="G134">
        <v>2.3496282269538701E-2</v>
      </c>
      <c r="H134">
        <v>0.86936244397293505</v>
      </c>
      <c r="I134" t="s">
        <v>9010</v>
      </c>
    </row>
    <row r="135" spans="1:9" x14ac:dyDescent="0.25">
      <c r="A135" t="s">
        <v>7594</v>
      </c>
      <c r="C135" s="3" t="str">
        <f>HYPERLINK("http://amigo.geneontology.org/amigo/term/GO:0015291","GO:0015291")</f>
        <v>GO:0015291</v>
      </c>
      <c r="D135" t="s">
        <v>439</v>
      </c>
      <c r="E135">
        <v>527</v>
      </c>
      <c r="F135">
        <v>5</v>
      </c>
      <c r="G135">
        <v>2.3774952777943E-2</v>
      </c>
      <c r="H135">
        <v>0.85589830000594802</v>
      </c>
      <c r="I135" t="s">
        <v>9837</v>
      </c>
    </row>
    <row r="136" spans="1:9" x14ac:dyDescent="0.25">
      <c r="A136" t="s">
        <v>8778</v>
      </c>
      <c r="C136" s="3" t="str">
        <f>HYPERLINK("http://amigo.geneontology.org/amigo/term/GO:0008061","GO:0008061")</f>
        <v>GO:0008061</v>
      </c>
      <c r="D136" t="s">
        <v>6774</v>
      </c>
      <c r="E136">
        <v>78</v>
      </c>
      <c r="F136">
        <v>2</v>
      </c>
      <c r="G136">
        <v>2.40667063273029E-2</v>
      </c>
      <c r="H136">
        <v>0.86640142778290596</v>
      </c>
      <c r="I136" t="s">
        <v>9838</v>
      </c>
    </row>
    <row r="137" spans="1:9" x14ac:dyDescent="0.25">
      <c r="A137" t="s">
        <v>7598</v>
      </c>
      <c r="C137" s="3" t="str">
        <f>HYPERLINK("http://amigo.geneontology.org/amigo/term/GO:0004349","GO:0004349")</f>
        <v>GO:0004349</v>
      </c>
      <c r="D137" t="s">
        <v>9839</v>
      </c>
      <c r="E137">
        <v>9</v>
      </c>
      <c r="F137">
        <v>1</v>
      </c>
      <c r="G137">
        <v>2.7222454263050699E-2</v>
      </c>
      <c r="H137">
        <v>0.95278589920677603</v>
      </c>
      <c r="I137" t="s">
        <v>7593</v>
      </c>
    </row>
    <row r="138" spans="1:9" x14ac:dyDescent="0.25">
      <c r="A138" t="s">
        <v>7599</v>
      </c>
      <c r="C138" s="3" t="str">
        <f>HYPERLINK("http://amigo.geneontology.org/amigo/term/GO:0044205","GO:0044205")</f>
        <v>GO:0044205</v>
      </c>
      <c r="D138" t="s">
        <v>7292</v>
      </c>
      <c r="E138">
        <v>9</v>
      </c>
      <c r="F138">
        <v>1</v>
      </c>
      <c r="G138">
        <v>2.7222454263050699E-2</v>
      </c>
      <c r="H138">
        <v>0.95278589920677603</v>
      </c>
      <c r="I138" t="s">
        <v>7649</v>
      </c>
    </row>
    <row r="139" spans="1:9" x14ac:dyDescent="0.25">
      <c r="A139" t="s">
        <v>9270</v>
      </c>
      <c r="C139" s="3" t="str">
        <f>HYPERLINK("http://amigo.geneontology.org/amigo/term/GO:0015866","GO:0015866")</f>
        <v>GO:0015866</v>
      </c>
      <c r="D139" t="s">
        <v>9840</v>
      </c>
      <c r="E139">
        <v>9</v>
      </c>
      <c r="F139">
        <v>1</v>
      </c>
      <c r="G139">
        <v>2.7222454263050699E-2</v>
      </c>
      <c r="H139">
        <v>0.95278589920677603</v>
      </c>
      <c r="I139" t="s">
        <v>9534</v>
      </c>
    </row>
    <row r="140" spans="1:9" x14ac:dyDescent="0.25">
      <c r="A140" t="s">
        <v>9841</v>
      </c>
      <c r="C140" s="3" t="str">
        <f>HYPERLINK("http://amigo.geneontology.org/amigo/term/GO:0015075","GO:0015075")</f>
        <v>GO:0015075</v>
      </c>
      <c r="D140" t="s">
        <v>246</v>
      </c>
      <c r="E140">
        <v>1384</v>
      </c>
      <c r="F140">
        <v>9</v>
      </c>
      <c r="G140">
        <v>2.7837748201902601E-2</v>
      </c>
      <c r="H140">
        <v>0.97432118706659099</v>
      </c>
      <c r="I140" t="s">
        <v>9842</v>
      </c>
    </row>
    <row r="141" spans="1:9" x14ac:dyDescent="0.25">
      <c r="A141" t="s">
        <v>7612</v>
      </c>
      <c r="C141" s="3" t="str">
        <f>HYPERLINK("http://amigo.geneontology.org/amigo/term/GO:0019825","GO:0019825")</f>
        <v>GO:0019825</v>
      </c>
      <c r="D141" t="s">
        <v>7314</v>
      </c>
      <c r="E141">
        <v>10</v>
      </c>
      <c r="F141">
        <v>1</v>
      </c>
      <c r="G141">
        <v>3.02012462793157E-2</v>
      </c>
      <c r="H141">
        <v>1</v>
      </c>
      <c r="I141" t="s">
        <v>7749</v>
      </c>
    </row>
    <row r="142" spans="1:9" x14ac:dyDescent="0.25">
      <c r="A142" t="s">
        <v>7615</v>
      </c>
      <c r="C142" s="3" t="str">
        <f>HYPERLINK("http://amigo.geneontology.org/amigo/term/GO:0031177","GO:0031177")</f>
        <v>GO:0031177</v>
      </c>
      <c r="D142" t="s">
        <v>9843</v>
      </c>
      <c r="E142">
        <v>10</v>
      </c>
      <c r="F142">
        <v>1</v>
      </c>
      <c r="G142">
        <v>3.02012462793157E-2</v>
      </c>
      <c r="H142">
        <v>1</v>
      </c>
      <c r="I142" t="s">
        <v>9430</v>
      </c>
    </row>
    <row r="143" spans="1:9" x14ac:dyDescent="0.25">
      <c r="A143" t="s">
        <v>9277</v>
      </c>
      <c r="C143" s="3" t="str">
        <f>HYPERLINK("http://amigo.geneontology.org/amigo/term/GO:0033015","GO:0033015")</f>
        <v>GO:0033015</v>
      </c>
      <c r="D143" t="s">
        <v>9844</v>
      </c>
      <c r="E143">
        <v>89</v>
      </c>
      <c r="F143">
        <v>2</v>
      </c>
      <c r="G143">
        <v>3.07057815851699E-2</v>
      </c>
      <c r="H143">
        <v>1</v>
      </c>
      <c r="I143" t="s">
        <v>9010</v>
      </c>
    </row>
    <row r="144" spans="1:9" x14ac:dyDescent="0.25">
      <c r="A144" t="s">
        <v>7619</v>
      </c>
      <c r="C144" s="3" t="str">
        <f>HYPERLINK("http://amigo.geneontology.org/amigo/term/GO:0006787","GO:0006787")</f>
        <v>GO:0006787</v>
      </c>
      <c r="D144" t="s">
        <v>9845</v>
      </c>
      <c r="E144">
        <v>89</v>
      </c>
      <c r="F144">
        <v>2</v>
      </c>
      <c r="G144">
        <v>3.07057815851699E-2</v>
      </c>
      <c r="H144">
        <v>1</v>
      </c>
      <c r="I144" t="s">
        <v>9010</v>
      </c>
    </row>
    <row r="145" spans="1:9" x14ac:dyDescent="0.25">
      <c r="A145" t="s">
        <v>9279</v>
      </c>
      <c r="C145" s="3" t="str">
        <f>HYPERLINK("http://amigo.geneontology.org/amigo/term/GO:0008324","GO:0008324")</f>
        <v>GO:0008324</v>
      </c>
      <c r="D145" t="s">
        <v>276</v>
      </c>
      <c r="E145">
        <v>981</v>
      </c>
      <c r="F145">
        <v>7</v>
      </c>
      <c r="G145">
        <v>3.2495585838256097E-2</v>
      </c>
      <c r="H145">
        <v>1</v>
      </c>
      <c r="I145" t="s">
        <v>9846</v>
      </c>
    </row>
    <row r="146" spans="1:9" x14ac:dyDescent="0.25">
      <c r="A146" t="s">
        <v>7623</v>
      </c>
      <c r="C146" s="3" t="str">
        <f>HYPERLINK("http://amigo.geneontology.org/amigo/term/GO:0009723","GO:0009723")</f>
        <v>GO:0009723</v>
      </c>
      <c r="D146" t="s">
        <v>9185</v>
      </c>
      <c r="E146">
        <v>92</v>
      </c>
      <c r="F146">
        <v>2</v>
      </c>
      <c r="G146">
        <v>3.2628331927446498E-2</v>
      </c>
      <c r="H146">
        <v>1</v>
      </c>
      <c r="I146" t="s">
        <v>9010</v>
      </c>
    </row>
    <row r="147" spans="1:9" x14ac:dyDescent="0.25">
      <c r="A147" t="s">
        <v>7629</v>
      </c>
      <c r="C147" s="3" t="str">
        <f>HYPERLINK("http://amigo.geneontology.org/amigo/term/GO:0010605","GO:0010605")</f>
        <v>GO:0010605</v>
      </c>
      <c r="D147" t="s">
        <v>7497</v>
      </c>
      <c r="E147">
        <v>779</v>
      </c>
      <c r="F147">
        <v>6</v>
      </c>
      <c r="G147">
        <v>3.3765794923777397E-2</v>
      </c>
      <c r="H147">
        <v>1</v>
      </c>
      <c r="I147" t="s">
        <v>9773</v>
      </c>
    </row>
    <row r="148" spans="1:9" x14ac:dyDescent="0.25">
      <c r="A148" t="s">
        <v>9289</v>
      </c>
      <c r="C148" s="3" t="str">
        <f>HYPERLINK("http://amigo.geneontology.org/amigo/term/GO:0022804","GO:0022804")</f>
        <v>GO:0022804</v>
      </c>
      <c r="D148" t="s">
        <v>676</v>
      </c>
      <c r="E148">
        <v>1000</v>
      </c>
      <c r="F148">
        <v>7</v>
      </c>
      <c r="G148">
        <v>3.5458876174618403E-2</v>
      </c>
      <c r="H148">
        <v>1</v>
      </c>
      <c r="I148" t="s">
        <v>9847</v>
      </c>
    </row>
    <row r="149" spans="1:9" x14ac:dyDescent="0.25">
      <c r="A149" t="s">
        <v>7634</v>
      </c>
      <c r="C149" s="3" t="str">
        <f>HYPERLINK("http://amigo.geneontology.org/amigo/term/GO:0046914","GO:0046914")</f>
        <v>GO:0046914</v>
      </c>
      <c r="D149" t="s">
        <v>5615</v>
      </c>
      <c r="E149">
        <v>7516</v>
      </c>
      <c r="F149">
        <v>32</v>
      </c>
      <c r="G149">
        <v>3.5590189493284803E-2</v>
      </c>
      <c r="H149">
        <v>1</v>
      </c>
      <c r="I149" t="s">
        <v>9848</v>
      </c>
    </row>
    <row r="150" spans="1:9" x14ac:dyDescent="0.25">
      <c r="A150" t="s">
        <v>7639</v>
      </c>
      <c r="C150" s="3" t="str">
        <f>HYPERLINK("http://amigo.geneontology.org/amigo/term/GO:0016787","GO:0016787")</f>
        <v>GO:0016787</v>
      </c>
      <c r="D150" t="s">
        <v>98</v>
      </c>
      <c r="E150">
        <v>9814</v>
      </c>
      <c r="F150">
        <v>40</v>
      </c>
      <c r="G150">
        <v>3.6048395276420203E-2</v>
      </c>
      <c r="H150">
        <v>1</v>
      </c>
      <c r="I150" t="s">
        <v>9849</v>
      </c>
    </row>
    <row r="151" spans="1:9" x14ac:dyDescent="0.25">
      <c r="A151" t="s">
        <v>7640</v>
      </c>
      <c r="C151" s="3" t="str">
        <f>HYPERLINK("http://amigo.geneontology.org/amigo/term/GO:0015867","GO:0015867")</f>
        <v>GO:0015867</v>
      </c>
      <c r="D151" t="s">
        <v>9850</v>
      </c>
      <c r="E151">
        <v>12</v>
      </c>
      <c r="F151">
        <v>1</v>
      </c>
      <c r="G151">
        <v>3.6131608955011697E-2</v>
      </c>
      <c r="H151">
        <v>1</v>
      </c>
      <c r="I151" t="s">
        <v>9534</v>
      </c>
    </row>
    <row r="152" spans="1:9" x14ac:dyDescent="0.25">
      <c r="A152" t="s">
        <v>9294</v>
      </c>
      <c r="C152" s="3" t="str">
        <f>HYPERLINK("http://amigo.geneontology.org/amigo/term/GO:0009892","GO:0009892")</f>
        <v>GO:0009892</v>
      </c>
      <c r="D152" t="s">
        <v>9049</v>
      </c>
      <c r="E152">
        <v>800</v>
      </c>
      <c r="F152">
        <v>6</v>
      </c>
      <c r="G152">
        <v>3.7640558154545901E-2</v>
      </c>
      <c r="H152">
        <v>1</v>
      </c>
      <c r="I152" t="s">
        <v>9773</v>
      </c>
    </row>
    <row r="153" spans="1:9" x14ac:dyDescent="0.25">
      <c r="A153" t="s">
        <v>9295</v>
      </c>
      <c r="C153" s="3" t="str">
        <f>HYPERLINK("http://amigo.geneontology.org/amigo/term/GO:0015868","GO:0015868")</f>
        <v>GO:0015868</v>
      </c>
      <c r="D153" t="s">
        <v>9062</v>
      </c>
      <c r="E153">
        <v>13</v>
      </c>
      <c r="F153">
        <v>1</v>
      </c>
      <c r="G153">
        <v>3.9083234684058298E-2</v>
      </c>
      <c r="H153">
        <v>1</v>
      </c>
      <c r="I153" t="s">
        <v>9534</v>
      </c>
    </row>
    <row r="154" spans="1:9" x14ac:dyDescent="0.25">
      <c r="A154" t="s">
        <v>9296</v>
      </c>
      <c r="C154" s="3" t="str">
        <f>HYPERLINK("http://amigo.geneontology.org/amigo/term/GO:0015849","GO:0015849")</f>
        <v>GO:0015849</v>
      </c>
      <c r="D154" t="s">
        <v>5320</v>
      </c>
      <c r="E154">
        <v>244</v>
      </c>
      <c r="F154">
        <v>3</v>
      </c>
      <c r="G154">
        <v>3.9601716136865299E-2</v>
      </c>
      <c r="H154">
        <v>1</v>
      </c>
      <c r="I154" t="s">
        <v>9817</v>
      </c>
    </row>
    <row r="155" spans="1:9" x14ac:dyDescent="0.25">
      <c r="A155" t="s">
        <v>7642</v>
      </c>
      <c r="C155" s="3" t="str">
        <f>HYPERLINK("http://amigo.geneontology.org/amigo/term/GO:0046942","GO:0046942")</f>
        <v>GO:0046942</v>
      </c>
      <c r="D155" t="s">
        <v>5322</v>
      </c>
      <c r="E155">
        <v>244</v>
      </c>
      <c r="F155">
        <v>3</v>
      </c>
      <c r="G155">
        <v>3.9601716136865299E-2</v>
      </c>
      <c r="H155">
        <v>1</v>
      </c>
      <c r="I155" t="s">
        <v>9817</v>
      </c>
    </row>
    <row r="156" spans="1:9" x14ac:dyDescent="0.25">
      <c r="A156" t="s">
        <v>8424</v>
      </c>
      <c r="C156" s="3" t="str">
        <f>HYPERLINK("http://amigo.geneontology.org/amigo/term/GO:0004738","GO:0004738")</f>
        <v>GO:0004738</v>
      </c>
      <c r="D156" t="s">
        <v>9851</v>
      </c>
      <c r="E156">
        <v>14</v>
      </c>
      <c r="F156">
        <v>1</v>
      </c>
      <c r="G156">
        <v>4.2025859923501802E-2</v>
      </c>
      <c r="H156">
        <v>1</v>
      </c>
      <c r="I156" t="s">
        <v>9531</v>
      </c>
    </row>
    <row r="157" spans="1:9" x14ac:dyDescent="0.25">
      <c r="A157" t="s">
        <v>7644</v>
      </c>
      <c r="C157" s="3" t="str">
        <f>HYPERLINK("http://amigo.geneontology.org/amigo/term/GO:0004739","GO:0004739")</f>
        <v>GO:0004739</v>
      </c>
      <c r="D157" t="s">
        <v>9852</v>
      </c>
      <c r="E157">
        <v>14</v>
      </c>
      <c r="F157">
        <v>1</v>
      </c>
      <c r="G157">
        <v>4.2025859923501802E-2</v>
      </c>
      <c r="H157">
        <v>1</v>
      </c>
      <c r="I157" t="s">
        <v>9531</v>
      </c>
    </row>
    <row r="158" spans="1:9" x14ac:dyDescent="0.25">
      <c r="A158" t="s">
        <v>9853</v>
      </c>
      <c r="C158" s="3" t="str">
        <f>HYPERLINK("http://amigo.geneontology.org/amigo/term/GO:0006086","GO:0006086")</f>
        <v>GO:0006086</v>
      </c>
      <c r="D158" t="s">
        <v>9854</v>
      </c>
      <c r="E158">
        <v>14</v>
      </c>
      <c r="F158">
        <v>1</v>
      </c>
      <c r="G158">
        <v>4.2025859923501802E-2</v>
      </c>
      <c r="H158">
        <v>1</v>
      </c>
      <c r="I158" t="s">
        <v>9531</v>
      </c>
    </row>
    <row r="159" spans="1:9" x14ac:dyDescent="0.25">
      <c r="A159" t="s">
        <v>7648</v>
      </c>
      <c r="C159" s="3" t="str">
        <f>HYPERLINK("http://amigo.geneontology.org/amigo/term/GO:0051503","GO:0051503")</f>
        <v>GO:0051503</v>
      </c>
      <c r="D159" t="s">
        <v>9084</v>
      </c>
      <c r="E159">
        <v>14</v>
      </c>
      <c r="F159">
        <v>1</v>
      </c>
      <c r="G159">
        <v>4.2025859923501802E-2</v>
      </c>
      <c r="H159">
        <v>1</v>
      </c>
      <c r="I159" t="s">
        <v>9534</v>
      </c>
    </row>
    <row r="160" spans="1:9" x14ac:dyDescent="0.25">
      <c r="A160" t="s">
        <v>7649</v>
      </c>
      <c r="C160" s="3" t="str">
        <f>HYPERLINK("http://amigo.geneontology.org/amigo/term/GO:0045087","GO:0045087")</f>
        <v>GO:0045087</v>
      </c>
      <c r="D160" t="s">
        <v>9046</v>
      </c>
      <c r="E160">
        <v>253</v>
      </c>
      <c r="F160">
        <v>3</v>
      </c>
      <c r="G160">
        <v>4.3306683868906903E-2</v>
      </c>
      <c r="H160">
        <v>1</v>
      </c>
      <c r="I160" t="s">
        <v>9803</v>
      </c>
    </row>
    <row r="161" spans="1:9" x14ac:dyDescent="0.25">
      <c r="A161" t="s">
        <v>7653</v>
      </c>
      <c r="C161" s="3" t="str">
        <f>HYPERLINK("http://amigo.geneontology.org/amigo/term/GO:0006955","GO:0006955")</f>
        <v>GO:0006955</v>
      </c>
      <c r="D161" t="s">
        <v>9050</v>
      </c>
      <c r="E161">
        <v>257</v>
      </c>
      <c r="F161">
        <v>3</v>
      </c>
      <c r="G161">
        <v>4.50070919787618E-2</v>
      </c>
      <c r="H161">
        <v>1</v>
      </c>
      <c r="I161" t="s">
        <v>9803</v>
      </c>
    </row>
    <row r="162" spans="1:9" x14ac:dyDescent="0.25">
      <c r="A162" t="s">
        <v>9303</v>
      </c>
      <c r="C162" s="3" t="str">
        <f>HYPERLINK("http://amigo.geneontology.org/amigo/term/GO:0070001","GO:0070001")</f>
        <v>GO:0070001</v>
      </c>
      <c r="D162" t="s">
        <v>6232</v>
      </c>
      <c r="E162">
        <v>442</v>
      </c>
      <c r="F162">
        <v>4</v>
      </c>
      <c r="G162">
        <v>4.7826539485299399E-2</v>
      </c>
      <c r="H162">
        <v>1</v>
      </c>
      <c r="I162" t="s">
        <v>9855</v>
      </c>
    </row>
    <row r="163" spans="1:9" x14ac:dyDescent="0.25">
      <c r="A163" t="s">
        <v>7658</v>
      </c>
      <c r="C163" s="3" t="str">
        <f>HYPERLINK("http://amigo.geneontology.org/amigo/term/GO:0004190","GO:0004190")</f>
        <v>GO:0004190</v>
      </c>
      <c r="D163" t="s">
        <v>6234</v>
      </c>
      <c r="E163">
        <v>442</v>
      </c>
      <c r="F163">
        <v>4</v>
      </c>
      <c r="G163">
        <v>4.7826539485299399E-2</v>
      </c>
      <c r="H163">
        <v>1</v>
      </c>
      <c r="I163" t="s">
        <v>9855</v>
      </c>
    </row>
    <row r="164" spans="1:9" x14ac:dyDescent="0.25">
      <c r="A164" t="s">
        <v>7660</v>
      </c>
      <c r="C164" s="3" t="str">
        <f>HYPERLINK("http://amigo.geneontology.org/amigo/term/GO:0005618","GO:0005618")</f>
        <v>GO:0005618</v>
      </c>
      <c r="D164" t="s">
        <v>218</v>
      </c>
      <c r="E164">
        <v>446</v>
      </c>
      <c r="F164">
        <v>4</v>
      </c>
      <c r="G164">
        <v>4.9133077098575798E-2</v>
      </c>
      <c r="H164">
        <v>1</v>
      </c>
      <c r="I164" t="s">
        <v>9856</v>
      </c>
    </row>
    <row r="165" spans="1:9" x14ac:dyDescent="0.25">
      <c r="A165" t="s">
        <v>7673</v>
      </c>
      <c r="C165" s="3" t="str">
        <f>HYPERLINK("http://amigo.geneontology.org/amigo/term/GO:0015893","GO:0015893")</f>
        <v>GO:0015893</v>
      </c>
      <c r="D165" t="s">
        <v>7563</v>
      </c>
      <c r="E165">
        <v>267</v>
      </c>
      <c r="F165">
        <v>3</v>
      </c>
      <c r="G165">
        <v>4.9401090700198297E-2</v>
      </c>
      <c r="H165">
        <v>1</v>
      </c>
      <c r="I165" t="s">
        <v>9857</v>
      </c>
    </row>
    <row r="166" spans="1:9" x14ac:dyDescent="0.25">
      <c r="A166" t="s">
        <v>9320</v>
      </c>
      <c r="C166" s="3" t="str">
        <f>HYPERLINK("http://amigo.geneontology.org/amigo/term/GO:0010410","GO:0010410")</f>
        <v>GO:0010410</v>
      </c>
      <c r="D166" t="s">
        <v>624</v>
      </c>
      <c r="E166">
        <v>267</v>
      </c>
      <c r="F166">
        <v>3</v>
      </c>
      <c r="G166">
        <v>4.9401090700198297E-2</v>
      </c>
      <c r="H166">
        <v>1</v>
      </c>
      <c r="I166" t="s">
        <v>9858</v>
      </c>
    </row>
    <row r="167" spans="1:9" x14ac:dyDescent="0.25">
      <c r="A167" t="s">
        <v>9323</v>
      </c>
    </row>
    <row r="168" spans="1:9" x14ac:dyDescent="0.25">
      <c r="A168" t="s">
        <v>9324</v>
      </c>
    </row>
    <row r="169" spans="1:9" x14ac:dyDescent="0.25">
      <c r="A169" t="s">
        <v>7675</v>
      </c>
    </row>
    <row r="170" spans="1:9" x14ac:dyDescent="0.25">
      <c r="A170" t="s">
        <v>9325</v>
      </c>
    </row>
    <row r="171" spans="1:9" x14ac:dyDescent="0.25">
      <c r="A171" t="s">
        <v>7690</v>
      </c>
    </row>
    <row r="172" spans="1:9" x14ac:dyDescent="0.25">
      <c r="A172" t="s">
        <v>7692</v>
      </c>
    </row>
    <row r="173" spans="1:9" x14ac:dyDescent="0.25">
      <c r="A173" t="s">
        <v>7695</v>
      </c>
    </row>
    <row r="174" spans="1:9" x14ac:dyDescent="0.25">
      <c r="A174" t="s">
        <v>7706</v>
      </c>
    </row>
    <row r="175" spans="1:9" x14ac:dyDescent="0.25">
      <c r="A175" t="s">
        <v>7708</v>
      </c>
    </row>
    <row r="176" spans="1:9" x14ac:dyDescent="0.25">
      <c r="A176" t="s">
        <v>9330</v>
      </c>
    </row>
    <row r="177" spans="1:1" x14ac:dyDescent="0.25">
      <c r="A177" t="s">
        <v>9337</v>
      </c>
    </row>
    <row r="178" spans="1:1" x14ac:dyDescent="0.25">
      <c r="A178" t="s">
        <v>8454</v>
      </c>
    </row>
    <row r="179" spans="1:1" x14ac:dyDescent="0.25">
      <c r="A179" t="s">
        <v>9859</v>
      </c>
    </row>
    <row r="180" spans="1:1" x14ac:dyDescent="0.25">
      <c r="A180" t="s">
        <v>7724</v>
      </c>
    </row>
    <row r="181" spans="1:1" x14ac:dyDescent="0.25">
      <c r="A181" t="s">
        <v>9860</v>
      </c>
    </row>
    <row r="182" spans="1:1" x14ac:dyDescent="0.25">
      <c r="A182" t="s">
        <v>9861</v>
      </c>
    </row>
    <row r="183" spans="1:1" x14ac:dyDescent="0.25">
      <c r="A183" t="s">
        <v>7728</v>
      </c>
    </row>
    <row r="184" spans="1:1" x14ac:dyDescent="0.25">
      <c r="A184" t="s">
        <v>7732</v>
      </c>
    </row>
    <row r="185" spans="1:1" x14ac:dyDescent="0.25">
      <c r="A185" t="s">
        <v>9347</v>
      </c>
    </row>
    <row r="186" spans="1:1" x14ac:dyDescent="0.25">
      <c r="A186" t="s">
        <v>7735</v>
      </c>
    </row>
    <row r="187" spans="1:1" x14ac:dyDescent="0.25">
      <c r="A187" t="s">
        <v>7736</v>
      </c>
    </row>
    <row r="188" spans="1:1" x14ac:dyDescent="0.25">
      <c r="A188" t="s">
        <v>9348</v>
      </c>
    </row>
    <row r="189" spans="1:1" x14ac:dyDescent="0.25">
      <c r="A189" t="s">
        <v>7741</v>
      </c>
    </row>
    <row r="190" spans="1:1" x14ac:dyDescent="0.25">
      <c r="A190" t="s">
        <v>9354</v>
      </c>
    </row>
    <row r="191" spans="1:1" x14ac:dyDescent="0.25">
      <c r="A191" t="s">
        <v>9355</v>
      </c>
    </row>
    <row r="192" spans="1:1" x14ac:dyDescent="0.25">
      <c r="A192" t="s">
        <v>9356</v>
      </c>
    </row>
    <row r="193" spans="1:1" x14ac:dyDescent="0.25">
      <c r="A193" t="s">
        <v>7749</v>
      </c>
    </row>
    <row r="194" spans="1:1" x14ac:dyDescent="0.25">
      <c r="A194" t="s">
        <v>7751</v>
      </c>
    </row>
    <row r="195" spans="1:1" x14ac:dyDescent="0.25">
      <c r="A195" t="s">
        <v>7758</v>
      </c>
    </row>
    <row r="196" spans="1:1" x14ac:dyDescent="0.25">
      <c r="A196" t="s">
        <v>7765</v>
      </c>
    </row>
    <row r="197" spans="1:1" x14ac:dyDescent="0.25">
      <c r="A197" t="s">
        <v>7768</v>
      </c>
    </row>
    <row r="198" spans="1:1" x14ac:dyDescent="0.25">
      <c r="A198" t="s">
        <v>7769</v>
      </c>
    </row>
    <row r="199" spans="1:1" x14ac:dyDescent="0.25">
      <c r="A199" t="s">
        <v>7771</v>
      </c>
    </row>
    <row r="200" spans="1:1" x14ac:dyDescent="0.25">
      <c r="A200" t="s">
        <v>9862</v>
      </c>
    </row>
    <row r="201" spans="1:1" x14ac:dyDescent="0.25">
      <c r="A201" t="s">
        <v>9369</v>
      </c>
    </row>
    <row r="202" spans="1:1" x14ac:dyDescent="0.25">
      <c r="A202" t="s">
        <v>9370</v>
      </c>
    </row>
    <row r="203" spans="1:1" x14ac:dyDescent="0.25">
      <c r="A203" t="s">
        <v>7780</v>
      </c>
    </row>
    <row r="204" spans="1:1" x14ac:dyDescent="0.25">
      <c r="A204" t="s">
        <v>9371</v>
      </c>
    </row>
    <row r="205" spans="1:1" x14ac:dyDescent="0.25">
      <c r="A205" t="s">
        <v>9863</v>
      </c>
    </row>
    <row r="206" spans="1:1" x14ac:dyDescent="0.25">
      <c r="A206" t="s">
        <v>7782</v>
      </c>
    </row>
    <row r="207" spans="1:1" x14ac:dyDescent="0.25">
      <c r="A207" t="s">
        <v>7783</v>
      </c>
    </row>
    <row r="208" spans="1:1" x14ac:dyDescent="0.25">
      <c r="A208" t="s">
        <v>9864</v>
      </c>
    </row>
    <row r="209" spans="1:1" x14ac:dyDescent="0.25">
      <c r="A209" t="s">
        <v>7785</v>
      </c>
    </row>
    <row r="210" spans="1:1" x14ac:dyDescent="0.25">
      <c r="A210" t="s">
        <v>7786</v>
      </c>
    </row>
    <row r="211" spans="1:1" x14ac:dyDescent="0.25">
      <c r="A211" t="s">
        <v>7790</v>
      </c>
    </row>
    <row r="212" spans="1:1" x14ac:dyDescent="0.25">
      <c r="A212" t="s">
        <v>9377</v>
      </c>
    </row>
    <row r="213" spans="1:1" x14ac:dyDescent="0.25">
      <c r="A213" t="s">
        <v>9378</v>
      </c>
    </row>
    <row r="214" spans="1:1" x14ac:dyDescent="0.25">
      <c r="A214" t="s">
        <v>9865</v>
      </c>
    </row>
    <row r="215" spans="1:1" x14ac:dyDescent="0.25">
      <c r="A215" t="s">
        <v>9379</v>
      </c>
    </row>
    <row r="216" spans="1:1" x14ac:dyDescent="0.25">
      <c r="A216" t="s">
        <v>7801</v>
      </c>
    </row>
    <row r="217" spans="1:1" x14ac:dyDescent="0.25">
      <c r="A217" t="s">
        <v>9383</v>
      </c>
    </row>
    <row r="218" spans="1:1" x14ac:dyDescent="0.25">
      <c r="A218" t="s">
        <v>9385</v>
      </c>
    </row>
    <row r="219" spans="1:1" x14ac:dyDescent="0.25">
      <c r="A219" t="s">
        <v>9387</v>
      </c>
    </row>
    <row r="220" spans="1:1" x14ac:dyDescent="0.25">
      <c r="A220" t="s">
        <v>7819</v>
      </c>
    </row>
    <row r="221" spans="1:1" x14ac:dyDescent="0.25">
      <c r="A221" t="s">
        <v>7823</v>
      </c>
    </row>
    <row r="222" spans="1:1" x14ac:dyDescent="0.25">
      <c r="A222" t="s">
        <v>9393</v>
      </c>
    </row>
    <row r="223" spans="1:1" x14ac:dyDescent="0.25">
      <c r="A223" t="s">
        <v>7829</v>
      </c>
    </row>
    <row r="224" spans="1:1" x14ac:dyDescent="0.25">
      <c r="A224" t="s">
        <v>9399</v>
      </c>
    </row>
    <row r="225" spans="1:1" x14ac:dyDescent="0.25">
      <c r="A225" t="s">
        <v>9401</v>
      </c>
    </row>
    <row r="226" spans="1:1" x14ac:dyDescent="0.25">
      <c r="A226" t="s">
        <v>7839</v>
      </c>
    </row>
    <row r="227" spans="1:1" x14ac:dyDescent="0.25">
      <c r="A227" t="s">
        <v>9403</v>
      </c>
    </row>
    <row r="228" spans="1:1" x14ac:dyDescent="0.25">
      <c r="A228" t="s">
        <v>9866</v>
      </c>
    </row>
    <row r="229" spans="1:1" x14ac:dyDescent="0.25">
      <c r="A229" t="s">
        <v>9409</v>
      </c>
    </row>
    <row r="230" spans="1:1" x14ac:dyDescent="0.25">
      <c r="A230" t="s">
        <v>9411</v>
      </c>
    </row>
    <row r="231" spans="1:1" x14ac:dyDescent="0.25">
      <c r="A231" t="s">
        <v>9413</v>
      </c>
    </row>
    <row r="232" spans="1:1" x14ac:dyDescent="0.25">
      <c r="A232" t="s">
        <v>7855</v>
      </c>
    </row>
    <row r="233" spans="1:1" x14ac:dyDescent="0.25">
      <c r="A233" t="s">
        <v>7856</v>
      </c>
    </row>
    <row r="234" spans="1:1" x14ac:dyDescent="0.25">
      <c r="A234" t="s">
        <v>9867</v>
      </c>
    </row>
    <row r="235" spans="1:1" x14ac:dyDescent="0.25">
      <c r="A235" t="s">
        <v>7857</v>
      </c>
    </row>
    <row r="236" spans="1:1" x14ac:dyDescent="0.25">
      <c r="A236" t="s">
        <v>9414</v>
      </c>
    </row>
    <row r="237" spans="1:1" x14ac:dyDescent="0.25">
      <c r="A237" t="s">
        <v>9415</v>
      </c>
    </row>
    <row r="238" spans="1:1" x14ac:dyDescent="0.25">
      <c r="A238" t="s">
        <v>7858</v>
      </c>
    </row>
    <row r="239" spans="1:1" x14ac:dyDescent="0.25">
      <c r="A239" t="s">
        <v>7859</v>
      </c>
    </row>
    <row r="240" spans="1:1" x14ac:dyDescent="0.25">
      <c r="A240" t="s">
        <v>7862</v>
      </c>
    </row>
    <row r="241" spans="1:1" x14ac:dyDescent="0.25">
      <c r="A241" t="s">
        <v>7867</v>
      </c>
    </row>
    <row r="242" spans="1:1" x14ac:dyDescent="0.25">
      <c r="A242" t="s">
        <v>9868</v>
      </c>
    </row>
    <row r="243" spans="1:1" x14ac:dyDescent="0.25">
      <c r="A243" t="s">
        <v>9422</v>
      </c>
    </row>
    <row r="244" spans="1:1" x14ac:dyDescent="0.25">
      <c r="A244" t="s">
        <v>7874</v>
      </c>
    </row>
    <row r="245" spans="1:1" x14ac:dyDescent="0.25">
      <c r="A245" t="s">
        <v>9423</v>
      </c>
    </row>
    <row r="246" spans="1:1" x14ac:dyDescent="0.25">
      <c r="A246" t="s">
        <v>9869</v>
      </c>
    </row>
    <row r="247" spans="1:1" x14ac:dyDescent="0.25">
      <c r="A247" t="s">
        <v>9430</v>
      </c>
    </row>
    <row r="248" spans="1:1" x14ac:dyDescent="0.25">
      <c r="A248" t="s">
        <v>9870</v>
      </c>
    </row>
    <row r="249" spans="1:1" x14ac:dyDescent="0.25">
      <c r="A249" t="s">
        <v>7896</v>
      </c>
    </row>
    <row r="250" spans="1:1" x14ac:dyDescent="0.25">
      <c r="A250" t="s">
        <v>9442</v>
      </c>
    </row>
    <row r="251" spans="1:1" x14ac:dyDescent="0.25">
      <c r="A251" t="s">
        <v>7901</v>
      </c>
    </row>
    <row r="252" spans="1:1" x14ac:dyDescent="0.25">
      <c r="A252" t="s">
        <v>7902</v>
      </c>
    </row>
    <row r="253" spans="1:1" x14ac:dyDescent="0.25">
      <c r="A253" t="s">
        <v>9448</v>
      </c>
    </row>
    <row r="254" spans="1:1" x14ac:dyDescent="0.25">
      <c r="A254" t="s">
        <v>7944</v>
      </c>
    </row>
    <row r="255" spans="1:1" x14ac:dyDescent="0.25">
      <c r="A255" t="s">
        <v>9457</v>
      </c>
    </row>
    <row r="256" spans="1:1" x14ac:dyDescent="0.25">
      <c r="A256" t="s">
        <v>8020</v>
      </c>
    </row>
    <row r="257" spans="1:1" x14ac:dyDescent="0.25">
      <c r="A257" t="s">
        <v>9459</v>
      </c>
    </row>
    <row r="258" spans="1:1" x14ac:dyDescent="0.25">
      <c r="A258" t="s">
        <v>8022</v>
      </c>
    </row>
    <row r="259" spans="1:1" x14ac:dyDescent="0.25">
      <c r="A259" t="s">
        <v>8023</v>
      </c>
    </row>
    <row r="260" spans="1:1" x14ac:dyDescent="0.25">
      <c r="A260" t="s">
        <v>9468</v>
      </c>
    </row>
    <row r="261" spans="1:1" x14ac:dyDescent="0.25">
      <c r="A261" t="s">
        <v>8028</v>
      </c>
    </row>
    <row r="262" spans="1:1" x14ac:dyDescent="0.25">
      <c r="A262" t="s">
        <v>9472</v>
      </c>
    </row>
    <row r="263" spans="1:1" x14ac:dyDescent="0.25">
      <c r="A263" t="s">
        <v>9473</v>
      </c>
    </row>
    <row r="264" spans="1:1" x14ac:dyDescent="0.25">
      <c r="A264" t="s">
        <v>9871</v>
      </c>
    </row>
    <row r="265" spans="1:1" x14ac:dyDescent="0.25">
      <c r="A265" t="s">
        <v>9872</v>
      </c>
    </row>
    <row r="266" spans="1:1" x14ac:dyDescent="0.25">
      <c r="A266" t="s">
        <v>9873</v>
      </c>
    </row>
    <row r="267" spans="1:1" x14ac:dyDescent="0.25">
      <c r="A267" t="s">
        <v>9475</v>
      </c>
    </row>
    <row r="268" spans="1:1" x14ac:dyDescent="0.25">
      <c r="A268" t="s">
        <v>8041</v>
      </c>
    </row>
    <row r="269" spans="1:1" x14ac:dyDescent="0.25">
      <c r="A269" t="s">
        <v>8047</v>
      </c>
    </row>
    <row r="270" spans="1:1" x14ac:dyDescent="0.25">
      <c r="A270" t="s">
        <v>8050</v>
      </c>
    </row>
    <row r="271" spans="1:1" x14ac:dyDescent="0.25">
      <c r="A271" t="s">
        <v>9483</v>
      </c>
    </row>
    <row r="272" spans="1:1" x14ac:dyDescent="0.25">
      <c r="A272" t="s">
        <v>9874</v>
      </c>
    </row>
    <row r="273" spans="1:1" x14ac:dyDescent="0.25">
      <c r="A273" t="s">
        <v>8053</v>
      </c>
    </row>
    <row r="274" spans="1:1" x14ac:dyDescent="0.25">
      <c r="A274" t="s">
        <v>9875</v>
      </c>
    </row>
    <row r="275" spans="1:1" x14ac:dyDescent="0.25">
      <c r="A275" t="s">
        <v>9489</v>
      </c>
    </row>
    <row r="276" spans="1:1" x14ac:dyDescent="0.25">
      <c r="A276" t="s">
        <v>8065</v>
      </c>
    </row>
    <row r="277" spans="1:1" x14ac:dyDescent="0.25">
      <c r="A277" t="s">
        <v>9876</v>
      </c>
    </row>
    <row r="278" spans="1:1" x14ac:dyDescent="0.25">
      <c r="A278" t="s">
        <v>8617</v>
      </c>
    </row>
    <row r="279" spans="1:1" x14ac:dyDescent="0.25">
      <c r="A279" t="s">
        <v>9494</v>
      </c>
    </row>
    <row r="280" spans="1:1" x14ac:dyDescent="0.25">
      <c r="A280" t="s">
        <v>8078</v>
      </c>
    </row>
    <row r="281" spans="1:1" x14ac:dyDescent="0.25">
      <c r="A281" t="s">
        <v>9502</v>
      </c>
    </row>
    <row r="282" spans="1:1" x14ac:dyDescent="0.25">
      <c r="A282" t="s">
        <v>9504</v>
      </c>
    </row>
    <row r="283" spans="1:1" x14ac:dyDescent="0.25">
      <c r="A283" t="s">
        <v>9508</v>
      </c>
    </row>
    <row r="284" spans="1:1" x14ac:dyDescent="0.25">
      <c r="A284" t="s">
        <v>9511</v>
      </c>
    </row>
    <row r="285" spans="1:1" x14ac:dyDescent="0.25">
      <c r="A285" t="s">
        <v>8095</v>
      </c>
    </row>
    <row r="286" spans="1:1" x14ac:dyDescent="0.25">
      <c r="A286" t="s">
        <v>9512</v>
      </c>
    </row>
    <row r="287" spans="1:1" x14ac:dyDescent="0.25">
      <c r="A287" t="s">
        <v>8100</v>
      </c>
    </row>
    <row r="288" spans="1:1" x14ac:dyDescent="0.25">
      <c r="A288" t="s">
        <v>8101</v>
      </c>
    </row>
    <row r="289" spans="1:1" x14ac:dyDescent="0.25">
      <c r="A289" t="s">
        <v>8103</v>
      </c>
    </row>
    <row r="290" spans="1:1" x14ac:dyDescent="0.25">
      <c r="A290" t="s">
        <v>8104</v>
      </c>
    </row>
    <row r="291" spans="1:1" x14ac:dyDescent="0.25">
      <c r="A291" t="s">
        <v>9515</v>
      </c>
    </row>
    <row r="292" spans="1:1" x14ac:dyDescent="0.25">
      <c r="A292" t="s">
        <v>9517</v>
      </c>
    </row>
    <row r="293" spans="1:1" x14ac:dyDescent="0.25">
      <c r="A293" t="s">
        <v>9519</v>
      </c>
    </row>
    <row r="294" spans="1:1" x14ac:dyDescent="0.25">
      <c r="A294" t="s">
        <v>9877</v>
      </c>
    </row>
    <row r="295" spans="1:1" x14ac:dyDescent="0.25">
      <c r="A295" t="s">
        <v>9525</v>
      </c>
    </row>
    <row r="296" spans="1:1" x14ac:dyDescent="0.25">
      <c r="A296" t="s">
        <v>9528</v>
      </c>
    </row>
    <row r="297" spans="1:1" x14ac:dyDescent="0.25">
      <c r="A297" t="s">
        <v>8120</v>
      </c>
    </row>
    <row r="298" spans="1:1" x14ac:dyDescent="0.25">
      <c r="A298" t="s">
        <v>9878</v>
      </c>
    </row>
    <row r="299" spans="1:1" x14ac:dyDescent="0.25">
      <c r="A299" t="s">
        <v>8126</v>
      </c>
    </row>
    <row r="300" spans="1:1" x14ac:dyDescent="0.25">
      <c r="A300" t="s">
        <v>9879</v>
      </c>
    </row>
    <row r="301" spans="1:1" x14ac:dyDescent="0.25">
      <c r="A301" t="s">
        <v>9530</v>
      </c>
    </row>
    <row r="302" spans="1:1" x14ac:dyDescent="0.25">
      <c r="A302" t="s">
        <v>9880</v>
      </c>
    </row>
    <row r="303" spans="1:1" x14ac:dyDescent="0.25">
      <c r="A303" t="s">
        <v>9531</v>
      </c>
    </row>
    <row r="304" spans="1:1" x14ac:dyDescent="0.25">
      <c r="A304" t="s">
        <v>9532</v>
      </c>
    </row>
    <row r="305" spans="1:1" x14ac:dyDescent="0.25">
      <c r="A305" t="s">
        <v>9533</v>
      </c>
    </row>
    <row r="306" spans="1:1" x14ac:dyDescent="0.25">
      <c r="A306" t="s">
        <v>9534</v>
      </c>
    </row>
    <row r="307" spans="1:1" x14ac:dyDescent="0.25">
      <c r="A307" t="s">
        <v>9881</v>
      </c>
    </row>
    <row r="308" spans="1:1" x14ac:dyDescent="0.25">
      <c r="A308" t="s">
        <v>9535</v>
      </c>
    </row>
    <row r="309" spans="1:1" x14ac:dyDescent="0.25">
      <c r="A309" t="s">
        <v>8137</v>
      </c>
    </row>
    <row r="310" spans="1:1" x14ac:dyDescent="0.25">
      <c r="A310" t="s">
        <v>8139</v>
      </c>
    </row>
    <row r="311" spans="1:1" x14ac:dyDescent="0.25">
      <c r="A311" t="s">
        <v>8140</v>
      </c>
    </row>
    <row r="312" spans="1:1" x14ac:dyDescent="0.25">
      <c r="A312" t="s">
        <v>8141</v>
      </c>
    </row>
    <row r="313" spans="1:1" x14ac:dyDescent="0.25">
      <c r="A313" t="s">
        <v>9542</v>
      </c>
    </row>
    <row r="314" spans="1:1" x14ac:dyDescent="0.25">
      <c r="A314" t="s">
        <v>8145</v>
      </c>
    </row>
    <row r="315" spans="1:1" x14ac:dyDescent="0.25">
      <c r="A315" t="s">
        <v>9543</v>
      </c>
    </row>
    <row r="316" spans="1:1" x14ac:dyDescent="0.25">
      <c r="A316" t="s">
        <v>9552</v>
      </c>
    </row>
    <row r="317" spans="1:1" x14ac:dyDescent="0.25">
      <c r="A317" t="s">
        <v>9553</v>
      </c>
    </row>
    <row r="318" spans="1:1" x14ac:dyDescent="0.25">
      <c r="A318" t="s">
        <v>9554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workbookViewId="0"/>
  </sheetViews>
  <sheetFormatPr defaultRowHeight="15" x14ac:dyDescent="0.25"/>
  <cols>
    <col min="1" max="1" width="21.85546875" customWidth="1"/>
    <col min="3" max="3" width="19.85546875" customWidth="1"/>
    <col min="4" max="4" width="28" customWidth="1"/>
  </cols>
  <sheetData>
    <row r="1" spans="1:9" ht="20.25" x14ac:dyDescent="0.3">
      <c r="A1" s="12" t="s">
        <v>9882</v>
      </c>
    </row>
    <row r="2" spans="1:9" x14ac:dyDescent="0.25">
      <c r="A2" s="17" t="s">
        <v>9883</v>
      </c>
      <c r="B2" s="9">
        <f>142/6855</f>
        <v>2.0714806710430342E-2</v>
      </c>
      <c r="C2" t="s">
        <v>2</v>
      </c>
      <c r="D2">
        <v>112</v>
      </c>
    </row>
    <row r="3" spans="1:9" x14ac:dyDescent="0.25">
      <c r="A3" t="s">
        <v>9884</v>
      </c>
      <c r="C3" t="s">
        <v>4</v>
      </c>
      <c r="D3">
        <v>77079</v>
      </c>
    </row>
    <row r="4" spans="1:9" x14ac:dyDescent="0.25">
      <c r="A4" t="s">
        <v>9885</v>
      </c>
      <c r="C4" t="s">
        <v>6</v>
      </c>
      <c r="D4" t="s">
        <v>7</v>
      </c>
    </row>
    <row r="5" spans="1:9" x14ac:dyDescent="0.25">
      <c r="A5" t="s">
        <v>9562</v>
      </c>
      <c r="C5" t="s">
        <v>9</v>
      </c>
      <c r="D5" t="s">
        <v>10</v>
      </c>
    </row>
    <row r="6" spans="1:9" x14ac:dyDescent="0.25">
      <c r="A6" t="s">
        <v>9886</v>
      </c>
      <c r="C6" t="s">
        <v>12</v>
      </c>
      <c r="D6" t="s">
        <v>13</v>
      </c>
    </row>
    <row r="7" spans="1:9" x14ac:dyDescent="0.25">
      <c r="A7" t="s">
        <v>6948</v>
      </c>
      <c r="C7" t="s">
        <v>15</v>
      </c>
      <c r="D7" t="s">
        <v>16</v>
      </c>
    </row>
    <row r="8" spans="1:9" x14ac:dyDescent="0.25">
      <c r="A8" t="s">
        <v>6998</v>
      </c>
      <c r="C8" t="s">
        <v>18</v>
      </c>
      <c r="D8" t="s">
        <v>19</v>
      </c>
    </row>
    <row r="9" spans="1:9" x14ac:dyDescent="0.25">
      <c r="A9" t="s">
        <v>9887</v>
      </c>
      <c r="C9" t="s">
        <v>21</v>
      </c>
      <c r="D9">
        <v>3</v>
      </c>
    </row>
    <row r="10" spans="1:9" x14ac:dyDescent="0.25">
      <c r="A10" t="s">
        <v>8192</v>
      </c>
    </row>
    <row r="11" spans="1:9" x14ac:dyDescent="0.25">
      <c r="A11" t="s">
        <v>9888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8201</v>
      </c>
      <c r="C12" s="3" t="str">
        <f>HYPERLINK("http://amigo.geneontology.org/amigo/term/GO:0020037","GO:0020037")</f>
        <v>GO:0020037</v>
      </c>
      <c r="D12" t="s">
        <v>1181</v>
      </c>
      <c r="E12">
        <v>2527</v>
      </c>
      <c r="F12">
        <v>17</v>
      </c>
      <c r="G12" s="4">
        <v>1.55179522064567E-7</v>
      </c>
      <c r="H12" s="4">
        <v>7.0063554212152E-4</v>
      </c>
      <c r="I12" t="s">
        <v>9889</v>
      </c>
    </row>
    <row r="13" spans="1:9" x14ac:dyDescent="0.25">
      <c r="A13" t="s">
        <v>8204</v>
      </c>
      <c r="C13" s="3" t="str">
        <f>HYPERLINK("http://amigo.geneontology.org/amigo/term/GO:0046906","GO:0046906")</f>
        <v>GO:0046906</v>
      </c>
      <c r="D13" t="s">
        <v>1085</v>
      </c>
      <c r="E13">
        <v>2625</v>
      </c>
      <c r="F13">
        <v>17</v>
      </c>
      <c r="G13" s="4">
        <v>2.6424752156679099E-7</v>
      </c>
      <c r="H13" s="4">
        <v>5.9640665617624697E-4</v>
      </c>
      <c r="I13" t="s">
        <v>9889</v>
      </c>
    </row>
    <row r="14" spans="1:9" x14ac:dyDescent="0.25">
      <c r="A14" t="s">
        <v>9568</v>
      </c>
      <c r="C14" s="3" t="str">
        <f>HYPERLINK("http://amigo.geneontology.org/amigo/term/GO:0048037","GO:0048037")</f>
        <v>GO:0048037</v>
      </c>
      <c r="D14" t="s">
        <v>4125</v>
      </c>
      <c r="E14">
        <v>4750</v>
      </c>
      <c r="F14">
        <v>23</v>
      </c>
      <c r="G14" s="4">
        <v>3.0068526082304099E-7</v>
      </c>
      <c r="H14" s="4">
        <v>4.5253131753867699E-4</v>
      </c>
      <c r="I14" t="s">
        <v>9890</v>
      </c>
    </row>
    <row r="15" spans="1:9" x14ac:dyDescent="0.25">
      <c r="A15" t="s">
        <v>9891</v>
      </c>
      <c r="C15" s="3" t="str">
        <f>HYPERLINK("http://amigo.geneontology.org/amigo/term/GO:0004672","GO:0004672")</f>
        <v>GO:0004672</v>
      </c>
      <c r="D15" t="s">
        <v>1481</v>
      </c>
      <c r="E15">
        <v>5633</v>
      </c>
      <c r="F15">
        <v>25</v>
      </c>
      <c r="G15" s="4">
        <v>4.24493490727601E-7</v>
      </c>
      <c r="H15" s="4">
        <v>4.7882865754073398E-4</v>
      </c>
      <c r="I15" t="s">
        <v>9892</v>
      </c>
    </row>
    <row r="16" spans="1:9" x14ac:dyDescent="0.25">
      <c r="A16" t="s">
        <v>9569</v>
      </c>
      <c r="C16" s="3" t="str">
        <f>HYPERLINK("http://amigo.geneontology.org/amigo/term/GO:0006468","GO:0006468")</f>
        <v>GO:0006468</v>
      </c>
      <c r="D16" t="s">
        <v>1478</v>
      </c>
      <c r="E16">
        <v>5693</v>
      </c>
      <c r="F16">
        <v>25</v>
      </c>
      <c r="G16" s="4">
        <v>5.1654209265916798E-7</v>
      </c>
      <c r="H16" s="4">
        <v>4.6643750967122899E-4</v>
      </c>
      <c r="I16" t="s">
        <v>9892</v>
      </c>
    </row>
    <row r="17" spans="1:9" x14ac:dyDescent="0.25">
      <c r="A17" t="s">
        <v>6877</v>
      </c>
      <c r="C17" s="3" t="str">
        <f>HYPERLINK("http://amigo.geneontology.org/amigo/term/GO:0001871","GO:0001871")</f>
        <v>GO:0001871</v>
      </c>
      <c r="D17" t="s">
        <v>7099</v>
      </c>
      <c r="E17">
        <v>653</v>
      </c>
      <c r="F17">
        <v>9</v>
      </c>
      <c r="G17" s="4">
        <v>5.3873928074831295E-7</v>
      </c>
      <c r="H17" s="4">
        <v>3.4748683608266202E-4</v>
      </c>
      <c r="I17" t="s">
        <v>9893</v>
      </c>
    </row>
    <row r="18" spans="1:9" x14ac:dyDescent="0.25">
      <c r="A18" t="s">
        <v>9572</v>
      </c>
      <c r="C18" s="3" t="str">
        <f>HYPERLINK("http://amigo.geneontology.org/amigo/term/GO:0030247","GO:0030247")</f>
        <v>GO:0030247</v>
      </c>
      <c r="D18" t="s">
        <v>7102</v>
      </c>
      <c r="E18">
        <v>653</v>
      </c>
      <c r="F18">
        <v>9</v>
      </c>
      <c r="G18" s="4">
        <v>5.3873928074831295E-7</v>
      </c>
      <c r="H18" s="4">
        <v>4.0513193912273198E-4</v>
      </c>
      <c r="I18" t="s">
        <v>9893</v>
      </c>
    </row>
    <row r="19" spans="1:9" x14ac:dyDescent="0.25">
      <c r="A19" t="s">
        <v>9576</v>
      </c>
      <c r="C19" s="3" t="str">
        <f>HYPERLINK("http://amigo.geneontology.org/amigo/term/GO:0016773","GO:0016773")</f>
        <v>GO:0016773</v>
      </c>
      <c r="D19" t="s">
        <v>791</v>
      </c>
      <c r="E19">
        <v>6062</v>
      </c>
      <c r="F19">
        <v>25</v>
      </c>
      <c r="G19" s="4">
        <v>1.62627781628555E-6</v>
      </c>
      <c r="H19" s="4">
        <v>9.1722068838505204E-4</v>
      </c>
      <c r="I19" t="s">
        <v>9892</v>
      </c>
    </row>
    <row r="20" spans="1:9" x14ac:dyDescent="0.25">
      <c r="A20" t="s">
        <v>9578</v>
      </c>
      <c r="C20" s="3" t="str">
        <f>HYPERLINK("http://amigo.geneontology.org/amigo/term/GO:0016491","GO:0016491")</f>
        <v>GO:0016491</v>
      </c>
      <c r="D20" t="s">
        <v>315</v>
      </c>
      <c r="E20">
        <v>6975</v>
      </c>
      <c r="F20">
        <v>27</v>
      </c>
      <c r="G20" s="4">
        <v>1.9007995814747901E-6</v>
      </c>
      <c r="H20" s="4">
        <v>9.5230059031886996E-4</v>
      </c>
      <c r="I20" t="s">
        <v>9894</v>
      </c>
    </row>
    <row r="21" spans="1:9" x14ac:dyDescent="0.25">
      <c r="A21" t="s">
        <v>8233</v>
      </c>
      <c r="C21" s="3" t="str">
        <f>HYPERLINK("http://amigo.geneontology.org/amigo/term/GO:0046872","GO:0046872")</f>
        <v>GO:0046872</v>
      </c>
      <c r="D21" t="s">
        <v>1484</v>
      </c>
      <c r="E21">
        <v>11725</v>
      </c>
      <c r="F21">
        <v>37</v>
      </c>
      <c r="G21" s="4">
        <v>2.0160529900301599E-6</v>
      </c>
      <c r="H21" s="4">
        <v>9.0923989850360295E-4</v>
      </c>
      <c r="I21" t="s">
        <v>9895</v>
      </c>
    </row>
    <row r="22" spans="1:9" x14ac:dyDescent="0.25">
      <c r="A22" t="s">
        <v>7168</v>
      </c>
      <c r="C22" s="3" t="str">
        <f>HYPERLINK("http://amigo.geneontology.org/amigo/term/GO:0043169","GO:0043169")</f>
        <v>GO:0043169</v>
      </c>
      <c r="D22" t="s">
        <v>1535</v>
      </c>
      <c r="E22">
        <v>11833</v>
      </c>
      <c r="F22">
        <v>37</v>
      </c>
      <c r="G22" s="4">
        <v>2.5154101927402202E-6</v>
      </c>
      <c r="H22">
        <v>1.0313181790234901E-3</v>
      </c>
      <c r="I22" t="s">
        <v>9895</v>
      </c>
    </row>
    <row r="23" spans="1:9" x14ac:dyDescent="0.25">
      <c r="A23" t="s">
        <v>9896</v>
      </c>
      <c r="C23" s="3" t="str">
        <f>HYPERLINK("http://amigo.geneontology.org/amigo/term/GO:0055114","GO:0055114")</f>
        <v>GO:0055114</v>
      </c>
      <c r="D23" t="s">
        <v>454</v>
      </c>
      <c r="E23">
        <v>6698</v>
      </c>
      <c r="F23">
        <v>26</v>
      </c>
      <c r="G23" s="4">
        <v>2.94186064528217E-6</v>
      </c>
      <c r="H23">
        <v>1.10613960262609E-3</v>
      </c>
      <c r="I23" t="s">
        <v>9897</v>
      </c>
    </row>
    <row r="24" spans="1:9" x14ac:dyDescent="0.25">
      <c r="A24" t="s">
        <v>9898</v>
      </c>
      <c r="C24" s="3" t="str">
        <f>HYPERLINK("http://amigo.geneontology.org/amigo/term/GO:0016301","GO:0016301")</f>
        <v>GO:0016301</v>
      </c>
      <c r="D24" t="s">
        <v>724</v>
      </c>
      <c r="E24">
        <v>6285</v>
      </c>
      <c r="F24">
        <v>25</v>
      </c>
      <c r="G24" s="4">
        <v>3.1042417008989302E-6</v>
      </c>
      <c r="H24">
        <v>1.0771718702119199E-3</v>
      </c>
      <c r="I24" t="s">
        <v>9892</v>
      </c>
    </row>
    <row r="25" spans="1:9" x14ac:dyDescent="0.25">
      <c r="A25" t="s">
        <v>9899</v>
      </c>
      <c r="C25" s="3" t="str">
        <f>HYPERLINK("http://amigo.geneontology.org/amigo/term/GO:0043167","GO:0043167")</f>
        <v>GO:0043167</v>
      </c>
      <c r="D25" t="s">
        <v>6996</v>
      </c>
      <c r="E25">
        <v>24059</v>
      </c>
      <c r="F25">
        <v>58</v>
      </c>
      <c r="G25" s="4">
        <v>4.7554154855107596E-6</v>
      </c>
      <c r="H25">
        <v>1.5312437863344601E-3</v>
      </c>
      <c r="I25" t="s">
        <v>9900</v>
      </c>
    </row>
    <row r="26" spans="1:9" x14ac:dyDescent="0.25">
      <c r="A26" t="s">
        <v>9901</v>
      </c>
      <c r="C26" s="3" t="str">
        <f>HYPERLINK("http://amigo.geneontology.org/amigo/term/GO:0016310","GO:0016310")</f>
        <v>GO:0016310</v>
      </c>
      <c r="D26" t="s">
        <v>1006</v>
      </c>
      <c r="E26">
        <v>6439</v>
      </c>
      <c r="F26">
        <v>25</v>
      </c>
      <c r="G26" s="4">
        <v>4.7602333899493499E-6</v>
      </c>
      <c r="H26">
        <v>1.43283025037475E-3</v>
      </c>
      <c r="I26" t="s">
        <v>9892</v>
      </c>
    </row>
    <row r="27" spans="1:9" x14ac:dyDescent="0.25">
      <c r="A27" t="s">
        <v>9902</v>
      </c>
      <c r="C27" s="3" t="str">
        <f>HYPERLINK("http://amigo.geneontology.org/amigo/term/GO:0030246","GO:0030246")</f>
        <v>GO:0030246</v>
      </c>
      <c r="D27" t="s">
        <v>6959</v>
      </c>
      <c r="E27">
        <v>1249</v>
      </c>
      <c r="F27">
        <v>10</v>
      </c>
      <c r="G27" s="4">
        <v>1.5325745080134702E-5</v>
      </c>
      <c r="H27">
        <v>4.3218601125979798E-3</v>
      </c>
      <c r="I27" t="s">
        <v>9903</v>
      </c>
    </row>
    <row r="28" spans="1:9" x14ac:dyDescent="0.25">
      <c r="A28" t="s">
        <v>8270</v>
      </c>
      <c r="C28" s="3" t="str">
        <f>HYPERLINK("http://amigo.geneontology.org/amigo/term/GO:0016772","GO:0016772")</f>
        <v>GO:0016772</v>
      </c>
      <c r="D28" t="s">
        <v>1211</v>
      </c>
      <c r="E28">
        <v>6904</v>
      </c>
      <c r="F28">
        <v>25</v>
      </c>
      <c r="G28" s="4">
        <v>1.5880933790902499E-5</v>
      </c>
      <c r="H28">
        <v>4.2084474545891698E-3</v>
      </c>
      <c r="I28" t="s">
        <v>9892</v>
      </c>
    </row>
    <row r="29" spans="1:9" x14ac:dyDescent="0.25">
      <c r="A29" t="s">
        <v>8285</v>
      </c>
      <c r="C29" s="3" t="str">
        <f>HYPERLINK("http://amigo.geneontology.org/amigo/term/GO:0042744","GO:0042744")</f>
        <v>GO:0042744</v>
      </c>
      <c r="D29" t="s">
        <v>1152</v>
      </c>
      <c r="E29">
        <v>227</v>
      </c>
      <c r="F29">
        <v>5</v>
      </c>
      <c r="G29" s="4">
        <v>2.2005092510941599E-5</v>
      </c>
      <c r="H29">
        <v>5.50127312773541E-3</v>
      </c>
      <c r="I29" t="s">
        <v>9904</v>
      </c>
    </row>
    <row r="30" spans="1:9" x14ac:dyDescent="0.25">
      <c r="A30" t="s">
        <v>8286</v>
      </c>
      <c r="C30" s="3" t="str">
        <f>HYPERLINK("http://amigo.geneontology.org/amigo/term/GO:0017001","GO:0017001")</f>
        <v>GO:0017001</v>
      </c>
      <c r="D30" t="s">
        <v>1226</v>
      </c>
      <c r="E30">
        <v>234</v>
      </c>
      <c r="F30">
        <v>5</v>
      </c>
      <c r="G30" s="4">
        <v>2.5442059411336902E-5</v>
      </c>
      <c r="H30">
        <v>6.0297680804868399E-3</v>
      </c>
      <c r="I30" t="s">
        <v>9904</v>
      </c>
    </row>
    <row r="31" spans="1:9" x14ac:dyDescent="0.25">
      <c r="A31" t="s">
        <v>9905</v>
      </c>
      <c r="C31" s="3" t="str">
        <f>HYPERLINK("http://amigo.geneontology.org/amigo/term/GO:0042743","GO:0042743")</f>
        <v>GO:0042743</v>
      </c>
      <c r="D31" t="s">
        <v>1237</v>
      </c>
      <c r="E31">
        <v>259</v>
      </c>
      <c r="F31">
        <v>5</v>
      </c>
      <c r="G31" s="4">
        <v>4.1237029139869403E-5</v>
      </c>
      <c r="H31">
        <v>9.2783315564706204E-3</v>
      </c>
      <c r="I31" t="s">
        <v>9904</v>
      </c>
    </row>
    <row r="32" spans="1:9" x14ac:dyDescent="0.25">
      <c r="A32" t="s">
        <v>7280</v>
      </c>
      <c r="C32" s="3" t="str">
        <f>HYPERLINK("http://amigo.geneontology.org/amigo/term/GO:0006796","GO:0006796")</f>
        <v>GO:0006796</v>
      </c>
      <c r="D32" t="s">
        <v>679</v>
      </c>
      <c r="E32">
        <v>8416</v>
      </c>
      <c r="F32">
        <v>27</v>
      </c>
      <c r="G32" s="4">
        <v>5.76524052609468E-5</v>
      </c>
      <c r="H32">
        <v>1.2395267131103499E-2</v>
      </c>
      <c r="I32" t="s">
        <v>9906</v>
      </c>
    </row>
    <row r="33" spans="1:9" x14ac:dyDescent="0.25">
      <c r="A33" t="s">
        <v>9907</v>
      </c>
      <c r="C33" s="3" t="str">
        <f>HYPERLINK("http://amigo.geneontology.org/amigo/term/GO:0006793","GO:0006793")</f>
        <v>GO:0006793</v>
      </c>
      <c r="D33" t="s">
        <v>670</v>
      </c>
      <c r="E33">
        <v>8439</v>
      </c>
      <c r="F33">
        <v>27</v>
      </c>
      <c r="G33" s="4">
        <v>6.0426465595957697E-5</v>
      </c>
      <c r="H33">
        <v>1.2387425447171301E-2</v>
      </c>
      <c r="I33" t="s">
        <v>9906</v>
      </c>
    </row>
    <row r="34" spans="1:9" x14ac:dyDescent="0.25">
      <c r="A34" t="s">
        <v>9609</v>
      </c>
      <c r="C34" s="3" t="str">
        <f>HYPERLINK("http://amigo.geneontology.org/amigo/term/GO:0072593","GO:0072593")</f>
        <v>GO:0072593</v>
      </c>
      <c r="D34" t="s">
        <v>4212</v>
      </c>
      <c r="E34">
        <v>311</v>
      </c>
      <c r="F34">
        <v>5</v>
      </c>
      <c r="G34" s="4">
        <v>9.7600717808860298E-5</v>
      </c>
      <c r="H34">
        <v>1.9129740690536599E-2</v>
      </c>
      <c r="I34" t="s">
        <v>9904</v>
      </c>
    </row>
    <row r="35" spans="1:9" x14ac:dyDescent="0.25">
      <c r="A35" t="s">
        <v>9908</v>
      </c>
      <c r="C35" s="3" t="str">
        <f>HYPERLINK("http://amigo.geneontology.org/amigo/term/GO:0051187","GO:0051187")</f>
        <v>GO:0051187</v>
      </c>
      <c r="D35" t="s">
        <v>4229</v>
      </c>
      <c r="E35">
        <v>340</v>
      </c>
      <c r="F35">
        <v>5</v>
      </c>
      <c r="G35" s="4">
        <v>1.4783543993900501E-4</v>
      </c>
      <c r="H35">
        <v>2.7793062708532899E-2</v>
      </c>
      <c r="I35" t="s">
        <v>9904</v>
      </c>
    </row>
    <row r="36" spans="1:9" x14ac:dyDescent="0.25">
      <c r="A36" t="s">
        <v>9909</v>
      </c>
      <c r="C36" s="3" t="str">
        <f>HYPERLINK("http://amigo.geneontology.org/amigo/term/GO:0008144","GO:0008144")</f>
        <v>GO:0008144</v>
      </c>
      <c r="D36" t="s">
        <v>6910</v>
      </c>
      <c r="E36">
        <v>9423</v>
      </c>
      <c r="F36">
        <v>28</v>
      </c>
      <c r="G36" s="4">
        <v>1.5430040760688201E-4</v>
      </c>
      <c r="H36">
        <v>2.7774073369238698E-2</v>
      </c>
      <c r="I36" t="s">
        <v>9910</v>
      </c>
    </row>
    <row r="37" spans="1:9" x14ac:dyDescent="0.25">
      <c r="A37" t="s">
        <v>9911</v>
      </c>
      <c r="C37" s="3" t="str">
        <f>HYPERLINK("http://amigo.geneontology.org/amigo/term/GO:0140096","GO:0140096")</f>
        <v>GO:0140096</v>
      </c>
      <c r="D37" t="s">
        <v>6920</v>
      </c>
      <c r="E37">
        <v>9453</v>
      </c>
      <c r="F37">
        <v>28</v>
      </c>
      <c r="G37" s="4">
        <v>1.62878725140094E-4</v>
      </c>
      <c r="H37">
        <v>2.81780194492363E-2</v>
      </c>
      <c r="I37" t="s">
        <v>9912</v>
      </c>
    </row>
    <row r="38" spans="1:9" x14ac:dyDescent="0.25">
      <c r="A38" t="s">
        <v>9619</v>
      </c>
      <c r="C38" s="3" t="str">
        <f>HYPERLINK("http://amigo.geneontology.org/amigo/term/GO:0005524","GO:0005524")</f>
        <v>GO:0005524</v>
      </c>
      <c r="D38" t="s">
        <v>6927</v>
      </c>
      <c r="E38">
        <v>8993</v>
      </c>
      <c r="F38">
        <v>27</v>
      </c>
      <c r="G38" s="4">
        <v>1.7648256127467999E-4</v>
      </c>
      <c r="H38">
        <v>2.9472587732871699E-2</v>
      </c>
      <c r="I38" t="s">
        <v>9913</v>
      </c>
    </row>
    <row r="39" spans="1:9" x14ac:dyDescent="0.25">
      <c r="A39" t="s">
        <v>8306</v>
      </c>
      <c r="C39" s="3" t="str">
        <f>HYPERLINK("http://amigo.geneontology.org/amigo/term/GO:0036211","GO:0036211")</f>
        <v>GO:0036211</v>
      </c>
      <c r="D39" t="s">
        <v>6999</v>
      </c>
      <c r="E39">
        <v>8035</v>
      </c>
      <c r="F39">
        <v>25</v>
      </c>
      <c r="G39" s="4">
        <v>1.8807082471933599E-4</v>
      </c>
      <c r="H39">
        <v>2.9150977831497098E-2</v>
      </c>
      <c r="I39" t="s">
        <v>9892</v>
      </c>
    </row>
    <row r="40" spans="1:9" x14ac:dyDescent="0.25">
      <c r="A40" t="s">
        <v>8310</v>
      </c>
      <c r="C40" s="3" t="str">
        <f>HYPERLINK("http://amigo.geneontology.org/amigo/term/GO:0006464","GO:0006464")</f>
        <v>GO:0006464</v>
      </c>
      <c r="D40" t="s">
        <v>7002</v>
      </c>
      <c r="E40">
        <v>8035</v>
      </c>
      <c r="F40">
        <v>25</v>
      </c>
      <c r="G40" s="4">
        <v>1.8807082471933599E-4</v>
      </c>
      <c r="H40">
        <v>3.02794027798131E-2</v>
      </c>
      <c r="I40" t="s">
        <v>9892</v>
      </c>
    </row>
    <row r="41" spans="1:9" x14ac:dyDescent="0.25">
      <c r="A41" t="s">
        <v>9914</v>
      </c>
      <c r="C41" s="3" t="str">
        <f>HYPERLINK("http://amigo.geneontology.org/amigo/term/GO:0035639","GO:0035639")</f>
        <v>GO:0035639</v>
      </c>
      <c r="D41" t="s">
        <v>6966</v>
      </c>
      <c r="E41">
        <v>9665</v>
      </c>
      <c r="F41">
        <v>28</v>
      </c>
      <c r="G41" s="4">
        <v>2.36769865891856E-4</v>
      </c>
      <c r="H41">
        <v>3.5515479883778497E-2</v>
      </c>
      <c r="I41" t="s">
        <v>9915</v>
      </c>
    </row>
    <row r="42" spans="1:9" x14ac:dyDescent="0.25">
      <c r="A42" t="s">
        <v>8312</v>
      </c>
      <c r="C42" s="3" t="str">
        <f>HYPERLINK("http://amigo.geneontology.org/amigo/term/GO:0005509","GO:0005509")</f>
        <v>GO:0005509</v>
      </c>
      <c r="D42" t="s">
        <v>323</v>
      </c>
      <c r="E42">
        <v>1211</v>
      </c>
      <c r="F42">
        <v>8</v>
      </c>
      <c r="G42" s="4">
        <v>4.0897472535077802E-4</v>
      </c>
      <c r="H42">
        <v>5.93013351758628E-2</v>
      </c>
      <c r="I42" t="s">
        <v>9916</v>
      </c>
    </row>
    <row r="43" spans="1:9" x14ac:dyDescent="0.25">
      <c r="A43" t="s">
        <v>9626</v>
      </c>
      <c r="C43" s="3" t="str">
        <f>HYPERLINK("http://amigo.geneontology.org/amigo/term/GO:0016999","GO:0016999")</f>
        <v>GO:0016999</v>
      </c>
      <c r="D43" t="s">
        <v>764</v>
      </c>
      <c r="E43">
        <v>427</v>
      </c>
      <c r="F43">
        <v>5</v>
      </c>
      <c r="G43" s="4">
        <v>4.20536163199378E-4</v>
      </c>
      <c r="H43">
        <v>5.9295599011112303E-2</v>
      </c>
      <c r="I43" t="s">
        <v>9904</v>
      </c>
    </row>
    <row r="44" spans="1:9" x14ac:dyDescent="0.25">
      <c r="A44" t="s">
        <v>9917</v>
      </c>
      <c r="C44" s="3" t="str">
        <f>HYPERLINK("http://amigo.geneontology.org/amigo/term/GO:0043412","GO:0043412")</f>
        <v>GO:0043412</v>
      </c>
      <c r="D44" t="s">
        <v>7041</v>
      </c>
      <c r="E44">
        <v>8613</v>
      </c>
      <c r="F44">
        <v>25</v>
      </c>
      <c r="G44" s="4">
        <v>5.4049445502456E-4</v>
      </c>
      <c r="H44">
        <v>7.3507245883340205E-2</v>
      </c>
      <c r="I44" t="s">
        <v>9892</v>
      </c>
    </row>
    <row r="45" spans="1:9" x14ac:dyDescent="0.25">
      <c r="A45" t="s">
        <v>9640</v>
      </c>
      <c r="C45" s="3" t="str">
        <f>HYPERLINK("http://amigo.geneontology.org/amigo/term/GO:0033897","GO:0033897")</f>
        <v>GO:0033897</v>
      </c>
      <c r="D45" t="s">
        <v>9600</v>
      </c>
      <c r="E45">
        <v>24</v>
      </c>
      <c r="F45">
        <v>2</v>
      </c>
      <c r="G45" s="4">
        <v>5.6558684077019097E-4</v>
      </c>
      <c r="H45">
        <v>7.4657462981665201E-2</v>
      </c>
      <c r="I45" t="s">
        <v>9601</v>
      </c>
    </row>
    <row r="46" spans="1:9" x14ac:dyDescent="0.25">
      <c r="A46" t="s">
        <v>9651</v>
      </c>
      <c r="C46" s="3" t="str">
        <f>HYPERLINK("http://amigo.geneontology.org/amigo/term/GO:0005506","GO:0005506")</f>
        <v>GO:0005506</v>
      </c>
      <c r="D46" t="s">
        <v>1214</v>
      </c>
      <c r="E46">
        <v>1961</v>
      </c>
      <c r="F46">
        <v>10</v>
      </c>
      <c r="G46" s="4">
        <v>5.9988245389393301E-4</v>
      </c>
      <c r="H46">
        <v>7.7384836552317399E-2</v>
      </c>
      <c r="I46" t="s">
        <v>9918</v>
      </c>
    </row>
    <row r="47" spans="1:9" x14ac:dyDescent="0.25">
      <c r="A47" t="s">
        <v>8344</v>
      </c>
      <c r="C47" s="3" t="str">
        <f>HYPERLINK("http://amigo.geneontology.org/amigo/term/GO:0042737","GO:0042737")</f>
        <v>GO:0042737</v>
      </c>
      <c r="D47" t="s">
        <v>1072</v>
      </c>
      <c r="E47">
        <v>473</v>
      </c>
      <c r="F47">
        <v>5</v>
      </c>
      <c r="G47" s="4">
        <v>6.6694231394782597E-4</v>
      </c>
      <c r="H47">
        <v>8.3367789243478194E-2</v>
      </c>
      <c r="I47" t="s">
        <v>9904</v>
      </c>
    </row>
    <row r="48" spans="1:9" x14ac:dyDescent="0.25">
      <c r="A48" t="s">
        <v>8347</v>
      </c>
      <c r="C48" s="3" t="str">
        <f>HYPERLINK("http://amigo.geneontology.org/amigo/term/GO:0016161","GO:0016161")</f>
        <v>GO:0016161</v>
      </c>
      <c r="D48" t="s">
        <v>713</v>
      </c>
      <c r="E48">
        <v>29</v>
      </c>
      <c r="F48">
        <v>2</v>
      </c>
      <c r="G48" s="4">
        <v>8.2804645644684401E-4</v>
      </c>
      <c r="H48">
        <v>0.10102166768651499</v>
      </c>
      <c r="I48" t="s">
        <v>9919</v>
      </c>
    </row>
    <row r="49" spans="1:9" x14ac:dyDescent="0.25">
      <c r="A49" t="s">
        <v>8350</v>
      </c>
      <c r="C49" s="3" t="str">
        <f>HYPERLINK("http://amigo.geneontology.org/amigo/term/GO:0016892","GO:0016892")</f>
        <v>GO:0016892</v>
      </c>
      <c r="D49" t="s">
        <v>9605</v>
      </c>
      <c r="E49">
        <v>30</v>
      </c>
      <c r="F49">
        <v>2</v>
      </c>
      <c r="G49" s="4">
        <v>8.8635103032822101E-4</v>
      </c>
      <c r="H49">
        <v>0.10458942157873</v>
      </c>
      <c r="I49" t="s">
        <v>9601</v>
      </c>
    </row>
    <row r="50" spans="1:9" x14ac:dyDescent="0.25">
      <c r="A50" t="s">
        <v>9920</v>
      </c>
      <c r="C50" s="3" t="str">
        <f>HYPERLINK("http://amigo.geneontology.org/amigo/term/GO:0004674","GO:0004674")</f>
        <v>GO:0004674</v>
      </c>
      <c r="D50" t="s">
        <v>1322</v>
      </c>
      <c r="E50">
        <v>2443</v>
      </c>
      <c r="F50">
        <v>11</v>
      </c>
      <c r="G50" s="4">
        <v>8.8841991899054403E-4</v>
      </c>
      <c r="H50">
        <v>0.10216829068391201</v>
      </c>
      <c r="I50" t="s">
        <v>9921</v>
      </c>
    </row>
    <row r="51" spans="1:9" x14ac:dyDescent="0.25">
      <c r="A51" t="s">
        <v>8356</v>
      </c>
      <c r="C51" s="3" t="str">
        <f>HYPERLINK("http://amigo.geneontology.org/amigo/term/GO:0016705","GO:0016705")</f>
        <v>GO:0016705</v>
      </c>
      <c r="D51" t="s">
        <v>4121</v>
      </c>
      <c r="E51">
        <v>2131</v>
      </c>
      <c r="F51">
        <v>10</v>
      </c>
      <c r="G51">
        <v>1.1250264041751199E-3</v>
      </c>
      <c r="H51">
        <v>0.12600295726761401</v>
      </c>
      <c r="I51" t="s">
        <v>9918</v>
      </c>
    </row>
    <row r="52" spans="1:9" x14ac:dyDescent="0.25">
      <c r="A52" t="s">
        <v>9922</v>
      </c>
      <c r="C52" s="3" t="str">
        <f>HYPERLINK("http://amigo.geneontology.org/amigo/term/GO:0008970","GO:0008970")</f>
        <v>GO:0008970</v>
      </c>
      <c r="D52" t="s">
        <v>134</v>
      </c>
      <c r="E52">
        <v>34</v>
      </c>
      <c r="F52">
        <v>2</v>
      </c>
      <c r="G52">
        <v>1.1387571676030801E-3</v>
      </c>
      <c r="H52">
        <v>0.12526328843633799</v>
      </c>
      <c r="I52" t="s">
        <v>9923</v>
      </c>
    </row>
    <row r="53" spans="1:9" x14ac:dyDescent="0.25">
      <c r="A53" t="s">
        <v>6879</v>
      </c>
      <c r="C53" s="3" t="str">
        <f>HYPERLINK("http://amigo.geneontology.org/amigo/term/GO:0004601","GO:0004601")</f>
        <v>GO:0004601</v>
      </c>
      <c r="D53" t="s">
        <v>640</v>
      </c>
      <c r="E53">
        <v>798</v>
      </c>
      <c r="F53">
        <v>6</v>
      </c>
      <c r="G53">
        <v>1.14246265685313E-3</v>
      </c>
      <c r="H53">
        <v>0.122243504283285</v>
      </c>
      <c r="I53" t="s">
        <v>9924</v>
      </c>
    </row>
    <row r="54" spans="1:9" x14ac:dyDescent="0.25">
      <c r="A54" t="s">
        <v>9925</v>
      </c>
      <c r="C54" s="3" t="str">
        <f>HYPERLINK("http://amigo.geneontology.org/amigo/term/GO:0016684","GO:0016684")</f>
        <v>GO:0016684</v>
      </c>
      <c r="D54" t="s">
        <v>643</v>
      </c>
      <c r="E54">
        <v>799</v>
      </c>
      <c r="F54">
        <v>6</v>
      </c>
      <c r="G54">
        <v>1.1497670267504301E-3</v>
      </c>
      <c r="H54">
        <v>0.120725537808795</v>
      </c>
      <c r="I54" t="s">
        <v>9924</v>
      </c>
    </row>
    <row r="55" spans="1:9" x14ac:dyDescent="0.25">
      <c r="A55" t="s">
        <v>9926</v>
      </c>
      <c r="C55" s="3" t="str">
        <f>HYPERLINK("http://amigo.geneontology.org/amigo/term/GO:0004553","GO:0004553")</f>
        <v>GO:0004553</v>
      </c>
      <c r="D55" t="s">
        <v>174</v>
      </c>
      <c r="E55">
        <v>1509</v>
      </c>
      <c r="F55">
        <v>8</v>
      </c>
      <c r="G55">
        <v>1.6749244860636799E-3</v>
      </c>
      <c r="H55">
        <v>0.17084229757849601</v>
      </c>
      <c r="I55" t="s">
        <v>9927</v>
      </c>
    </row>
    <row r="56" spans="1:9" x14ac:dyDescent="0.25">
      <c r="A56" t="s">
        <v>9928</v>
      </c>
      <c r="C56" s="3" t="str">
        <f>HYPERLINK("http://amigo.geneontology.org/amigo/term/GO:0016894","GO:0016894")</f>
        <v>GO:0016894</v>
      </c>
      <c r="D56" t="s">
        <v>9616</v>
      </c>
      <c r="E56">
        <v>44</v>
      </c>
      <c r="F56">
        <v>2</v>
      </c>
      <c r="G56">
        <v>1.90213792051726E-3</v>
      </c>
      <c r="H56">
        <v>0.19021379205172601</v>
      </c>
      <c r="I56" t="s">
        <v>9601</v>
      </c>
    </row>
    <row r="57" spans="1:9" x14ac:dyDescent="0.25">
      <c r="A57" t="s">
        <v>8402</v>
      </c>
      <c r="C57" s="3" t="str">
        <f>HYPERLINK("http://amigo.geneontology.org/amigo/term/GO:0004497","GO:0004497")</f>
        <v>GO:0004497</v>
      </c>
      <c r="D57" t="s">
        <v>783</v>
      </c>
      <c r="E57">
        <v>891</v>
      </c>
      <c r="F57">
        <v>6</v>
      </c>
      <c r="G57">
        <v>1.9904612782553201E-3</v>
      </c>
      <c r="H57">
        <v>0.19506520526902099</v>
      </c>
      <c r="I57" t="s">
        <v>9929</v>
      </c>
    </row>
    <row r="58" spans="1:9" x14ac:dyDescent="0.25">
      <c r="A58" t="s">
        <v>9930</v>
      </c>
      <c r="C58" s="3" t="str">
        <f>HYPERLINK("http://amigo.geneontology.org/amigo/term/GO:0032559","GO:0032559")</f>
        <v>GO:0032559</v>
      </c>
      <c r="D58" t="s">
        <v>7026</v>
      </c>
      <c r="E58">
        <v>11290</v>
      </c>
      <c r="F58">
        <v>28</v>
      </c>
      <c r="G58">
        <v>2.71848192813579E-3</v>
      </c>
      <c r="H58">
        <v>0.260974265101036</v>
      </c>
      <c r="I58" t="s">
        <v>9931</v>
      </c>
    </row>
    <row r="59" spans="1:9" x14ac:dyDescent="0.25">
      <c r="A59" t="s">
        <v>9932</v>
      </c>
      <c r="C59" s="3" t="str">
        <f>HYPERLINK("http://amigo.geneontology.org/amigo/term/GO:0047259","GO:0047259")</f>
        <v>GO:0047259</v>
      </c>
      <c r="D59" t="s">
        <v>9933</v>
      </c>
      <c r="E59">
        <v>2</v>
      </c>
      <c r="F59">
        <v>1</v>
      </c>
      <c r="G59">
        <v>2.9040167727673399E-3</v>
      </c>
      <c r="H59">
        <v>0.27297757664013</v>
      </c>
      <c r="I59" t="s">
        <v>9934</v>
      </c>
    </row>
    <row r="60" spans="1:9" x14ac:dyDescent="0.25">
      <c r="A60" t="s">
        <v>8403</v>
      </c>
      <c r="C60" s="3" t="str">
        <f>HYPERLINK("http://amigo.geneontology.org/amigo/term/GO:0030554","GO:0030554")</f>
        <v>GO:0030554</v>
      </c>
      <c r="D60" t="s">
        <v>7029</v>
      </c>
      <c r="E60">
        <v>11378</v>
      </c>
      <c r="F60">
        <v>28</v>
      </c>
      <c r="G60">
        <v>3.0438966465679501E-3</v>
      </c>
      <c r="H60">
        <v>0.28003849148425097</v>
      </c>
      <c r="I60" t="s">
        <v>9931</v>
      </c>
    </row>
    <row r="61" spans="1:9" x14ac:dyDescent="0.25">
      <c r="A61" t="s">
        <v>8404</v>
      </c>
      <c r="C61" s="3" t="str">
        <f>HYPERLINK("http://amigo.geneontology.org/amigo/term/GO:0032555","GO:0032555")</f>
        <v>GO:0032555</v>
      </c>
      <c r="D61" t="s">
        <v>7046</v>
      </c>
      <c r="E61">
        <v>11962</v>
      </c>
      <c r="F61">
        <v>29</v>
      </c>
      <c r="G61">
        <v>3.14571355597398E-3</v>
      </c>
      <c r="H61">
        <v>0.28311422003765802</v>
      </c>
      <c r="I61" t="s">
        <v>9935</v>
      </c>
    </row>
    <row r="62" spans="1:9" x14ac:dyDescent="0.25">
      <c r="A62" t="s">
        <v>8409</v>
      </c>
      <c r="C62" s="3" t="str">
        <f>HYPERLINK("http://amigo.geneontology.org/amigo/term/GO:0006979","GO:0006979")</f>
        <v>GO:0006979</v>
      </c>
      <c r="D62" t="s">
        <v>985</v>
      </c>
      <c r="E62">
        <v>985</v>
      </c>
      <c r="F62">
        <v>6</v>
      </c>
      <c r="G62">
        <v>3.2628443755111599E-3</v>
      </c>
      <c r="H62">
        <v>0.28713030504498199</v>
      </c>
      <c r="I62" t="s">
        <v>9924</v>
      </c>
    </row>
    <row r="63" spans="1:9" x14ac:dyDescent="0.25">
      <c r="A63" t="s">
        <v>9936</v>
      </c>
      <c r="C63" s="3" t="str">
        <f>HYPERLINK("http://amigo.geneontology.org/amigo/term/GO:0016798","GO:0016798")</f>
        <v>GO:0016798</v>
      </c>
      <c r="D63" t="s">
        <v>177</v>
      </c>
      <c r="E63">
        <v>1691</v>
      </c>
      <c r="F63">
        <v>8</v>
      </c>
      <c r="G63">
        <v>3.3622963644738902E-3</v>
      </c>
      <c r="H63">
        <v>0.28915748734475399</v>
      </c>
      <c r="I63" t="s">
        <v>9927</v>
      </c>
    </row>
    <row r="64" spans="1:9" x14ac:dyDescent="0.25">
      <c r="A64" t="s">
        <v>9937</v>
      </c>
      <c r="C64" s="3" t="str">
        <f>HYPERLINK("http://amigo.geneontology.org/amigo/term/GO:0017076","GO:0017076")</f>
        <v>GO:0017076</v>
      </c>
      <c r="D64" t="s">
        <v>7057</v>
      </c>
      <c r="E64">
        <v>12052</v>
      </c>
      <c r="F64">
        <v>29</v>
      </c>
      <c r="G64">
        <v>3.5142509966133799E-3</v>
      </c>
      <c r="H64">
        <v>0.29871133471213701</v>
      </c>
      <c r="I64" t="s">
        <v>9935</v>
      </c>
    </row>
    <row r="65" spans="1:9" x14ac:dyDescent="0.25">
      <c r="A65" t="s">
        <v>8416</v>
      </c>
      <c r="C65" s="3" t="str">
        <f>HYPERLINK("http://amigo.geneontology.org/amigo/term/GO:0032553","GO:0032553")</f>
        <v>GO:0032553</v>
      </c>
      <c r="D65" t="s">
        <v>7031</v>
      </c>
      <c r="E65">
        <v>12119</v>
      </c>
      <c r="F65">
        <v>29</v>
      </c>
      <c r="G65">
        <v>3.81213595502189E-3</v>
      </c>
      <c r="H65">
        <v>0.31640728426681702</v>
      </c>
      <c r="I65" t="s">
        <v>9935</v>
      </c>
    </row>
    <row r="66" spans="1:9" x14ac:dyDescent="0.25">
      <c r="A66" t="s">
        <v>6880</v>
      </c>
      <c r="C66" s="3" t="str">
        <f>HYPERLINK("http://amigo.geneontology.org/amigo/term/GO:0016160","GO:0016160")</f>
        <v>GO:0016160</v>
      </c>
      <c r="D66" t="s">
        <v>692</v>
      </c>
      <c r="E66">
        <v>65</v>
      </c>
      <c r="F66">
        <v>2</v>
      </c>
      <c r="G66">
        <v>4.0999877278570396E-3</v>
      </c>
      <c r="H66">
        <v>0.33619899368427703</v>
      </c>
      <c r="I66" t="s">
        <v>9919</v>
      </c>
    </row>
    <row r="67" spans="1:9" x14ac:dyDescent="0.25">
      <c r="A67" t="s">
        <v>9938</v>
      </c>
      <c r="C67" s="3" t="str">
        <f>HYPERLINK("http://amigo.geneontology.org/amigo/term/GO:0097367","GO:0097367")</f>
        <v>GO:0097367</v>
      </c>
      <c r="D67" t="s">
        <v>7019</v>
      </c>
      <c r="E67">
        <v>12255</v>
      </c>
      <c r="F67">
        <v>29</v>
      </c>
      <c r="G67">
        <v>4.4838206520359299E-3</v>
      </c>
      <c r="H67">
        <v>0.35870565216287398</v>
      </c>
      <c r="I67" t="s">
        <v>9935</v>
      </c>
    </row>
    <row r="68" spans="1:9" x14ac:dyDescent="0.25">
      <c r="A68" t="s">
        <v>7646</v>
      </c>
      <c r="C68" s="3" t="str">
        <f>HYPERLINK("http://amigo.geneontology.org/amigo/term/GO:0071704","GO:0071704")</f>
        <v>GO:0071704</v>
      </c>
      <c r="D68" t="s">
        <v>472</v>
      </c>
      <c r="E68">
        <v>24369</v>
      </c>
      <c r="F68">
        <v>49</v>
      </c>
      <c r="G68">
        <v>4.6242562076602997E-3</v>
      </c>
      <c r="H68">
        <v>0.36531624040516403</v>
      </c>
      <c r="I68" t="s">
        <v>9939</v>
      </c>
    </row>
    <row r="69" spans="1:9" x14ac:dyDescent="0.25">
      <c r="A69" t="s">
        <v>9685</v>
      </c>
      <c r="C69" s="3" t="str">
        <f>HYPERLINK("http://amigo.geneontology.org/amigo/term/GO:0016740","GO:0016740")</f>
        <v>GO:0016740</v>
      </c>
      <c r="D69" t="s">
        <v>855</v>
      </c>
      <c r="E69">
        <v>12925</v>
      </c>
      <c r="F69">
        <v>30</v>
      </c>
      <c r="G69">
        <v>5.0336346321157403E-3</v>
      </c>
      <c r="H69">
        <v>0.38758986667291201</v>
      </c>
      <c r="I69" t="s">
        <v>9940</v>
      </c>
    </row>
    <row r="70" spans="1:9" x14ac:dyDescent="0.25">
      <c r="A70" t="s">
        <v>7680</v>
      </c>
      <c r="C70" s="3" t="str">
        <f>HYPERLINK("http://amigo.geneontology.org/amigo/term/GO:0044238","GO:0044238")</f>
        <v>GO:0044238</v>
      </c>
      <c r="D70" t="s">
        <v>612</v>
      </c>
      <c r="E70">
        <v>23308</v>
      </c>
      <c r="F70">
        <v>47</v>
      </c>
      <c r="G70">
        <v>5.5630642401066797E-3</v>
      </c>
      <c r="H70">
        <v>0.42279288224810802</v>
      </c>
      <c r="I70" t="s">
        <v>9941</v>
      </c>
    </row>
    <row r="71" spans="1:9" x14ac:dyDescent="0.25">
      <c r="A71" t="s">
        <v>9942</v>
      </c>
      <c r="C71" s="3" t="str">
        <f>HYPERLINK("http://amigo.geneontology.org/amigo/term/GO:0016621","GO:0016621")</f>
        <v>GO:0016621</v>
      </c>
      <c r="D71" t="s">
        <v>9943</v>
      </c>
      <c r="E71">
        <v>4</v>
      </c>
      <c r="F71">
        <v>1</v>
      </c>
      <c r="G71">
        <v>5.7996753123076804E-3</v>
      </c>
      <c r="H71">
        <v>0.43497564842307601</v>
      </c>
      <c r="I71" t="s">
        <v>9944</v>
      </c>
    </row>
    <row r="72" spans="1:9" x14ac:dyDescent="0.25">
      <c r="A72" t="s">
        <v>7694</v>
      </c>
      <c r="C72" s="3" t="str">
        <f>HYPERLINK("http://amigo.geneontology.org/amigo/term/GO:0090502","GO:0090502")</f>
        <v>GO:0090502</v>
      </c>
      <c r="D72" t="s">
        <v>9647</v>
      </c>
      <c r="E72">
        <v>78</v>
      </c>
      <c r="F72">
        <v>2</v>
      </c>
      <c r="G72">
        <v>5.84711044384182E-3</v>
      </c>
      <c r="H72">
        <v>0.432686172844294</v>
      </c>
      <c r="I72" t="s">
        <v>9601</v>
      </c>
    </row>
    <row r="73" spans="1:9" x14ac:dyDescent="0.25">
      <c r="A73" t="s">
        <v>8449</v>
      </c>
      <c r="C73" s="3" t="str">
        <f>HYPERLINK("http://amigo.geneontology.org/amigo/term/GO:0044267","GO:0044267")</f>
        <v>GO:0044267</v>
      </c>
      <c r="D73" t="s">
        <v>7194</v>
      </c>
      <c r="E73">
        <v>10316</v>
      </c>
      <c r="F73">
        <v>25</v>
      </c>
      <c r="G73">
        <v>6.4755186969841999E-3</v>
      </c>
      <c r="H73">
        <v>0.466237346182862</v>
      </c>
      <c r="I73" t="s">
        <v>9892</v>
      </c>
    </row>
    <row r="74" spans="1:9" x14ac:dyDescent="0.25">
      <c r="A74" t="s">
        <v>9697</v>
      </c>
      <c r="C74" s="3" t="str">
        <f>HYPERLINK("http://amigo.geneontology.org/amigo/term/GO:0019187","GO:0019187")</f>
        <v>GO:0019187</v>
      </c>
      <c r="D74" t="s">
        <v>9945</v>
      </c>
      <c r="E74">
        <v>5</v>
      </c>
      <c r="F74">
        <v>1</v>
      </c>
      <c r="G74">
        <v>7.2443776982564403E-3</v>
      </c>
      <c r="H74">
        <v>0.50710643887795004</v>
      </c>
      <c r="I74" t="s">
        <v>9934</v>
      </c>
    </row>
    <row r="75" spans="1:9" x14ac:dyDescent="0.25">
      <c r="A75" t="s">
        <v>9698</v>
      </c>
      <c r="C75" s="3" t="str">
        <f>HYPERLINK("http://amigo.geneontology.org/amigo/term/GO:0051753","GO:0051753")</f>
        <v>GO:0051753</v>
      </c>
      <c r="D75" t="s">
        <v>9946</v>
      </c>
      <c r="E75">
        <v>5</v>
      </c>
      <c r="F75">
        <v>1</v>
      </c>
      <c r="G75">
        <v>7.2443776982564403E-3</v>
      </c>
      <c r="H75">
        <v>0.51435081657620696</v>
      </c>
      <c r="I75" t="s">
        <v>9934</v>
      </c>
    </row>
    <row r="76" spans="1:9" x14ac:dyDescent="0.25">
      <c r="A76" t="s">
        <v>9947</v>
      </c>
      <c r="C76" s="3" t="str">
        <f>HYPERLINK("http://amigo.geneontology.org/amigo/term/GO:0043168","GO:0043168")</f>
        <v>GO:0043168</v>
      </c>
      <c r="D76" t="s">
        <v>7011</v>
      </c>
      <c r="E76">
        <v>13483</v>
      </c>
      <c r="F76">
        <v>30</v>
      </c>
      <c r="G76">
        <v>9.2143690233916706E-3</v>
      </c>
      <c r="H76">
        <v>0.63579146261402497</v>
      </c>
      <c r="I76" t="s">
        <v>9948</v>
      </c>
    </row>
    <row r="77" spans="1:9" x14ac:dyDescent="0.25">
      <c r="A77" t="s">
        <v>9949</v>
      </c>
      <c r="C77" s="3" t="str">
        <f>HYPERLINK("http://amigo.geneontology.org/amigo/term/GO:0044237","GO:0044237")</f>
        <v>GO:0044237</v>
      </c>
      <c r="D77" t="s">
        <v>6872</v>
      </c>
      <c r="E77">
        <v>21432</v>
      </c>
      <c r="F77">
        <v>43</v>
      </c>
      <c r="G77">
        <v>9.7194822845682594E-3</v>
      </c>
      <c r="H77">
        <v>0.66092479535064197</v>
      </c>
      <c r="I77" t="s">
        <v>9950</v>
      </c>
    </row>
    <row r="78" spans="1:9" x14ac:dyDescent="0.25">
      <c r="A78" t="s">
        <v>7729</v>
      </c>
      <c r="C78" s="3" t="str">
        <f>HYPERLINK("http://amigo.geneontology.org/amigo/term/GO:0044208","GO:0044208")</f>
        <v>GO:0044208</v>
      </c>
      <c r="D78" t="s">
        <v>9951</v>
      </c>
      <c r="E78">
        <v>7</v>
      </c>
      <c r="F78">
        <v>1</v>
      </c>
      <c r="G78">
        <v>1.0127543568217901E-2</v>
      </c>
      <c r="H78">
        <v>0.67854541907060095</v>
      </c>
      <c r="I78" t="s">
        <v>9952</v>
      </c>
    </row>
    <row r="79" spans="1:9" x14ac:dyDescent="0.25">
      <c r="A79" t="s">
        <v>9953</v>
      </c>
      <c r="C79" s="3" t="str">
        <f>HYPERLINK("http://amigo.geneontology.org/amigo/term/GO:0019538","GO:0019538")</f>
        <v>GO:0019538</v>
      </c>
      <c r="D79" t="s">
        <v>7094</v>
      </c>
      <c r="E79">
        <v>12454</v>
      </c>
      <c r="F79">
        <v>28</v>
      </c>
      <c r="G79">
        <v>1.05994052943115E-2</v>
      </c>
      <c r="H79">
        <v>0.69956074942456503</v>
      </c>
      <c r="I79" t="s">
        <v>9912</v>
      </c>
    </row>
    <row r="80" spans="1:9" x14ac:dyDescent="0.25">
      <c r="A80" t="s">
        <v>9952</v>
      </c>
      <c r="C80" s="3" t="str">
        <f>HYPERLINK("http://amigo.geneontology.org/amigo/term/GO:0090501","GO:0090501")</f>
        <v>GO:0090501</v>
      </c>
      <c r="D80" t="s">
        <v>9661</v>
      </c>
      <c r="E80">
        <v>107</v>
      </c>
      <c r="F80">
        <v>2</v>
      </c>
      <c r="G80">
        <v>1.0744258337530699E-2</v>
      </c>
      <c r="H80">
        <v>0.69837679193949997</v>
      </c>
      <c r="I80" t="s">
        <v>9601</v>
      </c>
    </row>
    <row r="81" spans="1:9" x14ac:dyDescent="0.25">
      <c r="A81" t="s">
        <v>7739</v>
      </c>
      <c r="C81" s="3" t="str">
        <f>HYPERLINK("http://amigo.geneontology.org/amigo/term/GO:1901363","GO:1901363")</f>
        <v>GO:1901363</v>
      </c>
      <c r="D81" t="s">
        <v>6873</v>
      </c>
      <c r="E81">
        <v>27367</v>
      </c>
      <c r="F81">
        <v>52</v>
      </c>
      <c r="G81">
        <v>1.11223851712748E-2</v>
      </c>
      <c r="H81">
        <v>0.71183265096158799</v>
      </c>
      <c r="I81" t="s">
        <v>9954</v>
      </c>
    </row>
    <row r="82" spans="1:9" x14ac:dyDescent="0.25">
      <c r="A82" t="s">
        <v>9955</v>
      </c>
      <c r="C82" s="3" t="str">
        <f>HYPERLINK("http://amigo.geneontology.org/amigo/term/GO:0004620","GO:0004620")</f>
        <v>GO:0004620</v>
      </c>
      <c r="D82" t="s">
        <v>421</v>
      </c>
      <c r="E82">
        <v>109</v>
      </c>
      <c r="F82">
        <v>2</v>
      </c>
      <c r="G82">
        <v>1.1130634562567E-2</v>
      </c>
      <c r="H82">
        <v>0.701229977441722</v>
      </c>
      <c r="I82" t="s">
        <v>9923</v>
      </c>
    </row>
    <row r="83" spans="1:9" x14ac:dyDescent="0.25">
      <c r="A83" t="s">
        <v>9956</v>
      </c>
      <c r="C83" s="3" t="str">
        <f>HYPERLINK("http://amigo.geneontology.org/amigo/term/GO:0097159","GO:0097159")</f>
        <v>GO:0097159</v>
      </c>
      <c r="D83" t="s">
        <v>6874</v>
      </c>
      <c r="E83">
        <v>27370</v>
      </c>
      <c r="F83">
        <v>52</v>
      </c>
      <c r="G83">
        <v>1.1148104958847001E-2</v>
      </c>
      <c r="H83">
        <v>0.69118250744851795</v>
      </c>
      <c r="I83" t="s">
        <v>9954</v>
      </c>
    </row>
    <row r="84" spans="1:9" x14ac:dyDescent="0.25">
      <c r="A84" t="s">
        <v>9710</v>
      </c>
      <c r="C84" s="3" t="str">
        <f>HYPERLINK("http://amigo.geneontology.org/amigo/term/GO:0004019","GO:0004019")</f>
        <v>GO:0004019</v>
      </c>
      <c r="D84" t="s">
        <v>9957</v>
      </c>
      <c r="E84">
        <v>8</v>
      </c>
      <c r="F84">
        <v>1</v>
      </c>
      <c r="G84">
        <v>1.15660129877938E-2</v>
      </c>
      <c r="H84">
        <v>0.693960779267631</v>
      </c>
      <c r="I84" t="s">
        <v>9952</v>
      </c>
    </row>
    <row r="85" spans="1:9" x14ac:dyDescent="0.25">
      <c r="A85" t="s">
        <v>9958</v>
      </c>
      <c r="C85" s="3" t="str">
        <f>HYPERLINK("http://amigo.geneontology.org/amigo/term/GO:0010192","GO:0010192")</f>
        <v>GO:0010192</v>
      </c>
      <c r="D85" t="s">
        <v>9959</v>
      </c>
      <c r="E85">
        <v>8</v>
      </c>
      <c r="F85">
        <v>1</v>
      </c>
      <c r="G85">
        <v>1.15660129877938E-2</v>
      </c>
      <c r="H85">
        <v>0.70552679225542503</v>
      </c>
      <c r="I85" t="s">
        <v>9934</v>
      </c>
    </row>
    <row r="86" spans="1:9" x14ac:dyDescent="0.25">
      <c r="A86" t="s">
        <v>8480</v>
      </c>
      <c r="C86" s="3" t="str">
        <f>HYPERLINK("http://amigo.geneontology.org/amigo/term/GO:0048359","GO:0048359")</f>
        <v>GO:0048359</v>
      </c>
      <c r="D86" t="s">
        <v>9960</v>
      </c>
      <c r="E86">
        <v>8</v>
      </c>
      <c r="F86">
        <v>1</v>
      </c>
      <c r="G86">
        <v>1.15660129877938E-2</v>
      </c>
      <c r="H86">
        <v>0.70552679225542503</v>
      </c>
      <c r="I86" t="s">
        <v>9934</v>
      </c>
    </row>
    <row r="87" spans="1:9" x14ac:dyDescent="0.25">
      <c r="A87" t="s">
        <v>9944</v>
      </c>
      <c r="C87" s="3" t="str">
        <f>HYPERLINK("http://amigo.geneontology.org/amigo/term/GO:0019825","GO:0019825")</f>
        <v>GO:0019825</v>
      </c>
      <c r="D87" t="s">
        <v>7314</v>
      </c>
      <c r="E87">
        <v>10</v>
      </c>
      <c r="F87">
        <v>1</v>
      </c>
      <c r="G87">
        <v>1.44367396019352E-2</v>
      </c>
      <c r="H87">
        <v>0.83733089691224205</v>
      </c>
      <c r="I87" t="s">
        <v>9576</v>
      </c>
    </row>
    <row r="88" spans="1:9" x14ac:dyDescent="0.25">
      <c r="A88" t="s">
        <v>9961</v>
      </c>
      <c r="C88" s="3" t="str">
        <f>HYPERLINK("http://amigo.geneontology.org/amigo/term/GO:0010191","GO:0010191")</f>
        <v>GO:0010191</v>
      </c>
      <c r="D88" t="s">
        <v>9962</v>
      </c>
      <c r="E88">
        <v>10</v>
      </c>
      <c r="F88">
        <v>1</v>
      </c>
      <c r="G88">
        <v>1.44367396019352E-2</v>
      </c>
      <c r="H88">
        <v>0.85176763651417697</v>
      </c>
      <c r="I88" t="s">
        <v>9934</v>
      </c>
    </row>
    <row r="89" spans="1:9" x14ac:dyDescent="0.25">
      <c r="A89" t="s">
        <v>9963</v>
      </c>
      <c r="C89" s="3" t="str">
        <f>HYPERLINK("http://amigo.geneontology.org/amigo/term/GO:0036094","GO:0036094")</f>
        <v>GO:0036094</v>
      </c>
      <c r="D89" t="s">
        <v>7049</v>
      </c>
      <c r="E89">
        <v>14544</v>
      </c>
      <c r="F89">
        <v>31</v>
      </c>
      <c r="G89">
        <v>1.46377873016266E-2</v>
      </c>
      <c r="H89">
        <v>0.83435387619271595</v>
      </c>
      <c r="I89" t="s">
        <v>9964</v>
      </c>
    </row>
    <row r="90" spans="1:9" x14ac:dyDescent="0.25">
      <c r="A90" t="s">
        <v>9712</v>
      </c>
      <c r="C90" s="3" t="str">
        <f>HYPERLINK("http://amigo.geneontology.org/amigo/term/GO:0016682","GO:0016682")</f>
        <v>GO:0016682</v>
      </c>
      <c r="D90" t="s">
        <v>864</v>
      </c>
      <c r="E90">
        <v>126</v>
      </c>
      <c r="F90">
        <v>2</v>
      </c>
      <c r="G90">
        <v>1.4655888298568899E-2</v>
      </c>
      <c r="H90">
        <v>0.83538563301843205</v>
      </c>
      <c r="I90" t="s">
        <v>9678</v>
      </c>
    </row>
    <row r="91" spans="1:9" x14ac:dyDescent="0.25">
      <c r="A91" t="s">
        <v>9965</v>
      </c>
      <c r="C91" s="3" t="str">
        <f>HYPERLINK("http://amigo.geneontology.org/amigo/term/GO:0000272","GO:0000272")</f>
        <v>GO:0000272</v>
      </c>
      <c r="D91" t="s">
        <v>290</v>
      </c>
      <c r="E91">
        <v>127</v>
      </c>
      <c r="F91">
        <v>2</v>
      </c>
      <c r="G91">
        <v>1.4876410396034601E-2</v>
      </c>
      <c r="H91">
        <v>0.83307898217793996</v>
      </c>
      <c r="I91" t="s">
        <v>9919</v>
      </c>
    </row>
    <row r="92" spans="1:9" x14ac:dyDescent="0.25">
      <c r="A92" t="s">
        <v>9966</v>
      </c>
      <c r="C92" s="3" t="str">
        <f>HYPERLINK("http://amigo.geneontology.org/amigo/term/GO:1901265","GO:1901265")</f>
        <v>GO:1901265</v>
      </c>
      <c r="D92" t="s">
        <v>7052</v>
      </c>
      <c r="E92">
        <v>13996</v>
      </c>
      <c r="F92">
        <v>30</v>
      </c>
      <c r="G92">
        <v>1.53050904837836E-2</v>
      </c>
      <c r="H92">
        <v>0.841779976608101</v>
      </c>
      <c r="I92" t="s">
        <v>9948</v>
      </c>
    </row>
    <row r="93" spans="1:9" x14ac:dyDescent="0.25">
      <c r="A93" t="s">
        <v>8489</v>
      </c>
      <c r="C93" s="3" t="str">
        <f>HYPERLINK("http://amigo.geneontology.org/amigo/term/GO:0000166","GO:0000166")</f>
        <v>GO:0000166</v>
      </c>
      <c r="D93" t="s">
        <v>7055</v>
      </c>
      <c r="E93">
        <v>13996</v>
      </c>
      <c r="F93">
        <v>30</v>
      </c>
      <c r="G93">
        <v>1.53050904837836E-2</v>
      </c>
      <c r="H93">
        <v>0.841779976608101</v>
      </c>
      <c r="I93" t="s">
        <v>9948</v>
      </c>
    </row>
    <row r="94" spans="1:9" x14ac:dyDescent="0.25">
      <c r="A94" t="s">
        <v>9967</v>
      </c>
      <c r="C94" s="3" t="str">
        <f>HYPERLINK("http://amigo.geneontology.org/amigo/term/GO:0009056","GO:0009056")</f>
        <v>GO:0009056</v>
      </c>
      <c r="D94" t="s">
        <v>5309</v>
      </c>
      <c r="E94">
        <v>2670</v>
      </c>
      <c r="F94">
        <v>9</v>
      </c>
      <c r="G94">
        <v>1.6054755305565199E-2</v>
      </c>
      <c r="H94">
        <v>0.86695678650052199</v>
      </c>
      <c r="I94" t="s">
        <v>9968</v>
      </c>
    </row>
    <row r="95" spans="1:9" x14ac:dyDescent="0.25">
      <c r="A95" t="s">
        <v>8500</v>
      </c>
      <c r="C95" s="3" t="str">
        <f>HYPERLINK("http://amigo.geneontology.org/amigo/term/GO:1901564","GO:1901564")</f>
        <v>GO:1901564</v>
      </c>
      <c r="D95" t="s">
        <v>7043</v>
      </c>
      <c r="E95">
        <v>15308</v>
      </c>
      <c r="F95">
        <v>32</v>
      </c>
      <c r="G95">
        <v>1.7013288800835701E-2</v>
      </c>
      <c r="H95">
        <v>0.901704306444296</v>
      </c>
      <c r="I95" t="s">
        <v>9969</v>
      </c>
    </row>
    <row r="96" spans="1:9" x14ac:dyDescent="0.25">
      <c r="A96" t="s">
        <v>9970</v>
      </c>
      <c r="C96" s="3" t="str">
        <f>HYPERLINK("http://amigo.geneontology.org/amigo/term/GO:0046033","GO:0046033")</f>
        <v>GO:0046033</v>
      </c>
      <c r="D96" t="s">
        <v>9971</v>
      </c>
      <c r="E96">
        <v>12</v>
      </c>
      <c r="F96">
        <v>1</v>
      </c>
      <c r="G96">
        <v>1.7299202940971301E-2</v>
      </c>
      <c r="H96">
        <v>0.88225934998953803</v>
      </c>
      <c r="I96" t="s">
        <v>9952</v>
      </c>
    </row>
    <row r="97" spans="1:9" x14ac:dyDescent="0.25">
      <c r="A97" t="s">
        <v>8503</v>
      </c>
      <c r="C97" s="3" t="str">
        <f>HYPERLINK("http://amigo.geneontology.org/amigo/term/GO:0006167","GO:0006167")</f>
        <v>GO:0006167</v>
      </c>
      <c r="D97" t="s">
        <v>9972</v>
      </c>
      <c r="E97">
        <v>12</v>
      </c>
      <c r="F97">
        <v>1</v>
      </c>
      <c r="G97">
        <v>1.7299202940971301E-2</v>
      </c>
      <c r="H97">
        <v>0.89955855293050901</v>
      </c>
      <c r="I97" t="s">
        <v>9952</v>
      </c>
    </row>
    <row r="98" spans="1:9" x14ac:dyDescent="0.25">
      <c r="A98" t="s">
        <v>9720</v>
      </c>
      <c r="C98" s="3" t="str">
        <f>HYPERLINK("http://amigo.geneontology.org/amigo/term/GO:0008792","GO:0008792")</f>
        <v>GO:0008792</v>
      </c>
      <c r="D98" t="s">
        <v>9674</v>
      </c>
      <c r="E98">
        <v>12</v>
      </c>
      <c r="F98">
        <v>1</v>
      </c>
      <c r="G98">
        <v>1.7299202940971301E-2</v>
      </c>
      <c r="H98">
        <v>0.91685775587148099</v>
      </c>
      <c r="I98" t="s">
        <v>9675</v>
      </c>
    </row>
    <row r="99" spans="1:9" x14ac:dyDescent="0.25">
      <c r="A99" t="s">
        <v>8504</v>
      </c>
      <c r="C99" s="3" t="str">
        <f>HYPERLINK("http://amigo.geneontology.org/amigo/term/GO:0016679","GO:0016679")</f>
        <v>GO:0016679</v>
      </c>
      <c r="D99" t="s">
        <v>1062</v>
      </c>
      <c r="E99">
        <v>147</v>
      </c>
      <c r="F99">
        <v>2</v>
      </c>
      <c r="G99">
        <v>1.9581673767374401E-2</v>
      </c>
      <c r="H99">
        <v>0.99866536213609802</v>
      </c>
      <c r="I99" t="s">
        <v>9678</v>
      </c>
    </row>
    <row r="100" spans="1:9" x14ac:dyDescent="0.25">
      <c r="A100" t="s">
        <v>8747</v>
      </c>
      <c r="C100" s="3" t="str">
        <f>HYPERLINK("http://amigo.geneontology.org/amigo/term/GO:0009116","GO:0009116")</f>
        <v>GO:0009116</v>
      </c>
      <c r="D100" t="s">
        <v>6161</v>
      </c>
      <c r="E100">
        <v>160</v>
      </c>
      <c r="F100">
        <v>2</v>
      </c>
      <c r="G100">
        <v>2.2930472257667499E-2</v>
      </c>
      <c r="H100">
        <v>1</v>
      </c>
      <c r="I100" t="s">
        <v>9973</v>
      </c>
    </row>
    <row r="101" spans="1:9" x14ac:dyDescent="0.25">
      <c r="A101" t="s">
        <v>9722</v>
      </c>
      <c r="C101" s="3" t="str">
        <f>HYPERLINK("http://amigo.geneontology.org/amigo/term/GO:0015929","GO:0015929")</f>
        <v>GO:0015929</v>
      </c>
      <c r="D101" t="s">
        <v>9974</v>
      </c>
      <c r="E101">
        <v>16</v>
      </c>
      <c r="F101">
        <v>1</v>
      </c>
      <c r="G101">
        <v>2.2999434012309201E-2</v>
      </c>
      <c r="H101">
        <v>1</v>
      </c>
      <c r="I101" t="s">
        <v>9917</v>
      </c>
    </row>
    <row r="102" spans="1:9" x14ac:dyDescent="0.25">
      <c r="A102" t="s">
        <v>9975</v>
      </c>
      <c r="C102" s="3" t="str">
        <f>HYPERLINK("http://amigo.geneontology.org/amigo/term/GO:0004563","GO:0004563")</f>
        <v>GO:0004563</v>
      </c>
      <c r="D102" t="s">
        <v>9976</v>
      </c>
      <c r="E102">
        <v>16</v>
      </c>
      <c r="F102">
        <v>1</v>
      </c>
      <c r="G102">
        <v>2.2999434012309201E-2</v>
      </c>
      <c r="H102">
        <v>1</v>
      </c>
      <c r="I102" t="s">
        <v>9917</v>
      </c>
    </row>
    <row r="103" spans="1:9" x14ac:dyDescent="0.25">
      <c r="A103" t="s">
        <v>9977</v>
      </c>
      <c r="C103" s="3" t="str">
        <f>HYPERLINK("http://amigo.geneontology.org/amigo/term/GO:0016787","GO:0016787")</f>
        <v>GO:0016787</v>
      </c>
      <c r="D103" t="s">
        <v>98</v>
      </c>
      <c r="E103">
        <v>9814</v>
      </c>
      <c r="F103">
        <v>22</v>
      </c>
      <c r="G103">
        <v>2.47889611298449E-2</v>
      </c>
      <c r="H103">
        <v>1</v>
      </c>
      <c r="I103" t="s">
        <v>9978</v>
      </c>
    </row>
    <row r="104" spans="1:9" x14ac:dyDescent="0.25">
      <c r="A104" t="s">
        <v>8517</v>
      </c>
      <c r="C104" s="3" t="str">
        <f>HYPERLINK("http://amigo.geneontology.org/amigo/term/GO:0004521","GO:0004521")</f>
        <v>GO:0004521</v>
      </c>
      <c r="D104" t="s">
        <v>9702</v>
      </c>
      <c r="E104">
        <v>168</v>
      </c>
      <c r="F104">
        <v>2</v>
      </c>
      <c r="G104">
        <v>2.5100019911794998E-2</v>
      </c>
      <c r="H104">
        <v>1</v>
      </c>
      <c r="I104" t="s">
        <v>9601</v>
      </c>
    </row>
    <row r="105" spans="1:9" x14ac:dyDescent="0.25">
      <c r="A105" t="s">
        <v>8749</v>
      </c>
      <c r="C105" s="3" t="str">
        <f>HYPERLINK("http://amigo.geneontology.org/amigo/term/GO:0045430","GO:0045430")</f>
        <v>GO:0045430</v>
      </c>
      <c r="D105" t="s">
        <v>9979</v>
      </c>
      <c r="E105">
        <v>18</v>
      </c>
      <c r="F105">
        <v>1</v>
      </c>
      <c r="G105">
        <v>2.5837248688258901E-2</v>
      </c>
      <c r="H105">
        <v>1</v>
      </c>
      <c r="I105" t="s">
        <v>8633</v>
      </c>
    </row>
    <row r="106" spans="1:9" x14ac:dyDescent="0.25">
      <c r="A106" t="s">
        <v>9729</v>
      </c>
      <c r="C106" s="3" t="str">
        <f>HYPERLINK("http://amigo.geneontology.org/amigo/term/GO:0010277","GO:0010277")</f>
        <v>GO:0010277</v>
      </c>
      <c r="D106" t="s">
        <v>9980</v>
      </c>
      <c r="E106">
        <v>19</v>
      </c>
      <c r="F106">
        <v>1</v>
      </c>
      <c r="G106">
        <v>2.725309104997E-2</v>
      </c>
      <c r="H106">
        <v>1</v>
      </c>
      <c r="I106" t="s">
        <v>9981</v>
      </c>
    </row>
    <row r="107" spans="1:9" x14ac:dyDescent="0.25">
      <c r="A107" t="s">
        <v>6881</v>
      </c>
      <c r="C107" s="3" t="str">
        <f>HYPERLINK("http://amigo.geneontology.org/amigo/term/GO:0006527","GO:0006527")</f>
        <v>GO:0006527</v>
      </c>
      <c r="D107" t="s">
        <v>9694</v>
      </c>
      <c r="E107">
        <v>19</v>
      </c>
      <c r="F107">
        <v>1</v>
      </c>
      <c r="G107">
        <v>2.725309104997E-2</v>
      </c>
      <c r="H107">
        <v>1</v>
      </c>
      <c r="I107" t="s">
        <v>9675</v>
      </c>
    </row>
    <row r="108" spans="1:9" x14ac:dyDescent="0.25">
      <c r="A108" t="s">
        <v>8529</v>
      </c>
      <c r="C108" s="3" t="str">
        <f>HYPERLINK("http://amigo.geneontology.org/amigo/term/GO:0010214","GO:0010214")</f>
        <v>GO:0010214</v>
      </c>
      <c r="D108" t="s">
        <v>9982</v>
      </c>
      <c r="E108">
        <v>20</v>
      </c>
      <c r="F108">
        <v>1</v>
      </c>
      <c r="G108">
        <v>2.8666893980830201E-2</v>
      </c>
      <c r="H108">
        <v>1</v>
      </c>
      <c r="I108" t="s">
        <v>9934</v>
      </c>
    </row>
    <row r="109" spans="1:9" x14ac:dyDescent="0.25">
      <c r="A109" t="s">
        <v>9983</v>
      </c>
      <c r="C109" s="3" t="str">
        <f>HYPERLINK("http://amigo.geneontology.org/amigo/term/GO:0017144","GO:0017144")</f>
        <v>GO:0017144</v>
      </c>
      <c r="D109" t="s">
        <v>4310</v>
      </c>
      <c r="E109">
        <v>1595</v>
      </c>
      <c r="F109">
        <v>6</v>
      </c>
      <c r="G109">
        <v>2.9299401630088699E-2</v>
      </c>
      <c r="H109">
        <v>1</v>
      </c>
      <c r="I109" t="s">
        <v>9984</v>
      </c>
    </row>
    <row r="110" spans="1:9" x14ac:dyDescent="0.25">
      <c r="A110" t="s">
        <v>8530</v>
      </c>
      <c r="C110" s="3" t="str">
        <f>HYPERLINK("http://amigo.geneontology.org/amigo/term/GO:0016872","GO:0016872")</f>
        <v>GO:0016872</v>
      </c>
      <c r="D110" t="s">
        <v>1364</v>
      </c>
      <c r="E110">
        <v>21</v>
      </c>
      <c r="F110">
        <v>1</v>
      </c>
      <c r="G110">
        <v>3.0078660391945799E-2</v>
      </c>
      <c r="H110">
        <v>1</v>
      </c>
      <c r="I110" t="s">
        <v>8633</v>
      </c>
    </row>
    <row r="111" spans="1:9" x14ac:dyDescent="0.25">
      <c r="A111" t="s">
        <v>8540</v>
      </c>
      <c r="C111" s="3" t="str">
        <f>HYPERLINK("http://amigo.geneontology.org/amigo/term/GO:0005975","GO:0005975")</f>
        <v>GO:0005975</v>
      </c>
      <c r="D111" t="s">
        <v>171</v>
      </c>
      <c r="E111">
        <v>2990</v>
      </c>
      <c r="F111">
        <v>9</v>
      </c>
      <c r="G111">
        <v>3.04742601688681E-2</v>
      </c>
      <c r="H111">
        <v>1</v>
      </c>
      <c r="I111" t="s">
        <v>9985</v>
      </c>
    </row>
    <row r="112" spans="1:9" x14ac:dyDescent="0.25">
      <c r="A112" t="s">
        <v>9733</v>
      </c>
      <c r="C112" s="3" t="str">
        <f>HYPERLINK("http://amigo.geneontology.org/amigo/term/GO:0000030","GO:0000030")</f>
        <v>GO:0000030</v>
      </c>
      <c r="D112" t="s">
        <v>9986</v>
      </c>
      <c r="E112">
        <v>22</v>
      </c>
      <c r="F112">
        <v>1</v>
      </c>
      <c r="G112">
        <v>3.1488393190407499E-2</v>
      </c>
      <c r="H112">
        <v>1</v>
      </c>
      <c r="I112" t="s">
        <v>9934</v>
      </c>
    </row>
    <row r="113" spans="1:9" x14ac:dyDescent="0.25">
      <c r="A113" t="s">
        <v>8542</v>
      </c>
      <c r="C113" s="3" t="str">
        <f>HYPERLINK("http://amigo.geneontology.org/amigo/term/GO:0016703","GO:0016703")</f>
        <v>GO:0016703</v>
      </c>
      <c r="D113" t="s">
        <v>9987</v>
      </c>
      <c r="E113">
        <v>23</v>
      </c>
      <c r="F113">
        <v>1</v>
      </c>
      <c r="G113">
        <v>3.2896095282923601E-2</v>
      </c>
      <c r="H113">
        <v>1</v>
      </c>
      <c r="I113" t="s">
        <v>9981</v>
      </c>
    </row>
    <row r="114" spans="1:9" x14ac:dyDescent="0.25">
      <c r="A114" t="s">
        <v>9739</v>
      </c>
      <c r="C114" s="3" t="str">
        <f>HYPERLINK("http://amigo.geneontology.org/amigo/term/GO:0004097","GO:0004097")</f>
        <v>GO:0004097</v>
      </c>
      <c r="D114" t="s">
        <v>1507</v>
      </c>
      <c r="E114">
        <v>24</v>
      </c>
      <c r="F114">
        <v>1</v>
      </c>
      <c r="G114">
        <v>3.4301769560884897E-2</v>
      </c>
      <c r="H114">
        <v>1</v>
      </c>
      <c r="I114" t="s">
        <v>9619</v>
      </c>
    </row>
    <row r="115" spans="1:9" x14ac:dyDescent="0.25">
      <c r="A115" t="s">
        <v>9988</v>
      </c>
      <c r="C115" s="3" t="str">
        <f>HYPERLINK("http://amigo.geneontology.org/amigo/term/GO:0004540","GO:0004540")</f>
        <v>GO:0004540</v>
      </c>
      <c r="D115" t="s">
        <v>9989</v>
      </c>
      <c r="E115">
        <v>209</v>
      </c>
      <c r="F115">
        <v>2</v>
      </c>
      <c r="G115">
        <v>3.7433592442583999E-2</v>
      </c>
      <c r="H115">
        <v>1</v>
      </c>
      <c r="I115" t="s">
        <v>9601</v>
      </c>
    </row>
    <row r="116" spans="1:9" x14ac:dyDescent="0.25">
      <c r="A116" t="s">
        <v>8558</v>
      </c>
      <c r="C116" s="3" t="str">
        <f>HYPERLINK("http://amigo.geneontology.org/amigo/term/GO:0016298","GO:0016298")</f>
        <v>GO:0016298</v>
      </c>
      <c r="D116" t="s">
        <v>457</v>
      </c>
      <c r="E116">
        <v>209</v>
      </c>
      <c r="F116">
        <v>2</v>
      </c>
      <c r="G116">
        <v>3.7433592442583999E-2</v>
      </c>
      <c r="H116">
        <v>1</v>
      </c>
      <c r="I116" t="s">
        <v>9923</v>
      </c>
    </row>
    <row r="117" spans="1:9" x14ac:dyDescent="0.25">
      <c r="A117" t="s">
        <v>9934</v>
      </c>
      <c r="C117" s="3" t="str">
        <f>HYPERLINK("http://amigo.geneontology.org/amigo/term/GO:0046914","GO:0046914")</f>
        <v>GO:0046914</v>
      </c>
      <c r="D117" t="s">
        <v>5615</v>
      </c>
      <c r="E117">
        <v>7516</v>
      </c>
      <c r="F117">
        <v>17</v>
      </c>
      <c r="G117">
        <v>4.4008056742238601E-2</v>
      </c>
      <c r="H117">
        <v>1</v>
      </c>
      <c r="I117" t="s">
        <v>9990</v>
      </c>
    </row>
    <row r="118" spans="1:9" x14ac:dyDescent="0.25">
      <c r="A118" t="s">
        <v>9991</v>
      </c>
      <c r="C118" s="3" t="str">
        <f>HYPERLINK("http://amigo.geneontology.org/amigo/term/GO:0008216","GO:0008216")</f>
        <v>GO:0008216</v>
      </c>
      <c r="D118" t="s">
        <v>4358</v>
      </c>
      <c r="E118">
        <v>31</v>
      </c>
      <c r="F118">
        <v>1</v>
      </c>
      <c r="G118">
        <v>4.4084953484071897E-2</v>
      </c>
      <c r="H118">
        <v>1</v>
      </c>
      <c r="I118" t="s">
        <v>9675</v>
      </c>
    </row>
    <row r="119" spans="1:9" x14ac:dyDescent="0.25">
      <c r="A119" t="s">
        <v>8575</v>
      </c>
      <c r="C119" s="3" t="str">
        <f>HYPERLINK("http://amigo.geneontology.org/amigo/term/GO:0008295","GO:0008295")</f>
        <v>GO:0008295</v>
      </c>
      <c r="D119" t="s">
        <v>4360</v>
      </c>
      <c r="E119">
        <v>31</v>
      </c>
      <c r="F119">
        <v>1</v>
      </c>
      <c r="G119">
        <v>4.4084953484071897E-2</v>
      </c>
      <c r="H119">
        <v>1</v>
      </c>
      <c r="I119" t="s">
        <v>9675</v>
      </c>
    </row>
    <row r="120" spans="1:9" x14ac:dyDescent="0.25">
      <c r="A120" t="s">
        <v>9455</v>
      </c>
      <c r="C120" s="3" t="str">
        <f>HYPERLINK("http://amigo.geneontology.org/amigo/term/GO:0009065","GO:0009065")</f>
        <v>GO:0009065</v>
      </c>
      <c r="D120" t="s">
        <v>9992</v>
      </c>
      <c r="E120">
        <v>34</v>
      </c>
      <c r="F120">
        <v>1</v>
      </c>
      <c r="G120">
        <v>4.8247617637621101E-2</v>
      </c>
      <c r="H120">
        <v>1</v>
      </c>
      <c r="I120" t="s">
        <v>9675</v>
      </c>
    </row>
    <row r="121" spans="1:9" x14ac:dyDescent="0.25">
      <c r="A121" t="s">
        <v>9993</v>
      </c>
    </row>
    <row r="122" spans="1:9" x14ac:dyDescent="0.25">
      <c r="A122" t="s">
        <v>8586</v>
      </c>
    </row>
    <row r="123" spans="1:9" x14ac:dyDescent="0.25">
      <c r="A123" t="s">
        <v>8589</v>
      </c>
    </row>
    <row r="124" spans="1:9" x14ac:dyDescent="0.25">
      <c r="A124" t="s">
        <v>9994</v>
      </c>
    </row>
    <row r="125" spans="1:9" x14ac:dyDescent="0.25">
      <c r="A125" t="s">
        <v>9995</v>
      </c>
    </row>
    <row r="126" spans="1:9" x14ac:dyDescent="0.25">
      <c r="A126" t="s">
        <v>9482</v>
      </c>
    </row>
    <row r="127" spans="1:9" x14ac:dyDescent="0.25">
      <c r="A127" t="s">
        <v>8051</v>
      </c>
    </row>
    <row r="128" spans="1:9" x14ac:dyDescent="0.25">
      <c r="A128" t="s">
        <v>8612</v>
      </c>
    </row>
    <row r="129" spans="1:1" x14ac:dyDescent="0.25">
      <c r="A129" t="s">
        <v>9996</v>
      </c>
    </row>
    <row r="130" spans="1:1" x14ac:dyDescent="0.25">
      <c r="A130" t="s">
        <v>9997</v>
      </c>
    </row>
    <row r="131" spans="1:1" x14ac:dyDescent="0.25">
      <c r="A131" t="s">
        <v>9757</v>
      </c>
    </row>
    <row r="132" spans="1:1" x14ac:dyDescent="0.25">
      <c r="A132" t="s">
        <v>8620</v>
      </c>
    </row>
    <row r="133" spans="1:1" x14ac:dyDescent="0.25">
      <c r="A133" t="s">
        <v>9998</v>
      </c>
    </row>
    <row r="134" spans="1:1" x14ac:dyDescent="0.25">
      <c r="A134" t="s">
        <v>8627</v>
      </c>
    </row>
    <row r="135" spans="1:1" x14ac:dyDescent="0.25">
      <c r="A135" t="s">
        <v>9981</v>
      </c>
    </row>
    <row r="136" spans="1:1" x14ac:dyDescent="0.25">
      <c r="A136" t="s">
        <v>8633</v>
      </c>
    </row>
    <row r="137" spans="1:1" x14ac:dyDescent="0.25">
      <c r="A137" t="s">
        <v>8644</v>
      </c>
    </row>
    <row r="138" spans="1:1" x14ac:dyDescent="0.25">
      <c r="A138" t="s">
        <v>8651</v>
      </c>
    </row>
    <row r="139" spans="1:1" x14ac:dyDescent="0.25">
      <c r="A139" t="s">
        <v>9999</v>
      </c>
    </row>
    <row r="140" spans="1:1" x14ac:dyDescent="0.25">
      <c r="A140" t="s">
        <v>8666</v>
      </c>
    </row>
    <row r="141" spans="1:1" x14ac:dyDescent="0.25">
      <c r="A141" t="s">
        <v>10000</v>
      </c>
    </row>
    <row r="142" spans="1:1" x14ac:dyDescent="0.25">
      <c r="A142" t="s">
        <v>10001</v>
      </c>
    </row>
    <row r="143" spans="1:1" x14ac:dyDescent="0.25">
      <c r="A143" t="s">
        <v>9675</v>
      </c>
    </row>
    <row r="144" spans="1:1" x14ac:dyDescent="0.25">
      <c r="A144" t="s">
        <v>8685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6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2.7109375" customWidth="1"/>
    <col min="3" max="3" width="12.85546875" customWidth="1"/>
    <col min="4" max="4" width="33.42578125" customWidth="1"/>
  </cols>
  <sheetData>
    <row r="1" spans="1:9" ht="20.25" x14ac:dyDescent="0.3">
      <c r="A1" s="12" t="s">
        <v>10002</v>
      </c>
    </row>
    <row r="2" spans="1:9" x14ac:dyDescent="0.25">
      <c r="A2" s="6" t="s">
        <v>10003</v>
      </c>
      <c r="B2" s="18">
        <f>604/6855</f>
        <v>8.8110867979576957E-2</v>
      </c>
      <c r="C2" t="s">
        <v>2</v>
      </c>
      <c r="D2">
        <v>479</v>
      </c>
    </row>
    <row r="3" spans="1:9" x14ac:dyDescent="0.25">
      <c r="A3" t="s">
        <v>6882</v>
      </c>
      <c r="C3" t="s">
        <v>4</v>
      </c>
      <c r="D3">
        <v>77079</v>
      </c>
    </row>
    <row r="4" spans="1:9" x14ac:dyDescent="0.25">
      <c r="A4" t="s">
        <v>6883</v>
      </c>
      <c r="C4" t="s">
        <v>6</v>
      </c>
      <c r="D4" t="s">
        <v>7</v>
      </c>
    </row>
    <row r="5" spans="1:9" x14ac:dyDescent="0.25">
      <c r="A5" t="s">
        <v>6888</v>
      </c>
      <c r="C5" t="s">
        <v>9</v>
      </c>
      <c r="D5" t="s">
        <v>10</v>
      </c>
    </row>
    <row r="6" spans="1:9" x14ac:dyDescent="0.25">
      <c r="A6" t="s">
        <v>10004</v>
      </c>
      <c r="C6" t="s">
        <v>12</v>
      </c>
      <c r="D6" t="s">
        <v>13</v>
      </c>
    </row>
    <row r="7" spans="1:9" x14ac:dyDescent="0.25">
      <c r="A7" t="s">
        <v>6898</v>
      </c>
      <c r="C7" t="s">
        <v>15</v>
      </c>
      <c r="D7" t="s">
        <v>16</v>
      </c>
    </row>
    <row r="8" spans="1:9" x14ac:dyDescent="0.25">
      <c r="A8" t="s">
        <v>6900</v>
      </c>
      <c r="C8" t="s">
        <v>18</v>
      </c>
      <c r="D8" t="s">
        <v>19</v>
      </c>
    </row>
    <row r="9" spans="1:9" x14ac:dyDescent="0.25">
      <c r="A9" t="s">
        <v>6907</v>
      </c>
      <c r="C9" t="s">
        <v>21</v>
      </c>
      <c r="D9">
        <v>3</v>
      </c>
    </row>
    <row r="10" spans="1:9" x14ac:dyDescent="0.25">
      <c r="A10" t="s">
        <v>10005</v>
      </c>
    </row>
    <row r="11" spans="1:9" x14ac:dyDescent="0.25">
      <c r="A11" t="s">
        <v>10006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8862</v>
      </c>
      <c r="C12" s="3" t="str">
        <f>HYPERLINK("http://amigo.geneontology.org/amigo/term/GO:1902222","GO:1902222")</f>
        <v>GO:1902222</v>
      </c>
      <c r="D12" t="s">
        <v>6903</v>
      </c>
      <c r="E12">
        <v>62</v>
      </c>
      <c r="F12">
        <v>17</v>
      </c>
      <c r="G12" s="4">
        <v>1.3239394290959399E-23</v>
      </c>
      <c r="H12" s="4">
        <v>2.9881312914695501E-20</v>
      </c>
      <c r="I12" t="s">
        <v>10007</v>
      </c>
    </row>
    <row r="13" spans="1:9" x14ac:dyDescent="0.25">
      <c r="A13" t="s">
        <v>6929</v>
      </c>
      <c r="C13" s="3" t="str">
        <f>HYPERLINK("http://amigo.geneontology.org/amigo/term/GO:0006559","GO:0006559")</f>
        <v>GO:0006559</v>
      </c>
      <c r="D13" t="s">
        <v>6906</v>
      </c>
      <c r="E13">
        <v>62</v>
      </c>
      <c r="F13">
        <v>17</v>
      </c>
      <c r="G13" s="4">
        <v>1.3239394290959399E-23</v>
      </c>
      <c r="H13" s="4">
        <v>5.9775865223682002E-20</v>
      </c>
      <c r="I13" t="s">
        <v>10007</v>
      </c>
    </row>
    <row r="14" spans="1:9" x14ac:dyDescent="0.25">
      <c r="A14" t="s">
        <v>6935</v>
      </c>
      <c r="C14" s="3" t="str">
        <f>HYPERLINK("http://amigo.geneontology.org/amigo/term/GO:0016841","GO:0016841")</f>
        <v>GO:0016841</v>
      </c>
      <c r="D14" t="s">
        <v>6908</v>
      </c>
      <c r="E14">
        <v>67</v>
      </c>
      <c r="F14">
        <v>17</v>
      </c>
      <c r="G14" s="4">
        <v>5.8658495088339699E-23</v>
      </c>
      <c r="H14" s="4">
        <v>8.8281035107951194E-20</v>
      </c>
      <c r="I14" t="s">
        <v>10007</v>
      </c>
    </row>
    <row r="15" spans="1:9" x14ac:dyDescent="0.25">
      <c r="A15" t="s">
        <v>6940</v>
      </c>
      <c r="C15" s="3" t="str">
        <f>HYPERLINK("http://amigo.geneontology.org/amigo/term/GO:1902221","GO:1902221")</f>
        <v>GO:1902221</v>
      </c>
      <c r="D15" t="s">
        <v>6913</v>
      </c>
      <c r="E15">
        <v>90</v>
      </c>
      <c r="F15">
        <v>17</v>
      </c>
      <c r="G15" s="4">
        <v>1.42683992433992E-20</v>
      </c>
      <c r="H15" s="4">
        <v>1.2884364516789499E-17</v>
      </c>
      <c r="I15" t="s">
        <v>10007</v>
      </c>
    </row>
    <row r="16" spans="1:9" x14ac:dyDescent="0.25">
      <c r="A16" t="s">
        <v>8177</v>
      </c>
      <c r="C16" s="3" t="str">
        <f>HYPERLINK("http://amigo.geneontology.org/amigo/term/GO:0006558","GO:0006558")</f>
        <v>GO:0006558</v>
      </c>
      <c r="D16" t="s">
        <v>6916</v>
      </c>
      <c r="E16">
        <v>90</v>
      </c>
      <c r="F16">
        <v>17</v>
      </c>
      <c r="G16" s="4">
        <v>1.42683992433992E-20</v>
      </c>
      <c r="H16" s="4">
        <v>1.6094754346554299E-17</v>
      </c>
      <c r="I16" t="s">
        <v>10007</v>
      </c>
    </row>
    <row r="17" spans="1:9" x14ac:dyDescent="0.25">
      <c r="A17" t="s">
        <v>6950</v>
      </c>
      <c r="C17" s="3" t="str">
        <f>HYPERLINK("http://amigo.geneontology.org/amigo/term/GO:0009074","GO:0009074")</f>
        <v>GO:0009074</v>
      </c>
      <c r="D17" t="s">
        <v>6930</v>
      </c>
      <c r="E17">
        <v>113</v>
      </c>
      <c r="F17">
        <v>17</v>
      </c>
      <c r="G17" s="4">
        <v>8.4768410924925695E-19</v>
      </c>
      <c r="H17" s="4">
        <v>6.3745845015544099E-16</v>
      </c>
      <c r="I17" t="s">
        <v>10007</v>
      </c>
    </row>
    <row r="18" spans="1:9" x14ac:dyDescent="0.25">
      <c r="A18" t="s">
        <v>6954</v>
      </c>
      <c r="C18" s="3" t="str">
        <f>HYPERLINK("http://amigo.geneontology.org/amigo/term/GO:0016840","GO:0016840")</f>
        <v>GO:0016840</v>
      </c>
      <c r="D18" t="s">
        <v>6969</v>
      </c>
      <c r="E18">
        <v>158</v>
      </c>
      <c r="F18">
        <v>17</v>
      </c>
      <c r="G18" s="4">
        <v>2.8496113437101299E-16</v>
      </c>
      <c r="H18" s="4">
        <v>1.8379993166930299E-13</v>
      </c>
      <c r="I18" t="s">
        <v>10007</v>
      </c>
    </row>
    <row r="19" spans="1:9" x14ac:dyDescent="0.25">
      <c r="A19" t="s">
        <v>6956</v>
      </c>
      <c r="C19" s="3" t="str">
        <f>HYPERLINK("http://amigo.geneontology.org/amigo/term/GO:1901606","GO:1901606")</f>
        <v>GO:1901606</v>
      </c>
      <c r="D19" t="s">
        <v>6977</v>
      </c>
      <c r="E19">
        <v>220</v>
      </c>
      <c r="F19">
        <v>18</v>
      </c>
      <c r="G19" s="4">
        <v>4.8990081982752198E-15</v>
      </c>
      <c r="H19" s="4">
        <v>2.7630406238272201E-12</v>
      </c>
      <c r="I19" t="s">
        <v>10008</v>
      </c>
    </row>
    <row r="20" spans="1:9" x14ac:dyDescent="0.25">
      <c r="A20" t="s">
        <v>6963</v>
      </c>
      <c r="C20" s="3" t="str">
        <f>HYPERLINK("http://amigo.geneontology.org/amigo/term/GO:0042737","GO:0042737")</f>
        <v>GO:0042737</v>
      </c>
      <c r="D20" t="s">
        <v>1072</v>
      </c>
      <c r="E20">
        <v>473</v>
      </c>
      <c r="F20">
        <v>24</v>
      </c>
      <c r="G20" s="4">
        <v>6.6950062799076802E-15</v>
      </c>
      <c r="H20" s="4">
        <v>3.3541981462337402E-12</v>
      </c>
      <c r="I20" t="s">
        <v>10009</v>
      </c>
    </row>
    <row r="21" spans="1:9" x14ac:dyDescent="0.25">
      <c r="A21" t="s">
        <v>10010</v>
      </c>
      <c r="C21" s="3" t="str">
        <f>HYPERLINK("http://amigo.geneontology.org/amigo/term/GO:0009063","GO:0009063")</f>
        <v>GO:0009063</v>
      </c>
      <c r="D21" t="s">
        <v>5306</v>
      </c>
      <c r="E21">
        <v>227</v>
      </c>
      <c r="F21">
        <v>18</v>
      </c>
      <c r="G21" s="4">
        <v>8.4631769718787497E-15</v>
      </c>
      <c r="H21" s="4">
        <v>3.8168928143173097E-12</v>
      </c>
      <c r="I21" t="s">
        <v>10008</v>
      </c>
    </row>
    <row r="22" spans="1:9" x14ac:dyDescent="0.25">
      <c r="A22" t="s">
        <v>8880</v>
      </c>
      <c r="C22" s="3" t="str">
        <f>HYPERLINK("http://amigo.geneontology.org/amigo/term/GO:0045548","GO:0045548")</f>
        <v>GO:0045548</v>
      </c>
      <c r="D22" t="s">
        <v>7006</v>
      </c>
      <c r="E22">
        <v>27</v>
      </c>
      <c r="F22">
        <v>9</v>
      </c>
      <c r="G22" s="4">
        <v>5.4429498272605499E-14</v>
      </c>
      <c r="H22" s="4">
        <v>2.23160942917682E-11</v>
      </c>
      <c r="I22" t="s">
        <v>10011</v>
      </c>
    </row>
    <row r="23" spans="1:9" x14ac:dyDescent="0.25">
      <c r="A23" t="s">
        <v>6968</v>
      </c>
      <c r="C23" s="3" t="str">
        <f>HYPERLINK("http://amigo.geneontology.org/amigo/term/GO:0009803","GO:0009803")</f>
        <v>GO:0009803</v>
      </c>
      <c r="D23" t="s">
        <v>7022</v>
      </c>
      <c r="E23">
        <v>31</v>
      </c>
      <c r="F23">
        <v>9</v>
      </c>
      <c r="G23" s="4">
        <v>2.2903151608615799E-13</v>
      </c>
      <c r="H23" s="4">
        <v>7.9473936081896899E-11</v>
      </c>
      <c r="I23" t="s">
        <v>10011</v>
      </c>
    </row>
    <row r="24" spans="1:9" x14ac:dyDescent="0.25">
      <c r="A24" t="s">
        <v>6971</v>
      </c>
      <c r="C24" s="3" t="str">
        <f>HYPERLINK("http://amigo.geneontology.org/amigo/term/GO:0009800","GO:0009800")</f>
        <v>GO:0009800</v>
      </c>
      <c r="D24" t="s">
        <v>7024</v>
      </c>
      <c r="E24">
        <v>31</v>
      </c>
      <c r="F24">
        <v>9</v>
      </c>
      <c r="G24" s="4">
        <v>2.2903151608615799E-13</v>
      </c>
      <c r="H24" s="4">
        <v>8.6115850048395498E-11</v>
      </c>
      <c r="I24" t="s">
        <v>10011</v>
      </c>
    </row>
    <row r="25" spans="1:9" x14ac:dyDescent="0.25">
      <c r="A25" t="s">
        <v>8183</v>
      </c>
      <c r="C25" s="3" t="str">
        <f>HYPERLINK("http://amigo.geneontology.org/amigo/term/GO:0009072","GO:0009072")</f>
        <v>GO:0009072</v>
      </c>
      <c r="D25" t="s">
        <v>7036</v>
      </c>
      <c r="E25">
        <v>359</v>
      </c>
      <c r="F25">
        <v>19</v>
      </c>
      <c r="G25" s="4">
        <v>2.1395568653357602E-12</v>
      </c>
      <c r="H25" s="4">
        <v>6.8893731063811495E-10</v>
      </c>
      <c r="I25" t="s">
        <v>10012</v>
      </c>
    </row>
    <row r="26" spans="1:9" x14ac:dyDescent="0.25">
      <c r="A26" t="s">
        <v>10013</v>
      </c>
      <c r="C26" s="3" t="str">
        <f>HYPERLINK("http://amigo.geneontology.org/amigo/term/GO:1901605","GO:1901605")</f>
        <v>GO:1901605</v>
      </c>
      <c r="D26" t="s">
        <v>7075</v>
      </c>
      <c r="E26">
        <v>811</v>
      </c>
      <c r="F26">
        <v>27</v>
      </c>
      <c r="G26" s="4">
        <v>3.0282121614386401E-12</v>
      </c>
      <c r="H26" s="4">
        <v>9.1149186059303198E-10</v>
      </c>
      <c r="I26" t="s">
        <v>10014</v>
      </c>
    </row>
    <row r="27" spans="1:9" x14ac:dyDescent="0.25">
      <c r="A27" t="s">
        <v>6979</v>
      </c>
      <c r="C27" s="3" t="str">
        <f>HYPERLINK("http://amigo.geneontology.org/amigo/term/GO:0006520","GO:0006520")</f>
        <v>GO:0006520</v>
      </c>
      <c r="D27" t="s">
        <v>5762</v>
      </c>
      <c r="E27">
        <v>1345</v>
      </c>
      <c r="F27">
        <v>33</v>
      </c>
      <c r="G27" s="4">
        <v>4.0506519095162901E-11</v>
      </c>
      <c r="H27" s="4">
        <v>1.1422838384835901E-8</v>
      </c>
      <c r="I27" t="s">
        <v>10015</v>
      </c>
    </row>
    <row r="28" spans="1:9" x14ac:dyDescent="0.25">
      <c r="A28" t="s">
        <v>10016</v>
      </c>
      <c r="C28" s="3" t="str">
        <f>HYPERLINK("http://amigo.geneontology.org/amigo/term/GO:0016054","GO:0016054")</f>
        <v>GO:0016054</v>
      </c>
      <c r="D28" t="s">
        <v>5292</v>
      </c>
      <c r="E28">
        <v>381</v>
      </c>
      <c r="F28">
        <v>18</v>
      </c>
      <c r="G28" s="4">
        <v>5.2425056001011799E-11</v>
      </c>
      <c r="H28" s="4">
        <v>1.31062640002529E-8</v>
      </c>
      <c r="I28" t="s">
        <v>10008</v>
      </c>
    </row>
    <row r="29" spans="1:9" x14ac:dyDescent="0.25">
      <c r="A29" t="s">
        <v>10017</v>
      </c>
      <c r="C29" s="3" t="str">
        <f>HYPERLINK("http://amigo.geneontology.org/amigo/term/GO:0046395","GO:0046395")</f>
        <v>GO:0046395</v>
      </c>
      <c r="D29" t="s">
        <v>5294</v>
      </c>
      <c r="E29">
        <v>381</v>
      </c>
      <c r="F29">
        <v>18</v>
      </c>
      <c r="G29" s="4">
        <v>5.2425056001011799E-11</v>
      </c>
      <c r="H29" s="4">
        <v>1.38926398402681E-8</v>
      </c>
      <c r="I29" t="s">
        <v>10008</v>
      </c>
    </row>
    <row r="30" spans="1:9" x14ac:dyDescent="0.25">
      <c r="A30" t="s">
        <v>10018</v>
      </c>
      <c r="C30" s="3" t="str">
        <f>HYPERLINK("http://amigo.geneontology.org/amigo/term/GO:0016829","GO:0016829")</f>
        <v>GO:0016829</v>
      </c>
      <c r="D30" t="s">
        <v>523</v>
      </c>
      <c r="E30">
        <v>984</v>
      </c>
      <c r="F30">
        <v>27</v>
      </c>
      <c r="G30" s="4">
        <v>2.2625867788191201E-10</v>
      </c>
      <c r="H30" s="4">
        <v>5.3623306658013199E-8</v>
      </c>
      <c r="I30" t="s">
        <v>10019</v>
      </c>
    </row>
    <row r="31" spans="1:9" x14ac:dyDescent="0.25">
      <c r="A31" t="s">
        <v>10020</v>
      </c>
      <c r="C31" s="3" t="str">
        <f>HYPERLINK("http://amigo.geneontology.org/amigo/term/GO:0009699","GO:0009699")</f>
        <v>GO:0009699</v>
      </c>
      <c r="D31" t="s">
        <v>7078</v>
      </c>
      <c r="E31">
        <v>66</v>
      </c>
      <c r="F31">
        <v>9</v>
      </c>
      <c r="G31" s="4">
        <v>3.4694516757200499E-10</v>
      </c>
      <c r="H31" s="4">
        <v>7.8062662703701096E-8</v>
      </c>
      <c r="I31" t="s">
        <v>10011</v>
      </c>
    </row>
    <row r="32" spans="1:9" x14ac:dyDescent="0.25">
      <c r="A32" t="s">
        <v>10021</v>
      </c>
      <c r="C32" s="3" t="str">
        <f>HYPERLINK("http://amigo.geneontology.org/amigo/term/GO:0008144","GO:0008144")</f>
        <v>GO:0008144</v>
      </c>
      <c r="D32" t="s">
        <v>6910</v>
      </c>
      <c r="E32">
        <v>9423</v>
      </c>
      <c r="F32">
        <v>107</v>
      </c>
      <c r="G32" s="4">
        <v>4.1959242416608598E-10</v>
      </c>
      <c r="H32" s="4">
        <v>9.0212371195708494E-8</v>
      </c>
      <c r="I32" t="s">
        <v>10022</v>
      </c>
    </row>
    <row r="33" spans="1:9" x14ac:dyDescent="0.25">
      <c r="A33" t="s">
        <v>6990</v>
      </c>
      <c r="C33" s="3" t="str">
        <f>HYPERLINK("http://amigo.geneontology.org/amigo/term/GO:0042537","GO:0042537")</f>
        <v>GO:0042537</v>
      </c>
      <c r="D33" t="s">
        <v>7087</v>
      </c>
      <c r="E33">
        <v>125</v>
      </c>
      <c r="F33">
        <v>11</v>
      </c>
      <c r="G33" s="4">
        <v>4.67439216195133E-10</v>
      </c>
      <c r="H33" s="4">
        <v>9.5825039320002306E-8</v>
      </c>
      <c r="I33" t="s">
        <v>10023</v>
      </c>
    </row>
    <row r="34" spans="1:9" x14ac:dyDescent="0.25">
      <c r="A34" t="s">
        <v>10024</v>
      </c>
      <c r="C34" s="3" t="str">
        <f>HYPERLINK("http://amigo.geneontology.org/amigo/term/GO:0016740","GO:0016740")</f>
        <v>GO:0016740</v>
      </c>
      <c r="D34" t="s">
        <v>855</v>
      </c>
      <c r="E34">
        <v>12925</v>
      </c>
      <c r="F34">
        <v>134</v>
      </c>
      <c r="G34" s="4">
        <v>5.5151609434394698E-10</v>
      </c>
      <c r="H34" s="4">
        <v>1.08097154491413E-7</v>
      </c>
      <c r="I34" t="s">
        <v>10025</v>
      </c>
    </row>
    <row r="35" spans="1:9" x14ac:dyDescent="0.25">
      <c r="A35" t="s">
        <v>8185</v>
      </c>
      <c r="C35" s="3" t="str">
        <f>HYPERLINK("http://amigo.geneontology.org/amigo/term/GO:0009916","GO:0009916")</f>
        <v>GO:0009916</v>
      </c>
      <c r="D35" t="s">
        <v>7215</v>
      </c>
      <c r="E35">
        <v>17</v>
      </c>
      <c r="F35">
        <v>6</v>
      </c>
      <c r="G35" s="4">
        <v>6.5196679503650996E-10</v>
      </c>
      <c r="H35" s="4">
        <v>1.22569757466863E-7</v>
      </c>
      <c r="I35" t="s">
        <v>10026</v>
      </c>
    </row>
    <row r="36" spans="1:9" x14ac:dyDescent="0.25">
      <c r="A36" t="s">
        <v>10027</v>
      </c>
      <c r="C36" s="3" t="str">
        <f>HYPERLINK("http://amigo.geneontology.org/amigo/term/GO:0005524","GO:0005524")</f>
        <v>GO:0005524</v>
      </c>
      <c r="D36" t="s">
        <v>6927</v>
      </c>
      <c r="E36">
        <v>8993</v>
      </c>
      <c r="F36">
        <v>100</v>
      </c>
      <c r="G36" s="4">
        <v>5.5406991853453497E-9</v>
      </c>
      <c r="H36" s="4">
        <v>9.9732585336216295E-7</v>
      </c>
      <c r="I36" t="s">
        <v>10028</v>
      </c>
    </row>
    <row r="37" spans="1:9" x14ac:dyDescent="0.25">
      <c r="A37" t="s">
        <v>9772</v>
      </c>
      <c r="C37" s="3" t="str">
        <f>HYPERLINK("http://amigo.geneontology.org/amigo/term/GO:0044282","GO:0044282")</f>
        <v>GO:0044282</v>
      </c>
      <c r="D37" t="s">
        <v>5280</v>
      </c>
      <c r="E37">
        <v>546</v>
      </c>
      <c r="F37">
        <v>18</v>
      </c>
      <c r="G37" s="4">
        <v>1.51441920666393E-8</v>
      </c>
      <c r="H37" s="4">
        <v>2.6199452275286002E-6</v>
      </c>
      <c r="I37" t="s">
        <v>10008</v>
      </c>
    </row>
    <row r="38" spans="1:9" x14ac:dyDescent="0.25">
      <c r="A38" t="s">
        <v>7010</v>
      </c>
      <c r="C38" s="3" t="str">
        <f>HYPERLINK("http://amigo.geneontology.org/amigo/term/GO:0006468","GO:0006468")</f>
        <v>GO:0006468</v>
      </c>
      <c r="D38" t="s">
        <v>1478</v>
      </c>
      <c r="E38">
        <v>5693</v>
      </c>
      <c r="F38">
        <v>71</v>
      </c>
      <c r="G38" s="4">
        <v>1.8486369455598799E-8</v>
      </c>
      <c r="H38" s="4">
        <v>3.0872236990850001E-6</v>
      </c>
      <c r="I38" t="s">
        <v>10029</v>
      </c>
    </row>
    <row r="39" spans="1:9" x14ac:dyDescent="0.25">
      <c r="A39" t="s">
        <v>8912</v>
      </c>
      <c r="C39" s="3" t="str">
        <f>HYPERLINK("http://amigo.geneontology.org/amigo/term/GO:0016758","GO:0016758")</f>
        <v>GO:0016758</v>
      </c>
      <c r="D39" t="s">
        <v>721</v>
      </c>
      <c r="E39">
        <v>1783</v>
      </c>
      <c r="F39">
        <v>33</v>
      </c>
      <c r="G39" s="4">
        <v>4.0586595143470399E-8</v>
      </c>
      <c r="H39" s="4">
        <v>6.5344418180987297E-6</v>
      </c>
      <c r="I39" t="s">
        <v>10030</v>
      </c>
    </row>
    <row r="40" spans="1:9" x14ac:dyDescent="0.25">
      <c r="A40" t="s">
        <v>8195</v>
      </c>
      <c r="C40" s="3" t="str">
        <f>HYPERLINK("http://amigo.geneontology.org/amigo/term/GO:0016757","GO:0016757")</f>
        <v>GO:0016757</v>
      </c>
      <c r="D40" t="s">
        <v>977</v>
      </c>
      <c r="E40">
        <v>2155</v>
      </c>
      <c r="F40">
        <v>37</v>
      </c>
      <c r="G40" s="4">
        <v>4.0594060787600998E-8</v>
      </c>
      <c r="H40" s="4">
        <v>6.2920794220781502E-6</v>
      </c>
      <c r="I40" t="s">
        <v>10031</v>
      </c>
    </row>
    <row r="41" spans="1:9" x14ac:dyDescent="0.25">
      <c r="A41" t="s">
        <v>8196</v>
      </c>
      <c r="C41" s="3" t="str">
        <f>HYPERLINK("http://amigo.geneontology.org/amigo/term/GO:0004672","GO:0004672")</f>
        <v>GO:0004672</v>
      </c>
      <c r="D41" t="s">
        <v>1481</v>
      </c>
      <c r="E41">
        <v>5633</v>
      </c>
      <c r="F41">
        <v>69</v>
      </c>
      <c r="G41" s="4">
        <v>6.0114372242211498E-8</v>
      </c>
      <c r="H41" s="4">
        <v>9.0171558363317203E-6</v>
      </c>
      <c r="I41" t="s">
        <v>10032</v>
      </c>
    </row>
    <row r="42" spans="1:9" x14ac:dyDescent="0.25">
      <c r="A42" t="s">
        <v>8197</v>
      </c>
      <c r="C42" s="3" t="str">
        <f>HYPERLINK("http://amigo.geneontology.org/amigo/term/GO:0044550","GO:0044550")</f>
        <v>GO:0044550</v>
      </c>
      <c r="D42" t="s">
        <v>7201</v>
      </c>
      <c r="E42">
        <v>174</v>
      </c>
      <c r="F42">
        <v>10</v>
      </c>
      <c r="G42" s="4">
        <v>1.7003773231102601E-7</v>
      </c>
      <c r="H42" s="4">
        <v>2.4655471185098798E-5</v>
      </c>
      <c r="I42" t="s">
        <v>10033</v>
      </c>
    </row>
    <row r="43" spans="1:9" x14ac:dyDescent="0.25">
      <c r="A43" t="s">
        <v>10034</v>
      </c>
      <c r="C43" s="3" t="str">
        <f>HYPERLINK("http://amigo.geneontology.org/amigo/term/GO:0035639","GO:0035639")</f>
        <v>GO:0035639</v>
      </c>
      <c r="D43" t="s">
        <v>6966</v>
      </c>
      <c r="E43">
        <v>9665</v>
      </c>
      <c r="F43">
        <v>100</v>
      </c>
      <c r="G43" s="4">
        <v>1.94561509839784E-7</v>
      </c>
      <c r="H43" s="4">
        <v>2.7433172887409599E-5</v>
      </c>
      <c r="I43" t="s">
        <v>10028</v>
      </c>
    </row>
    <row r="44" spans="1:9" x14ac:dyDescent="0.25">
      <c r="A44" t="s">
        <v>8916</v>
      </c>
      <c r="C44" s="3" t="str">
        <f>HYPERLINK("http://amigo.geneontology.org/amigo/term/GO:0016491","GO:0016491")</f>
        <v>GO:0016491</v>
      </c>
      <c r="D44" t="s">
        <v>315</v>
      </c>
      <c r="E44">
        <v>6975</v>
      </c>
      <c r="F44">
        <v>78</v>
      </c>
      <c r="G44" s="4">
        <v>3.04858796688608E-7</v>
      </c>
      <c r="H44" s="4">
        <v>4.1460796349650698E-5</v>
      </c>
      <c r="I44" t="s">
        <v>10035</v>
      </c>
    </row>
    <row r="45" spans="1:9" x14ac:dyDescent="0.25">
      <c r="A45" t="s">
        <v>8200</v>
      </c>
      <c r="C45" s="3" t="str">
        <f>HYPERLINK("http://amigo.geneontology.org/amigo/term/GO:0016301","GO:0016301")</f>
        <v>GO:0016301</v>
      </c>
      <c r="D45" t="s">
        <v>724</v>
      </c>
      <c r="E45">
        <v>6285</v>
      </c>
      <c r="F45">
        <v>72</v>
      </c>
      <c r="G45" s="4">
        <v>3.8776214753625098E-7</v>
      </c>
      <c r="H45" s="4">
        <v>5.1184603474785202E-5</v>
      </c>
      <c r="I45" t="s">
        <v>10036</v>
      </c>
    </row>
    <row r="46" spans="1:9" x14ac:dyDescent="0.25">
      <c r="A46" t="s">
        <v>7045</v>
      </c>
      <c r="C46" s="3" t="str">
        <f>HYPERLINK("http://amigo.geneontology.org/amigo/term/GO:0043565","GO:0043565")</f>
        <v>GO:0043565</v>
      </c>
      <c r="D46" t="s">
        <v>5129</v>
      </c>
      <c r="E46">
        <v>1091</v>
      </c>
      <c r="F46">
        <v>23</v>
      </c>
      <c r="G46" s="4">
        <v>5.41824463767826E-7</v>
      </c>
      <c r="H46" s="4">
        <v>6.9895355826049595E-5</v>
      </c>
      <c r="I46" t="s">
        <v>10037</v>
      </c>
    </row>
    <row r="47" spans="1:9" x14ac:dyDescent="0.25">
      <c r="A47" t="s">
        <v>7048</v>
      </c>
      <c r="C47" s="3" t="str">
        <f>HYPERLINK("http://amigo.geneontology.org/amigo/term/GO:0052547","GO:0052547")</f>
        <v>GO:0052547</v>
      </c>
      <c r="D47" t="s">
        <v>6982</v>
      </c>
      <c r="E47">
        <v>77</v>
      </c>
      <c r="F47">
        <v>7</v>
      </c>
      <c r="G47" s="4">
        <v>5.6617880262018498E-7</v>
      </c>
      <c r="H47" s="4">
        <v>6.5110562301321301E-5</v>
      </c>
      <c r="I47" t="s">
        <v>10038</v>
      </c>
    </row>
    <row r="48" spans="1:9" x14ac:dyDescent="0.25">
      <c r="A48" t="s">
        <v>7051</v>
      </c>
      <c r="C48" s="3" t="str">
        <f>HYPERLINK("http://amigo.geneontology.org/amigo/term/GO:0010466","GO:0010466")</f>
        <v>GO:0010466</v>
      </c>
      <c r="D48" t="s">
        <v>6985</v>
      </c>
      <c r="E48">
        <v>77</v>
      </c>
      <c r="F48">
        <v>7</v>
      </c>
      <c r="G48" s="4">
        <v>5.6617880262018498E-7</v>
      </c>
      <c r="H48" s="4">
        <v>6.6809098709181796E-5</v>
      </c>
      <c r="I48" t="s">
        <v>10038</v>
      </c>
    </row>
    <row r="49" spans="1:9" x14ac:dyDescent="0.25">
      <c r="A49" t="s">
        <v>10039</v>
      </c>
      <c r="C49" s="3" t="str">
        <f>HYPERLINK("http://amigo.geneontology.org/amigo/term/GO:0052548","GO:0052548")</f>
        <v>GO:0052548</v>
      </c>
      <c r="D49" t="s">
        <v>6987</v>
      </c>
      <c r="E49">
        <v>77</v>
      </c>
      <c r="F49">
        <v>7</v>
      </c>
      <c r="G49" s="4">
        <v>5.6617880262018498E-7</v>
      </c>
      <c r="H49" s="4">
        <v>6.9073813919662605E-5</v>
      </c>
      <c r="I49" t="s">
        <v>10038</v>
      </c>
    </row>
    <row r="50" spans="1:9" x14ac:dyDescent="0.25">
      <c r="A50" t="s">
        <v>8204</v>
      </c>
      <c r="C50" s="3" t="str">
        <f>HYPERLINK("http://amigo.geneontology.org/amigo/term/GO:0010951","GO:0010951")</f>
        <v>GO:0010951</v>
      </c>
      <c r="D50" t="s">
        <v>6989</v>
      </c>
      <c r="E50">
        <v>77</v>
      </c>
      <c r="F50">
        <v>7</v>
      </c>
      <c r="G50" s="4">
        <v>5.6617880262018498E-7</v>
      </c>
      <c r="H50" s="4">
        <v>7.0772350327523101E-5</v>
      </c>
      <c r="I50" t="s">
        <v>10038</v>
      </c>
    </row>
    <row r="51" spans="1:9" x14ac:dyDescent="0.25">
      <c r="A51" t="s">
        <v>7062</v>
      </c>
      <c r="C51" s="3" t="str">
        <f>HYPERLINK("http://amigo.geneontology.org/amigo/term/GO:0045861","GO:0045861")</f>
        <v>GO:0045861</v>
      </c>
      <c r="D51" t="s">
        <v>6994</v>
      </c>
      <c r="E51">
        <v>78</v>
      </c>
      <c r="F51">
        <v>7</v>
      </c>
      <c r="G51" s="4">
        <v>6.1868414202423602E-7</v>
      </c>
      <c r="H51" s="4">
        <v>6.9292623906714405E-5</v>
      </c>
      <c r="I51" t="s">
        <v>10038</v>
      </c>
    </row>
    <row r="52" spans="1:9" x14ac:dyDescent="0.25">
      <c r="A52" t="s">
        <v>8935</v>
      </c>
      <c r="C52" s="3" t="str">
        <f>HYPERLINK("http://amigo.geneontology.org/amigo/term/GO:0009698","GO:0009698")</f>
        <v>GO:0009698</v>
      </c>
      <c r="D52" t="s">
        <v>5618</v>
      </c>
      <c r="E52">
        <v>157</v>
      </c>
      <c r="F52">
        <v>9</v>
      </c>
      <c r="G52" s="4">
        <v>7.1999117749157002E-7</v>
      </c>
      <c r="H52" s="4">
        <v>7.9199029524072706E-5</v>
      </c>
      <c r="I52" t="s">
        <v>10011</v>
      </c>
    </row>
    <row r="53" spans="1:9" x14ac:dyDescent="0.25">
      <c r="A53" t="s">
        <v>10040</v>
      </c>
      <c r="C53" s="3" t="str">
        <f>HYPERLINK("http://amigo.geneontology.org/amigo/term/GO:0016705","GO:0016705")</f>
        <v>GO:0016705</v>
      </c>
      <c r="D53" t="s">
        <v>4121</v>
      </c>
      <c r="E53">
        <v>2131</v>
      </c>
      <c r="F53">
        <v>34</v>
      </c>
      <c r="G53" s="4">
        <v>7.6633183691919798E-7</v>
      </c>
      <c r="H53" s="4">
        <v>8.1997506550354201E-5</v>
      </c>
      <c r="I53" t="s">
        <v>10041</v>
      </c>
    </row>
    <row r="54" spans="1:9" x14ac:dyDescent="0.25">
      <c r="A54" t="s">
        <v>7072</v>
      </c>
      <c r="C54" s="3" t="str">
        <f>HYPERLINK("http://amigo.geneontology.org/amigo/term/GO:0030162","GO:0030162")</f>
        <v>GO:0030162</v>
      </c>
      <c r="D54" t="s">
        <v>7004</v>
      </c>
      <c r="E54">
        <v>82</v>
      </c>
      <c r="F54">
        <v>7</v>
      </c>
      <c r="G54" s="4">
        <v>8.7147507264627802E-7</v>
      </c>
      <c r="H54" s="4">
        <v>9.1504882627859197E-5</v>
      </c>
      <c r="I54" t="s">
        <v>10038</v>
      </c>
    </row>
    <row r="55" spans="1:9" x14ac:dyDescent="0.25">
      <c r="A55" t="s">
        <v>7074</v>
      </c>
      <c r="C55" s="3" t="str">
        <f>HYPERLINK("http://amigo.geneontology.org/amigo/term/GO:0016773","GO:0016773")</f>
        <v>GO:0016773</v>
      </c>
      <c r="D55" t="s">
        <v>791</v>
      </c>
      <c r="E55">
        <v>6062</v>
      </c>
      <c r="F55">
        <v>69</v>
      </c>
      <c r="G55" s="4">
        <v>8.8339337776353E-7</v>
      </c>
      <c r="H55" s="4">
        <v>9.0106124531880096E-5</v>
      </c>
      <c r="I55" t="s">
        <v>10032</v>
      </c>
    </row>
    <row r="56" spans="1:9" x14ac:dyDescent="0.25">
      <c r="A56" t="s">
        <v>7079</v>
      </c>
      <c r="C56" s="3" t="str">
        <f>HYPERLINK("http://amigo.geneontology.org/amigo/term/GO:0051346","GO:0051346")</f>
        <v>GO:0051346</v>
      </c>
      <c r="D56" t="s">
        <v>7015</v>
      </c>
      <c r="E56">
        <v>87</v>
      </c>
      <c r="F56">
        <v>7</v>
      </c>
      <c r="G56" s="4">
        <v>1.30417293726302E-6</v>
      </c>
      <c r="H56" s="4">
        <v>1.3041729372630201E-4</v>
      </c>
      <c r="I56" t="s">
        <v>10038</v>
      </c>
    </row>
    <row r="57" spans="1:9" x14ac:dyDescent="0.25">
      <c r="A57" t="s">
        <v>10042</v>
      </c>
      <c r="C57" s="3" t="str">
        <f>HYPERLINK("http://amigo.geneontology.org/amigo/term/GO:0016887","GO:0016887")</f>
        <v>GO:0016887</v>
      </c>
      <c r="D57" t="s">
        <v>7566</v>
      </c>
      <c r="E57">
        <v>1067</v>
      </c>
      <c r="F57">
        <v>22</v>
      </c>
      <c r="G57" s="4">
        <v>1.36931032592931E-6</v>
      </c>
      <c r="H57" s="4">
        <v>1.3419241194107299E-4</v>
      </c>
      <c r="I57" t="s">
        <v>10043</v>
      </c>
    </row>
    <row r="58" spans="1:9" x14ac:dyDescent="0.25">
      <c r="A58" t="s">
        <v>10044</v>
      </c>
      <c r="C58" s="3" t="str">
        <f>HYPERLINK("http://amigo.geneontology.org/amigo/term/GO:0043168","GO:0043168")</f>
        <v>GO:0043168</v>
      </c>
      <c r="D58" t="s">
        <v>7011</v>
      </c>
      <c r="E58">
        <v>13483</v>
      </c>
      <c r="F58">
        <v>125</v>
      </c>
      <c r="G58" s="4">
        <v>1.52410679641151E-6</v>
      </c>
      <c r="H58" s="4">
        <v>1.46314252455505E-4</v>
      </c>
      <c r="I58" t="s">
        <v>10045</v>
      </c>
    </row>
    <row r="59" spans="1:9" x14ac:dyDescent="0.25">
      <c r="A59" t="s">
        <v>8215</v>
      </c>
      <c r="C59" s="3" t="str">
        <f>HYPERLINK("http://amigo.geneontology.org/amigo/term/GO:0016310","GO:0016310")</f>
        <v>GO:0016310</v>
      </c>
      <c r="D59" t="s">
        <v>1006</v>
      </c>
      <c r="E59">
        <v>6439</v>
      </c>
      <c r="F59">
        <v>71</v>
      </c>
      <c r="G59" s="4">
        <v>1.86526147570137E-6</v>
      </c>
      <c r="H59" s="4">
        <v>1.7533457871592899E-4</v>
      </c>
      <c r="I59" t="s">
        <v>10029</v>
      </c>
    </row>
    <row r="60" spans="1:9" x14ac:dyDescent="0.25">
      <c r="A60" t="s">
        <v>9780</v>
      </c>
      <c r="C60" s="3" t="str">
        <f>HYPERLINK("http://amigo.geneontology.org/amigo/term/GO:0055114","GO:0055114")</f>
        <v>GO:0055114</v>
      </c>
      <c r="D60" t="s">
        <v>454</v>
      </c>
      <c r="E60">
        <v>6698</v>
      </c>
      <c r="F60">
        <v>73</v>
      </c>
      <c r="G60" s="4">
        <v>1.9847620472782699E-6</v>
      </c>
      <c r="H60" s="4">
        <v>1.8259810834960101E-4</v>
      </c>
      <c r="I60" t="s">
        <v>10046</v>
      </c>
    </row>
    <row r="61" spans="1:9" x14ac:dyDescent="0.25">
      <c r="A61" t="s">
        <v>7098</v>
      </c>
      <c r="C61" s="3" t="str">
        <f>HYPERLINK("http://amigo.geneontology.org/amigo/term/GO:0004588","GO:0004588")</f>
        <v>GO:0004588</v>
      </c>
      <c r="D61" t="s">
        <v>7222</v>
      </c>
      <c r="E61">
        <v>5</v>
      </c>
      <c r="F61">
        <v>3</v>
      </c>
      <c r="G61" s="4">
        <v>2.3629722103439499E-6</v>
      </c>
      <c r="H61" s="4">
        <v>2.07941554510268E-4</v>
      </c>
      <c r="I61" t="s">
        <v>8913</v>
      </c>
    </row>
    <row r="62" spans="1:9" x14ac:dyDescent="0.25">
      <c r="A62" t="s">
        <v>8970</v>
      </c>
      <c r="C62" s="3" t="str">
        <f>HYPERLINK("http://amigo.geneontology.org/amigo/term/GO:0004590","GO:0004590")</f>
        <v>GO:0004590</v>
      </c>
      <c r="D62" t="s">
        <v>7225</v>
      </c>
      <c r="E62">
        <v>5</v>
      </c>
      <c r="F62">
        <v>3</v>
      </c>
      <c r="G62" s="4">
        <v>2.3629722103439499E-6</v>
      </c>
      <c r="H62" s="4">
        <v>2.12667498930956E-4</v>
      </c>
      <c r="I62" t="s">
        <v>8913</v>
      </c>
    </row>
    <row r="63" spans="1:9" x14ac:dyDescent="0.25">
      <c r="A63" t="s">
        <v>7111</v>
      </c>
      <c r="C63" s="3" t="str">
        <f>HYPERLINK("http://amigo.geneontology.org/amigo/term/GO:0032559","GO:0032559")</f>
        <v>GO:0032559</v>
      </c>
      <c r="D63" t="s">
        <v>7026</v>
      </c>
      <c r="E63">
        <v>11290</v>
      </c>
      <c r="F63">
        <v>108</v>
      </c>
      <c r="G63" s="4">
        <v>2.4833325139392699E-6</v>
      </c>
      <c r="H63" s="4">
        <v>2.13566596198777E-4</v>
      </c>
      <c r="I63" t="s">
        <v>10047</v>
      </c>
    </row>
    <row r="64" spans="1:9" x14ac:dyDescent="0.25">
      <c r="A64" t="s">
        <v>7112</v>
      </c>
      <c r="C64" s="3" t="str">
        <f>HYPERLINK("http://amigo.geneontology.org/amigo/term/GO:0003700","GO:0003700")</f>
        <v>GO:0003700</v>
      </c>
      <c r="D64" t="s">
        <v>5173</v>
      </c>
      <c r="E64">
        <v>2075</v>
      </c>
      <c r="F64">
        <v>32</v>
      </c>
      <c r="G64" s="4">
        <v>3.2833757070540101E-6</v>
      </c>
      <c r="H64" s="4">
        <v>2.7908693509959103E-4</v>
      </c>
      <c r="I64" t="s">
        <v>10048</v>
      </c>
    </row>
    <row r="65" spans="1:9" x14ac:dyDescent="0.25">
      <c r="A65" t="s">
        <v>8222</v>
      </c>
      <c r="C65" s="3" t="str">
        <f>HYPERLINK("http://amigo.geneontology.org/amigo/term/GO:0030554","GO:0030554")</f>
        <v>GO:0030554</v>
      </c>
      <c r="D65" t="s">
        <v>7029</v>
      </c>
      <c r="E65">
        <v>11378</v>
      </c>
      <c r="F65">
        <v>108</v>
      </c>
      <c r="G65" s="4">
        <v>3.5473030874294899E-6</v>
      </c>
      <c r="H65" s="4">
        <v>2.94426156256648E-4</v>
      </c>
      <c r="I65" t="s">
        <v>10047</v>
      </c>
    </row>
    <row r="66" spans="1:9" x14ac:dyDescent="0.25">
      <c r="A66" t="s">
        <v>10049</v>
      </c>
      <c r="C66" s="3" t="str">
        <f>HYPERLINK("http://amigo.geneontology.org/amigo/term/GO:0097367","GO:0097367")</f>
        <v>GO:0097367</v>
      </c>
      <c r="D66" t="s">
        <v>7019</v>
      </c>
      <c r="E66">
        <v>12255</v>
      </c>
      <c r="F66">
        <v>114</v>
      </c>
      <c r="G66" s="4">
        <v>4.5074749425528698E-6</v>
      </c>
      <c r="H66" s="4">
        <v>3.6961294528933499E-4</v>
      </c>
      <c r="I66" t="s">
        <v>10050</v>
      </c>
    </row>
    <row r="67" spans="1:9" x14ac:dyDescent="0.25">
      <c r="A67" t="s">
        <v>7120</v>
      </c>
      <c r="C67" s="3" t="str">
        <f>HYPERLINK("http://amigo.geneontology.org/amigo/term/GO:0050307","GO:0050307")</f>
        <v>GO:0050307</v>
      </c>
      <c r="D67" t="s">
        <v>8993</v>
      </c>
      <c r="E67">
        <v>6</v>
      </c>
      <c r="F67">
        <v>3</v>
      </c>
      <c r="G67" s="4">
        <v>4.7040679638526398E-6</v>
      </c>
      <c r="H67" s="4">
        <v>3.7632543710821101E-4</v>
      </c>
      <c r="I67" t="s">
        <v>10051</v>
      </c>
    </row>
    <row r="68" spans="1:9" x14ac:dyDescent="0.25">
      <c r="A68" t="s">
        <v>10052</v>
      </c>
      <c r="C68" s="3" t="str">
        <f>HYPERLINK("http://amigo.geneontology.org/amigo/term/GO:1901565","GO:1901565")</f>
        <v>GO:1901565</v>
      </c>
      <c r="D68" t="s">
        <v>7125</v>
      </c>
      <c r="E68">
        <v>1263</v>
      </c>
      <c r="F68">
        <v>23</v>
      </c>
      <c r="G68" s="4">
        <v>6.1050591570196098E-6</v>
      </c>
      <c r="H68" s="4">
        <v>4.8229967340454903E-4</v>
      </c>
      <c r="I68" t="s">
        <v>10053</v>
      </c>
    </row>
    <row r="69" spans="1:9" x14ac:dyDescent="0.25">
      <c r="A69" t="s">
        <v>7124</v>
      </c>
      <c r="C69" s="3" t="str">
        <f>HYPERLINK("http://amigo.geneontology.org/amigo/term/GO:0043167","GO:0043167")</f>
        <v>GO:0043167</v>
      </c>
      <c r="D69" t="s">
        <v>6996</v>
      </c>
      <c r="E69">
        <v>24059</v>
      </c>
      <c r="F69">
        <v>195</v>
      </c>
      <c r="G69" s="4">
        <v>6.6600007391599901E-6</v>
      </c>
      <c r="H69" s="4">
        <v>5.1282005691531901E-4</v>
      </c>
      <c r="I69" t="s">
        <v>10054</v>
      </c>
    </row>
    <row r="70" spans="1:9" x14ac:dyDescent="0.25">
      <c r="A70" t="s">
        <v>10055</v>
      </c>
      <c r="C70" s="3" t="str">
        <f>HYPERLINK("http://amigo.geneontology.org/amigo/term/GO:0032553","GO:0032553")</f>
        <v>GO:0032553</v>
      </c>
      <c r="D70" t="s">
        <v>7031</v>
      </c>
      <c r="E70">
        <v>12119</v>
      </c>
      <c r="F70">
        <v>112</v>
      </c>
      <c r="G70" s="4">
        <v>7.6077349376962603E-6</v>
      </c>
      <c r="H70" s="4">
        <v>5.7818785526491604E-4</v>
      </c>
      <c r="I70" t="s">
        <v>10056</v>
      </c>
    </row>
    <row r="71" spans="1:9" x14ac:dyDescent="0.25">
      <c r="A71" t="s">
        <v>7137</v>
      </c>
      <c r="C71" s="3" t="str">
        <f>HYPERLINK("http://amigo.geneontology.org/amigo/term/GO:0005506","GO:0005506")</f>
        <v>GO:0005506</v>
      </c>
      <c r="D71" t="s">
        <v>1214</v>
      </c>
      <c r="E71">
        <v>1961</v>
      </c>
      <c r="F71">
        <v>30</v>
      </c>
      <c r="G71" s="4">
        <v>7.7727260118582093E-6</v>
      </c>
      <c r="H71" s="4">
        <v>5.8295445088936599E-4</v>
      </c>
      <c r="I71" t="s">
        <v>10057</v>
      </c>
    </row>
    <row r="72" spans="1:9" x14ac:dyDescent="0.25">
      <c r="A72" t="s">
        <v>7140</v>
      </c>
      <c r="C72" s="3" t="str">
        <f>HYPERLINK("http://amigo.geneontology.org/amigo/term/GO:0003991","GO:0003991")</f>
        <v>GO:0003991</v>
      </c>
      <c r="D72" t="s">
        <v>9658</v>
      </c>
      <c r="E72">
        <v>7</v>
      </c>
      <c r="F72">
        <v>3</v>
      </c>
      <c r="G72" s="4">
        <v>8.1940238131370005E-6</v>
      </c>
      <c r="H72" s="4">
        <v>6.0635776217213798E-4</v>
      </c>
      <c r="I72" t="s">
        <v>10058</v>
      </c>
    </row>
    <row r="73" spans="1:9" x14ac:dyDescent="0.25">
      <c r="A73" t="s">
        <v>7142</v>
      </c>
      <c r="C73" s="3" t="str">
        <f>HYPERLINK("http://amigo.geneontology.org/amigo/term/GO:0019439","GO:0019439")</f>
        <v>GO:0019439</v>
      </c>
      <c r="D73" t="s">
        <v>5092</v>
      </c>
      <c r="E73">
        <v>775</v>
      </c>
      <c r="F73">
        <v>17</v>
      </c>
      <c r="G73" s="4">
        <v>9.79113016479817E-6</v>
      </c>
      <c r="H73" s="4">
        <v>7.0496137186546804E-4</v>
      </c>
      <c r="I73" t="s">
        <v>10007</v>
      </c>
    </row>
    <row r="74" spans="1:9" x14ac:dyDescent="0.25">
      <c r="A74" t="s">
        <v>7144</v>
      </c>
      <c r="C74" s="3" t="str">
        <f>HYPERLINK("http://amigo.geneontology.org/amigo/term/GO:0004867","GO:0004867")</f>
        <v>GO:0004867</v>
      </c>
      <c r="D74" t="s">
        <v>7084</v>
      </c>
      <c r="E74">
        <v>335</v>
      </c>
      <c r="F74">
        <v>11</v>
      </c>
      <c r="G74" s="4">
        <v>9.9585811485180297E-6</v>
      </c>
      <c r="H74" s="4">
        <v>7.0705926154477998E-4</v>
      </c>
      <c r="I74" t="s">
        <v>10059</v>
      </c>
    </row>
    <row r="75" spans="1:9" x14ac:dyDescent="0.25">
      <c r="A75" t="s">
        <v>7151</v>
      </c>
      <c r="C75" s="3" t="str">
        <f>HYPERLINK("http://amigo.geneontology.org/amigo/term/GO:0016772","GO:0016772")</f>
        <v>GO:0016772</v>
      </c>
      <c r="D75" t="s">
        <v>1211</v>
      </c>
      <c r="E75">
        <v>6904</v>
      </c>
      <c r="F75">
        <v>72</v>
      </c>
      <c r="G75" s="4">
        <v>1.07311688438626E-5</v>
      </c>
      <c r="H75" s="4">
        <v>7.5118181907038299E-4</v>
      </c>
      <c r="I75" t="s">
        <v>10036</v>
      </c>
    </row>
    <row r="76" spans="1:9" x14ac:dyDescent="0.25">
      <c r="A76" t="s">
        <v>7153</v>
      </c>
      <c r="C76" s="3" t="str">
        <f>HYPERLINK("http://amigo.geneontology.org/amigo/term/GO:0017144","GO:0017144")</f>
        <v>GO:0017144</v>
      </c>
      <c r="D76" t="s">
        <v>4310</v>
      </c>
      <c r="E76">
        <v>1595</v>
      </c>
      <c r="F76">
        <v>26</v>
      </c>
      <c r="G76" s="4">
        <v>1.0743273168755799E-5</v>
      </c>
      <c r="H76" s="4">
        <v>7.4128584864415197E-4</v>
      </c>
      <c r="I76" t="s">
        <v>10060</v>
      </c>
    </row>
    <row r="77" spans="1:9" x14ac:dyDescent="0.25">
      <c r="A77" t="s">
        <v>10061</v>
      </c>
      <c r="C77" s="3" t="str">
        <f>HYPERLINK("http://amigo.geneontology.org/amigo/term/GO:1901361","GO:1901361")</f>
        <v>GO:1901361</v>
      </c>
      <c r="D77" t="s">
        <v>5100</v>
      </c>
      <c r="E77">
        <v>792</v>
      </c>
      <c r="F77">
        <v>17</v>
      </c>
      <c r="G77" s="4">
        <v>1.2915136061313599E-5</v>
      </c>
      <c r="H77" s="4">
        <v>8.7822925216932601E-4</v>
      </c>
      <c r="I77" t="s">
        <v>10007</v>
      </c>
    </row>
    <row r="78" spans="1:9" x14ac:dyDescent="0.25">
      <c r="A78" t="s">
        <v>10062</v>
      </c>
      <c r="C78" s="3" t="str">
        <f>HYPERLINK("http://amigo.geneontology.org/amigo/term/GO:0004674","GO:0004674")</f>
        <v>GO:0004674</v>
      </c>
      <c r="D78" t="s">
        <v>1322</v>
      </c>
      <c r="E78">
        <v>2443</v>
      </c>
      <c r="F78">
        <v>34</v>
      </c>
      <c r="G78" s="4">
        <v>1.39603521222402E-5</v>
      </c>
      <c r="H78" s="4">
        <v>9.3534359219009898E-4</v>
      </c>
      <c r="I78" t="s">
        <v>10063</v>
      </c>
    </row>
    <row r="79" spans="1:9" x14ac:dyDescent="0.25">
      <c r="A79" t="s">
        <v>10064</v>
      </c>
      <c r="C79" s="3" t="str">
        <f>HYPERLINK("http://amigo.geneontology.org/amigo/term/GO:0004497","GO:0004497")</f>
        <v>GO:0004497</v>
      </c>
      <c r="D79" t="s">
        <v>783</v>
      </c>
      <c r="E79">
        <v>891</v>
      </c>
      <c r="F79">
        <v>18</v>
      </c>
      <c r="G79" s="4">
        <v>1.61943734498551E-5</v>
      </c>
      <c r="H79">
        <v>1.0688286476904299E-3</v>
      </c>
      <c r="I79" t="s">
        <v>10065</v>
      </c>
    </row>
    <row r="80" spans="1:9" x14ac:dyDescent="0.25">
      <c r="A80" t="s">
        <v>9001</v>
      </c>
      <c r="C80" s="3" t="str">
        <f>HYPERLINK("http://amigo.geneontology.org/amigo/term/GO:0005986","GO:0005986")</f>
        <v>GO:0005986</v>
      </c>
      <c r="D80" t="s">
        <v>9023</v>
      </c>
      <c r="E80">
        <v>9</v>
      </c>
      <c r="F80">
        <v>3</v>
      </c>
      <c r="G80" s="4">
        <v>1.9484149749673401E-5</v>
      </c>
      <c r="H80">
        <v>1.2664697337287699E-3</v>
      </c>
      <c r="I80" t="s">
        <v>10051</v>
      </c>
    </row>
    <row r="81" spans="1:9" x14ac:dyDescent="0.25">
      <c r="A81" t="s">
        <v>7155</v>
      </c>
      <c r="C81" s="3" t="str">
        <f>HYPERLINK("http://amigo.geneontology.org/amigo/term/GO:0019752","GO:0019752")</f>
        <v>GO:0019752</v>
      </c>
      <c r="D81" t="s">
        <v>4275</v>
      </c>
      <c r="E81">
        <v>2833</v>
      </c>
      <c r="F81">
        <v>37</v>
      </c>
      <c r="G81" s="4">
        <v>2.2921235061359801E-5</v>
      </c>
      <c r="H81">
        <v>1.4669590439270301E-3</v>
      </c>
      <c r="I81" t="s">
        <v>10066</v>
      </c>
    </row>
    <row r="82" spans="1:9" x14ac:dyDescent="0.25">
      <c r="A82" t="s">
        <v>10067</v>
      </c>
      <c r="C82" s="3" t="str">
        <f>HYPERLINK("http://amigo.geneontology.org/amigo/term/GO:0020037","GO:0020037")</f>
        <v>GO:0020037</v>
      </c>
      <c r="D82" t="s">
        <v>1181</v>
      </c>
      <c r="E82">
        <v>2527</v>
      </c>
      <c r="F82">
        <v>34</v>
      </c>
      <c r="G82" s="4">
        <v>2.7515475461225401E-5</v>
      </c>
      <c r="H82">
        <v>1.7334749540572E-3</v>
      </c>
      <c r="I82" t="s">
        <v>10068</v>
      </c>
    </row>
    <row r="83" spans="1:9" x14ac:dyDescent="0.25">
      <c r="A83" t="s">
        <v>10069</v>
      </c>
      <c r="C83" s="3" t="str">
        <f>HYPERLINK("http://amigo.geneontology.org/amigo/term/GO:0045493","GO:0045493")</f>
        <v>GO:0045493</v>
      </c>
      <c r="D83" t="s">
        <v>7309</v>
      </c>
      <c r="E83">
        <v>10</v>
      </c>
      <c r="F83">
        <v>3</v>
      </c>
      <c r="G83" s="4">
        <v>2.7705808633246101E-5</v>
      </c>
      <c r="H83">
        <v>1.7177601352612599E-3</v>
      </c>
      <c r="I83" t="s">
        <v>10070</v>
      </c>
    </row>
    <row r="84" spans="1:9" x14ac:dyDescent="0.25">
      <c r="A84" t="s">
        <v>7162</v>
      </c>
      <c r="C84" s="3" t="str">
        <f>HYPERLINK("http://amigo.geneontology.org/amigo/term/GO:0032555","GO:0032555")</f>
        <v>GO:0032555</v>
      </c>
      <c r="D84" t="s">
        <v>7046</v>
      </c>
      <c r="E84">
        <v>11962</v>
      </c>
      <c r="F84">
        <v>108</v>
      </c>
      <c r="G84" s="4">
        <v>3.1794961021284701E-5</v>
      </c>
      <c r="H84">
        <v>1.9394926222983601E-3</v>
      </c>
      <c r="I84" t="s">
        <v>10047</v>
      </c>
    </row>
    <row r="85" spans="1:9" x14ac:dyDescent="0.25">
      <c r="A85" t="s">
        <v>10071</v>
      </c>
      <c r="C85" s="3" t="str">
        <f>HYPERLINK("http://amigo.geneontology.org/amigo/term/GO:0043436","GO:0043436")</f>
        <v>GO:0043436</v>
      </c>
      <c r="D85" t="s">
        <v>4300</v>
      </c>
      <c r="E85">
        <v>2895</v>
      </c>
      <c r="F85">
        <v>37</v>
      </c>
      <c r="G85" s="4">
        <v>3.6048461062885602E-5</v>
      </c>
      <c r="H85">
        <v>2.1989561248360202E-3</v>
      </c>
      <c r="I85" t="s">
        <v>10066</v>
      </c>
    </row>
    <row r="86" spans="1:9" x14ac:dyDescent="0.25">
      <c r="A86" t="s">
        <v>10072</v>
      </c>
      <c r="C86" s="3" t="str">
        <f>HYPERLINK("http://amigo.geneontology.org/amigo/term/GO:0006082","GO:0006082")</f>
        <v>GO:0006082</v>
      </c>
      <c r="D86" t="s">
        <v>4301</v>
      </c>
      <c r="E86">
        <v>2904</v>
      </c>
      <c r="F86">
        <v>37</v>
      </c>
      <c r="G86" s="4">
        <v>3.8441770779853497E-5</v>
      </c>
      <c r="H86">
        <v>2.3065062467912101E-3</v>
      </c>
      <c r="I86" t="s">
        <v>10066</v>
      </c>
    </row>
    <row r="87" spans="1:9" x14ac:dyDescent="0.25">
      <c r="A87" t="s">
        <v>8237</v>
      </c>
      <c r="C87" s="3" t="str">
        <f>HYPERLINK("http://amigo.geneontology.org/amigo/term/GO:0005355","GO:0005355")</f>
        <v>GO:0005355</v>
      </c>
      <c r="D87" t="s">
        <v>7138</v>
      </c>
      <c r="E87">
        <v>2</v>
      </c>
      <c r="F87">
        <v>2</v>
      </c>
      <c r="G87" s="4">
        <v>3.8538685840992101E-5</v>
      </c>
      <c r="H87">
        <v>2.1967050929365501E-3</v>
      </c>
      <c r="I87" t="s">
        <v>7139</v>
      </c>
    </row>
    <row r="88" spans="1:9" x14ac:dyDescent="0.25">
      <c r="A88" t="s">
        <v>10073</v>
      </c>
      <c r="C88" s="3" t="str">
        <f>HYPERLINK("http://amigo.geneontology.org/amigo/term/GO:0009679","GO:0009679")</f>
        <v>GO:0009679</v>
      </c>
      <c r="D88" t="s">
        <v>7141</v>
      </c>
      <c r="E88">
        <v>2</v>
      </c>
      <c r="F88">
        <v>2</v>
      </c>
      <c r="G88" s="4">
        <v>3.8538685840992101E-5</v>
      </c>
      <c r="H88">
        <v>2.1967050929365501E-3</v>
      </c>
      <c r="I88" t="s">
        <v>7139</v>
      </c>
    </row>
    <row r="89" spans="1:9" x14ac:dyDescent="0.25">
      <c r="A89" t="s">
        <v>10074</v>
      </c>
      <c r="C89" s="3" t="str">
        <f>HYPERLINK("http://amigo.geneontology.org/amigo/term/GO:0005356","GO:0005356")</f>
        <v>GO:0005356</v>
      </c>
      <c r="D89" t="s">
        <v>7143</v>
      </c>
      <c r="E89">
        <v>2</v>
      </c>
      <c r="F89">
        <v>2</v>
      </c>
      <c r="G89" s="4">
        <v>3.8538685840992101E-5</v>
      </c>
      <c r="H89">
        <v>2.2352437787775399E-3</v>
      </c>
      <c r="I89" t="s">
        <v>7139</v>
      </c>
    </row>
    <row r="90" spans="1:9" x14ac:dyDescent="0.25">
      <c r="A90" t="s">
        <v>7170</v>
      </c>
      <c r="C90" s="3" t="str">
        <f>HYPERLINK("http://amigo.geneontology.org/amigo/term/GO:0005358","GO:0005358")</f>
        <v>GO:0005358</v>
      </c>
      <c r="D90" t="s">
        <v>7145</v>
      </c>
      <c r="E90">
        <v>2</v>
      </c>
      <c r="F90">
        <v>2</v>
      </c>
      <c r="G90" s="4">
        <v>3.8538685840992101E-5</v>
      </c>
      <c r="H90">
        <v>2.2737824646185301E-3</v>
      </c>
      <c r="I90" t="s">
        <v>7139</v>
      </c>
    </row>
    <row r="91" spans="1:9" x14ac:dyDescent="0.25">
      <c r="A91" t="s">
        <v>8243</v>
      </c>
      <c r="C91" s="3" t="str">
        <f>HYPERLINK("http://amigo.geneontology.org/amigo/term/GO:0036094","GO:0036094")</f>
        <v>GO:0036094</v>
      </c>
      <c r="D91" t="s">
        <v>7049</v>
      </c>
      <c r="E91">
        <v>14544</v>
      </c>
      <c r="F91">
        <v>126</v>
      </c>
      <c r="G91" s="4">
        <v>3.8679331111029701E-5</v>
      </c>
      <c r="H91">
        <v>2.1660425422176601E-3</v>
      </c>
      <c r="I91" t="s">
        <v>10075</v>
      </c>
    </row>
    <row r="92" spans="1:9" x14ac:dyDescent="0.25">
      <c r="A92" t="s">
        <v>9013</v>
      </c>
      <c r="C92" s="3" t="str">
        <f>HYPERLINK("http://amigo.geneontology.org/amigo/term/GO:0051336","GO:0051336")</f>
        <v>GO:0051336</v>
      </c>
      <c r="D92" t="s">
        <v>7071</v>
      </c>
      <c r="E92">
        <v>148</v>
      </c>
      <c r="F92">
        <v>7</v>
      </c>
      <c r="G92" s="4">
        <v>4.3094824274892602E-5</v>
      </c>
      <c r="H92">
        <v>2.3702153351190902E-3</v>
      </c>
      <c r="I92" t="s">
        <v>10038</v>
      </c>
    </row>
    <row r="93" spans="1:9" x14ac:dyDescent="0.25">
      <c r="A93" t="s">
        <v>10076</v>
      </c>
      <c r="C93" s="3" t="str">
        <f>HYPERLINK("http://amigo.geneontology.org/amigo/term/GO:0017076","GO:0017076")</f>
        <v>GO:0017076</v>
      </c>
      <c r="D93" t="s">
        <v>7057</v>
      </c>
      <c r="E93">
        <v>12052</v>
      </c>
      <c r="F93">
        <v>108</v>
      </c>
      <c r="G93" s="4">
        <v>4.3449033118245597E-5</v>
      </c>
      <c r="H93">
        <v>2.3896968215035E-3</v>
      </c>
      <c r="I93" t="s">
        <v>10047</v>
      </c>
    </row>
    <row r="94" spans="1:9" x14ac:dyDescent="0.25">
      <c r="A94" t="s">
        <v>7172</v>
      </c>
      <c r="C94" s="3" t="str">
        <f>HYPERLINK("http://amigo.geneontology.org/amigo/term/GO:0009064","GO:0009064")</f>
        <v>GO:0009064</v>
      </c>
      <c r="D94" t="s">
        <v>7427</v>
      </c>
      <c r="E94">
        <v>153</v>
      </c>
      <c r="F94">
        <v>7</v>
      </c>
      <c r="G94" s="4">
        <v>5.3207607130669301E-5</v>
      </c>
      <c r="H94">
        <v>2.8732107850561401E-3</v>
      </c>
      <c r="I94" t="s">
        <v>10077</v>
      </c>
    </row>
    <row r="95" spans="1:9" x14ac:dyDescent="0.25">
      <c r="A95" t="s">
        <v>8244</v>
      </c>
      <c r="C95" s="3" t="str">
        <f>HYPERLINK("http://amigo.geneontology.org/amigo/term/GO:0046906","GO:0046906")</f>
        <v>GO:0046906</v>
      </c>
      <c r="D95" t="s">
        <v>1085</v>
      </c>
      <c r="E95">
        <v>2625</v>
      </c>
      <c r="F95">
        <v>34</v>
      </c>
      <c r="G95" s="4">
        <v>5.7881131543623403E-5</v>
      </c>
      <c r="H95">
        <v>3.0676999718120398E-3</v>
      </c>
      <c r="I95" t="s">
        <v>10068</v>
      </c>
    </row>
    <row r="96" spans="1:9" x14ac:dyDescent="0.25">
      <c r="A96" t="s">
        <v>8247</v>
      </c>
      <c r="C96" s="3" t="str">
        <f>HYPERLINK("http://amigo.geneontology.org/amigo/term/GO:1901265","GO:1901265")</f>
        <v>GO:1901265</v>
      </c>
      <c r="D96" t="s">
        <v>7052</v>
      </c>
      <c r="E96">
        <v>13996</v>
      </c>
      <c r="F96">
        <v>121</v>
      </c>
      <c r="G96" s="4">
        <v>6.4408557440603196E-5</v>
      </c>
      <c r="H96">
        <v>3.3492449869113598E-3</v>
      </c>
      <c r="I96" t="s">
        <v>10078</v>
      </c>
    </row>
    <row r="97" spans="1:9" x14ac:dyDescent="0.25">
      <c r="A97" t="s">
        <v>10079</v>
      </c>
      <c r="C97" s="3" t="str">
        <f>HYPERLINK("http://amigo.geneontology.org/amigo/term/GO:0000166","GO:0000166")</f>
        <v>GO:0000166</v>
      </c>
      <c r="D97" t="s">
        <v>7055</v>
      </c>
      <c r="E97">
        <v>13996</v>
      </c>
      <c r="F97">
        <v>121</v>
      </c>
      <c r="G97" s="4">
        <v>6.4408557440603196E-5</v>
      </c>
      <c r="H97">
        <v>3.4136535443519602E-3</v>
      </c>
      <c r="I97" t="s">
        <v>10078</v>
      </c>
    </row>
    <row r="98" spans="1:9" x14ac:dyDescent="0.25">
      <c r="A98" t="s">
        <v>9782</v>
      </c>
      <c r="C98" s="3" t="str">
        <f>HYPERLINK("http://amigo.geneontology.org/amigo/term/GO:0051248","GO:0051248")</f>
        <v>GO:0051248</v>
      </c>
      <c r="D98" t="s">
        <v>6227</v>
      </c>
      <c r="E98">
        <v>228</v>
      </c>
      <c r="F98">
        <v>8</v>
      </c>
      <c r="G98" s="4">
        <v>1.02079804504025E-4</v>
      </c>
      <c r="H98">
        <v>5.2060700297053E-3</v>
      </c>
      <c r="I98" t="s">
        <v>10080</v>
      </c>
    </row>
    <row r="99" spans="1:9" x14ac:dyDescent="0.25">
      <c r="A99" t="s">
        <v>7178</v>
      </c>
      <c r="C99" s="3" t="str">
        <f>HYPERLINK("http://amigo.geneontology.org/amigo/term/GO:0032269","GO:0032269")</f>
        <v>GO:0032269</v>
      </c>
      <c r="D99" t="s">
        <v>6230</v>
      </c>
      <c r="E99">
        <v>228</v>
      </c>
      <c r="F99">
        <v>8</v>
      </c>
      <c r="G99" s="4">
        <v>1.02079804504025E-4</v>
      </c>
      <c r="H99">
        <v>5.2060700297053E-3</v>
      </c>
      <c r="I99" t="s">
        <v>10080</v>
      </c>
    </row>
    <row r="100" spans="1:9" x14ac:dyDescent="0.25">
      <c r="A100" t="s">
        <v>10081</v>
      </c>
      <c r="C100" s="3" t="str">
        <f>HYPERLINK("http://amigo.geneontology.org/amigo/term/GO:0019748","GO:0019748")</f>
        <v>GO:0019748</v>
      </c>
      <c r="D100" t="s">
        <v>5900</v>
      </c>
      <c r="E100">
        <v>362</v>
      </c>
      <c r="F100">
        <v>10</v>
      </c>
      <c r="G100" s="4">
        <v>1.05642461015054E-4</v>
      </c>
      <c r="H100">
        <v>5.2821230507527003E-3</v>
      </c>
      <c r="I100" t="s">
        <v>10033</v>
      </c>
    </row>
    <row r="101" spans="1:9" x14ac:dyDescent="0.25">
      <c r="A101" t="s">
        <v>7187</v>
      </c>
      <c r="C101" s="3" t="str">
        <f>HYPERLINK("http://amigo.geneontology.org/amigo/term/GO:0004640","GO:0004640")</f>
        <v>GO:0004640</v>
      </c>
      <c r="D101" t="s">
        <v>7185</v>
      </c>
      <c r="E101">
        <v>3</v>
      </c>
      <c r="F101">
        <v>2</v>
      </c>
      <c r="G101" s="4">
        <v>1.15139055213233E-4</v>
      </c>
      <c r="H101">
        <v>5.75695276066169E-3</v>
      </c>
      <c r="I101" t="s">
        <v>7186</v>
      </c>
    </row>
    <row r="102" spans="1:9" x14ac:dyDescent="0.25">
      <c r="A102" t="s">
        <v>9029</v>
      </c>
      <c r="C102" s="3" t="str">
        <f>HYPERLINK("http://amigo.geneontology.org/amigo/term/GO:0048037","GO:0048037")</f>
        <v>GO:0048037</v>
      </c>
      <c r="D102" t="s">
        <v>4125</v>
      </c>
      <c r="E102">
        <v>4750</v>
      </c>
      <c r="F102">
        <v>51</v>
      </c>
      <c r="G102" s="4">
        <v>1.16469290195144E-4</v>
      </c>
      <c r="H102">
        <v>5.7069952195620702E-3</v>
      </c>
      <c r="I102" t="s">
        <v>10082</v>
      </c>
    </row>
    <row r="103" spans="1:9" x14ac:dyDescent="0.25">
      <c r="A103" t="s">
        <v>10083</v>
      </c>
      <c r="C103" s="3" t="str">
        <f>HYPERLINK("http://amigo.geneontology.org/amigo/term/GO:0061134","GO:0061134")</f>
        <v>GO:0061134</v>
      </c>
      <c r="D103" t="s">
        <v>7169</v>
      </c>
      <c r="E103">
        <v>445</v>
      </c>
      <c r="F103">
        <v>11</v>
      </c>
      <c r="G103" s="4">
        <v>1.2863870080178201E-4</v>
      </c>
      <c r="H103">
        <v>6.0460189376837902E-3</v>
      </c>
      <c r="I103" t="s">
        <v>10059</v>
      </c>
    </row>
    <row r="104" spans="1:9" x14ac:dyDescent="0.25">
      <c r="A104" t="s">
        <v>10084</v>
      </c>
      <c r="C104" s="3" t="str">
        <f>HYPERLINK("http://amigo.geneontology.org/amigo/term/GO:0030414","GO:0030414")</f>
        <v>GO:0030414</v>
      </c>
      <c r="D104" t="s">
        <v>7171</v>
      </c>
      <c r="E104">
        <v>445</v>
      </c>
      <c r="F104">
        <v>11</v>
      </c>
      <c r="G104" s="4">
        <v>1.2863870080178201E-4</v>
      </c>
      <c r="H104">
        <v>6.17465763848557E-3</v>
      </c>
      <c r="I104" t="s">
        <v>10059</v>
      </c>
    </row>
    <row r="105" spans="1:9" x14ac:dyDescent="0.25">
      <c r="A105" t="s">
        <v>8254</v>
      </c>
      <c r="C105" s="3" t="str">
        <f>HYPERLINK("http://amigo.geneontology.org/amigo/term/GO:0061135","GO:0061135")</f>
        <v>GO:0061135</v>
      </c>
      <c r="D105" t="s">
        <v>7173</v>
      </c>
      <c r="E105">
        <v>445</v>
      </c>
      <c r="F105">
        <v>11</v>
      </c>
      <c r="G105" s="4">
        <v>1.2863870080178201E-4</v>
      </c>
      <c r="H105">
        <v>6.17465763848557E-3</v>
      </c>
      <c r="I105" t="s">
        <v>10059</v>
      </c>
    </row>
    <row r="106" spans="1:9" x14ac:dyDescent="0.25">
      <c r="A106" t="s">
        <v>8255</v>
      </c>
      <c r="C106" s="3" t="str">
        <f>HYPERLINK("http://amigo.geneontology.org/amigo/term/GO:0004866","GO:0004866")</f>
        <v>GO:0004866</v>
      </c>
      <c r="D106" t="s">
        <v>7175</v>
      </c>
      <c r="E106">
        <v>445</v>
      </c>
      <c r="F106">
        <v>11</v>
      </c>
      <c r="G106" s="4">
        <v>1.2863870080178201E-4</v>
      </c>
      <c r="H106">
        <v>6.3032963392873603E-3</v>
      </c>
      <c r="I106" t="s">
        <v>10059</v>
      </c>
    </row>
    <row r="107" spans="1:9" x14ac:dyDescent="0.25">
      <c r="A107" t="s">
        <v>9035</v>
      </c>
      <c r="C107" s="3" t="str">
        <f>HYPERLINK("http://amigo.geneontology.org/amigo/term/GO:0016682","GO:0016682")</f>
        <v>GO:0016682</v>
      </c>
      <c r="D107" t="s">
        <v>864</v>
      </c>
      <c r="E107">
        <v>126</v>
      </c>
      <c r="F107">
        <v>6</v>
      </c>
      <c r="G107" s="4">
        <v>1.4658120849731201E-4</v>
      </c>
      <c r="H107">
        <v>6.8893167993736596E-3</v>
      </c>
      <c r="I107" t="s">
        <v>10026</v>
      </c>
    </row>
    <row r="108" spans="1:9" x14ac:dyDescent="0.25">
      <c r="A108" t="s">
        <v>9037</v>
      </c>
      <c r="C108" s="3" t="str">
        <f>HYPERLINK("http://amigo.geneontology.org/amigo/term/GO:0010310","GO:0010310")</f>
        <v>GO:0010310</v>
      </c>
      <c r="D108" t="s">
        <v>7266</v>
      </c>
      <c r="E108">
        <v>44</v>
      </c>
      <c r="F108">
        <v>4</v>
      </c>
      <c r="G108" s="4">
        <v>1.64208383795579E-4</v>
      </c>
      <c r="H108">
        <v>7.5535856545966701E-3</v>
      </c>
      <c r="I108" t="s">
        <v>10085</v>
      </c>
    </row>
    <row r="109" spans="1:9" x14ac:dyDescent="0.25">
      <c r="A109" t="s">
        <v>9040</v>
      </c>
      <c r="C109" s="3" t="str">
        <f>HYPERLINK("http://amigo.geneontology.org/amigo/term/GO:0004568","GO:0004568")</f>
        <v>GO:0004568</v>
      </c>
      <c r="D109" t="s">
        <v>6938</v>
      </c>
      <c r="E109">
        <v>84</v>
      </c>
      <c r="F109">
        <v>5</v>
      </c>
      <c r="G109" s="4">
        <v>1.8715644696436399E-4</v>
      </c>
      <c r="H109">
        <v>8.0477272194676795E-3</v>
      </c>
      <c r="I109" t="s">
        <v>10086</v>
      </c>
    </row>
    <row r="110" spans="1:9" x14ac:dyDescent="0.25">
      <c r="A110" t="s">
        <v>10087</v>
      </c>
      <c r="C110" s="3" t="str">
        <f>HYPERLINK("http://amigo.geneontology.org/amigo/term/GO:0006026","GO:0006026")</f>
        <v>GO:0006026</v>
      </c>
      <c r="D110" t="s">
        <v>6941</v>
      </c>
      <c r="E110">
        <v>84</v>
      </c>
      <c r="F110">
        <v>5</v>
      </c>
      <c r="G110" s="4">
        <v>1.8715644696436399E-4</v>
      </c>
      <c r="H110">
        <v>8.2348836664320503E-3</v>
      </c>
      <c r="I110" t="s">
        <v>10086</v>
      </c>
    </row>
    <row r="111" spans="1:9" x14ac:dyDescent="0.25">
      <c r="A111" t="s">
        <v>7212</v>
      </c>
      <c r="C111" s="3" t="str">
        <f>HYPERLINK("http://amigo.geneontology.org/amigo/term/GO:0006030","GO:0006030")</f>
        <v>GO:0006030</v>
      </c>
      <c r="D111" t="s">
        <v>6943</v>
      </c>
      <c r="E111">
        <v>84</v>
      </c>
      <c r="F111">
        <v>5</v>
      </c>
      <c r="G111" s="4">
        <v>1.8715644696436399E-4</v>
      </c>
      <c r="H111">
        <v>8.2348836664320503E-3</v>
      </c>
      <c r="I111" t="s">
        <v>10086</v>
      </c>
    </row>
    <row r="112" spans="1:9" x14ac:dyDescent="0.25">
      <c r="A112" t="s">
        <v>7214</v>
      </c>
      <c r="C112" s="3" t="str">
        <f>HYPERLINK("http://amigo.geneontology.org/amigo/term/GO:0046348","GO:0046348")</f>
        <v>GO:0046348</v>
      </c>
      <c r="D112" t="s">
        <v>6945</v>
      </c>
      <c r="E112">
        <v>84</v>
      </c>
      <c r="F112">
        <v>5</v>
      </c>
      <c r="G112" s="4">
        <v>1.8715644696436399E-4</v>
      </c>
      <c r="H112">
        <v>8.4220401133964107E-3</v>
      </c>
      <c r="I112" t="s">
        <v>10086</v>
      </c>
    </row>
    <row r="113" spans="1:9" x14ac:dyDescent="0.25">
      <c r="A113" t="s">
        <v>7217</v>
      </c>
      <c r="C113" s="3" t="str">
        <f>HYPERLINK("http://amigo.geneontology.org/amigo/term/GO:1901072","GO:1901072")</f>
        <v>GO:1901072</v>
      </c>
      <c r="D113" t="s">
        <v>6947</v>
      </c>
      <c r="E113">
        <v>84</v>
      </c>
      <c r="F113">
        <v>5</v>
      </c>
      <c r="G113" s="4">
        <v>1.8715644696436399E-4</v>
      </c>
      <c r="H113">
        <v>8.4220401133964107E-3</v>
      </c>
      <c r="I113" t="s">
        <v>10086</v>
      </c>
    </row>
    <row r="114" spans="1:9" x14ac:dyDescent="0.25">
      <c r="A114" t="s">
        <v>8708</v>
      </c>
      <c r="C114" s="3" t="str">
        <f>HYPERLINK("http://amigo.geneontology.org/amigo/term/GO:0006032","GO:0006032")</f>
        <v>GO:0006032</v>
      </c>
      <c r="D114" t="s">
        <v>6949</v>
      </c>
      <c r="E114">
        <v>84</v>
      </c>
      <c r="F114">
        <v>5</v>
      </c>
      <c r="G114" s="4">
        <v>1.8715644696436399E-4</v>
      </c>
      <c r="H114">
        <v>8.6091965603607799E-3</v>
      </c>
      <c r="I114" t="s">
        <v>10086</v>
      </c>
    </row>
    <row r="115" spans="1:9" x14ac:dyDescent="0.25">
      <c r="A115" t="s">
        <v>10088</v>
      </c>
      <c r="C115" s="3" t="str">
        <f>HYPERLINK("http://amigo.geneontology.org/amigo/term/GO:0016998","GO:0016998")</f>
        <v>GO:0016998</v>
      </c>
      <c r="D115" t="s">
        <v>6933</v>
      </c>
      <c r="E115">
        <v>86</v>
      </c>
      <c r="F115">
        <v>5</v>
      </c>
      <c r="G115" s="4">
        <v>2.0899453592357299E-4</v>
      </c>
      <c r="H115">
        <v>8.9867650447136502E-3</v>
      </c>
      <c r="I115" t="s">
        <v>10086</v>
      </c>
    </row>
    <row r="116" spans="1:9" x14ac:dyDescent="0.25">
      <c r="A116" t="s">
        <v>7221</v>
      </c>
      <c r="C116" s="3" t="str">
        <f>HYPERLINK("http://amigo.geneontology.org/amigo/term/GO:0004351","GO:0004351")</f>
        <v>GO:0004351</v>
      </c>
      <c r="D116" t="s">
        <v>4290</v>
      </c>
      <c r="E116">
        <v>19</v>
      </c>
      <c r="F116">
        <v>3</v>
      </c>
      <c r="G116" s="4">
        <v>2.1459895268805801E-4</v>
      </c>
      <c r="H116">
        <v>9.2277549655865095E-3</v>
      </c>
      <c r="I116" t="s">
        <v>7232</v>
      </c>
    </row>
    <row r="117" spans="1:9" x14ac:dyDescent="0.25">
      <c r="A117" t="s">
        <v>9783</v>
      </c>
      <c r="C117" s="3" t="str">
        <f>HYPERLINK("http://amigo.geneontology.org/amigo/term/GO:1901071","GO:1901071")</f>
        <v>GO:1901071</v>
      </c>
      <c r="D117" t="s">
        <v>6953</v>
      </c>
      <c r="E117">
        <v>87</v>
      </c>
      <c r="F117">
        <v>5</v>
      </c>
      <c r="G117" s="4">
        <v>2.2061483735022201E-4</v>
      </c>
      <c r="H117">
        <v>9.2658231687093393E-3</v>
      </c>
      <c r="I117" t="s">
        <v>10086</v>
      </c>
    </row>
    <row r="118" spans="1:9" x14ac:dyDescent="0.25">
      <c r="A118" t="s">
        <v>9057</v>
      </c>
      <c r="C118" s="3" t="str">
        <f>HYPERLINK("http://amigo.geneontology.org/amigo/term/GO:0015149","GO:0015149")</f>
        <v>GO:0015149</v>
      </c>
      <c r="D118" t="s">
        <v>7204</v>
      </c>
      <c r="E118">
        <v>4</v>
      </c>
      <c r="F118">
        <v>2</v>
      </c>
      <c r="G118" s="4">
        <v>2.2932852455814301E-4</v>
      </c>
      <c r="H118">
        <v>9.6317980314420196E-3</v>
      </c>
      <c r="I118" t="s">
        <v>7139</v>
      </c>
    </row>
    <row r="119" spans="1:9" x14ac:dyDescent="0.25">
      <c r="A119" t="s">
        <v>9059</v>
      </c>
      <c r="C119" s="3" t="str">
        <f>HYPERLINK("http://amigo.geneontology.org/amigo/term/GO:0006040","GO:0006040")</f>
        <v>GO:0006040</v>
      </c>
      <c r="D119" t="s">
        <v>6955</v>
      </c>
      <c r="E119">
        <v>93</v>
      </c>
      <c r="F119">
        <v>5</v>
      </c>
      <c r="G119" s="4">
        <v>3.0099462604585802E-4</v>
      </c>
      <c r="H119">
        <v>1.23407796678802E-2</v>
      </c>
      <c r="I119" t="s">
        <v>10086</v>
      </c>
    </row>
    <row r="120" spans="1:9" x14ac:dyDescent="0.25">
      <c r="A120" t="s">
        <v>7228</v>
      </c>
      <c r="C120" s="3" t="str">
        <f>HYPERLINK("http://amigo.geneontology.org/amigo/term/GO:0006596","GO:0006596")</f>
        <v>GO:0006596</v>
      </c>
      <c r="D120" t="s">
        <v>1309</v>
      </c>
      <c r="E120">
        <v>52</v>
      </c>
      <c r="F120">
        <v>4</v>
      </c>
      <c r="G120" s="4">
        <v>3.1489010030125901E-4</v>
      </c>
      <c r="H120">
        <v>1.29104941123516E-2</v>
      </c>
      <c r="I120" t="s">
        <v>10089</v>
      </c>
    </row>
    <row r="121" spans="1:9" x14ac:dyDescent="0.25">
      <c r="A121" t="s">
        <v>10090</v>
      </c>
      <c r="C121" s="3" t="str">
        <f>HYPERLINK("http://amigo.geneontology.org/amigo/term/GO:0006561","GO:0006561")</f>
        <v>GO:0006561</v>
      </c>
      <c r="D121" t="s">
        <v>9705</v>
      </c>
      <c r="E121">
        <v>22</v>
      </c>
      <c r="F121">
        <v>3</v>
      </c>
      <c r="G121" s="4">
        <v>3.36362073391048E-4</v>
      </c>
      <c r="H121">
        <v>1.3790845009032901E-2</v>
      </c>
      <c r="I121" t="s">
        <v>10058</v>
      </c>
    </row>
    <row r="122" spans="1:9" x14ac:dyDescent="0.25">
      <c r="A122" t="s">
        <v>10091</v>
      </c>
      <c r="C122" s="3" t="str">
        <f>HYPERLINK("http://amigo.geneontology.org/amigo/term/GO:0016679","GO:0016679")</f>
        <v>GO:0016679</v>
      </c>
      <c r="D122" t="s">
        <v>1062</v>
      </c>
      <c r="E122">
        <v>147</v>
      </c>
      <c r="F122">
        <v>6</v>
      </c>
      <c r="G122" s="4">
        <v>3.3722285373217299E-4</v>
      </c>
      <c r="H122">
        <v>1.34889141492869E-2</v>
      </c>
      <c r="I122" t="s">
        <v>10026</v>
      </c>
    </row>
    <row r="123" spans="1:9" x14ac:dyDescent="0.25">
      <c r="A123" t="s">
        <v>8273</v>
      </c>
      <c r="C123" s="3" t="str">
        <f>HYPERLINK("http://amigo.geneontology.org/amigo/term/GO:0043086","GO:0043086")</f>
        <v>GO:0043086</v>
      </c>
      <c r="D123" t="s">
        <v>510</v>
      </c>
      <c r="E123">
        <v>209</v>
      </c>
      <c r="F123">
        <v>7</v>
      </c>
      <c r="G123" s="4">
        <v>3.6451543859099402E-4</v>
      </c>
      <c r="H123">
        <v>1.45806175436397E-2</v>
      </c>
      <c r="I123" t="s">
        <v>10038</v>
      </c>
    </row>
    <row r="124" spans="1:9" x14ac:dyDescent="0.25">
      <c r="A124" t="s">
        <v>10092</v>
      </c>
      <c r="C124" s="3" t="str">
        <f>HYPERLINK("http://amigo.geneontology.org/amigo/term/GO:0006525","GO:0006525")</f>
        <v>GO:0006525</v>
      </c>
      <c r="D124" t="s">
        <v>9632</v>
      </c>
      <c r="E124">
        <v>56</v>
      </c>
      <c r="F124">
        <v>4</v>
      </c>
      <c r="G124" s="4">
        <v>4.1892818602724601E-4</v>
      </c>
      <c r="H124">
        <v>1.6338199255062601E-2</v>
      </c>
      <c r="I124" t="s">
        <v>10093</v>
      </c>
    </row>
    <row r="125" spans="1:9" x14ac:dyDescent="0.25">
      <c r="A125" t="s">
        <v>10094</v>
      </c>
      <c r="C125" s="3" t="str">
        <f>HYPERLINK("http://amigo.geneontology.org/amigo/term/GO:0006022","GO:0006022")</f>
        <v>GO:0006022</v>
      </c>
      <c r="D125" t="s">
        <v>6974</v>
      </c>
      <c r="E125">
        <v>101</v>
      </c>
      <c r="F125">
        <v>5</v>
      </c>
      <c r="G125" s="4">
        <v>4.4050594196349402E-4</v>
      </c>
      <c r="H125">
        <v>1.71797317365762E-2</v>
      </c>
      <c r="I125" t="s">
        <v>10086</v>
      </c>
    </row>
    <row r="126" spans="1:9" x14ac:dyDescent="0.25">
      <c r="A126" t="s">
        <v>10095</v>
      </c>
      <c r="C126" s="3" t="str">
        <f>HYPERLINK("http://amigo.geneontology.org/amigo/term/GO:0051193","GO:0051193")</f>
        <v>GO:0051193</v>
      </c>
      <c r="D126" t="s">
        <v>7318</v>
      </c>
      <c r="E126">
        <v>57</v>
      </c>
      <c r="F126">
        <v>4</v>
      </c>
      <c r="G126" s="4">
        <v>4.4834738459621299E-4</v>
      </c>
      <c r="H126">
        <v>1.74855479992523E-2</v>
      </c>
      <c r="I126" t="s">
        <v>10085</v>
      </c>
    </row>
    <row r="127" spans="1:9" x14ac:dyDescent="0.25">
      <c r="A127" t="s">
        <v>7265</v>
      </c>
      <c r="C127" s="3" t="str">
        <f>HYPERLINK("http://amigo.geneontology.org/amigo/term/GO:0044092","GO:0044092")</f>
        <v>GO:0044092</v>
      </c>
      <c r="D127" t="s">
        <v>552</v>
      </c>
      <c r="E127">
        <v>221</v>
      </c>
      <c r="F127">
        <v>7</v>
      </c>
      <c r="G127" s="4">
        <v>5.0855707624487595E-4</v>
      </c>
      <c r="H127">
        <v>1.93251688973053E-2</v>
      </c>
      <c r="I127" t="s">
        <v>10038</v>
      </c>
    </row>
    <row r="128" spans="1:9" x14ac:dyDescent="0.25">
      <c r="A128" t="s">
        <v>7268</v>
      </c>
      <c r="C128" s="3" t="str">
        <f>HYPERLINK("http://amigo.geneontology.org/amigo/term/GO:1901564","GO:1901564")</f>
        <v>GO:1901564</v>
      </c>
      <c r="D128" t="s">
        <v>7043</v>
      </c>
      <c r="E128">
        <v>15308</v>
      </c>
      <c r="F128">
        <v>125</v>
      </c>
      <c r="G128" s="4">
        <v>5.3504436399752497E-4</v>
      </c>
      <c r="H128">
        <v>2.03316858319059E-2</v>
      </c>
      <c r="I128" t="s">
        <v>10096</v>
      </c>
    </row>
    <row r="129" spans="1:9" x14ac:dyDescent="0.25">
      <c r="A129" t="s">
        <v>9090</v>
      </c>
      <c r="C129" s="3" t="str">
        <f>HYPERLINK("http://amigo.geneontology.org/amigo/term/GO:0006207","GO:0006207")</f>
        <v>GO:0006207</v>
      </c>
      <c r="D129" t="s">
        <v>9021</v>
      </c>
      <c r="E129">
        <v>26</v>
      </c>
      <c r="F129">
        <v>3</v>
      </c>
      <c r="G129" s="4">
        <v>5.5750009377794401E-4</v>
      </c>
      <c r="H129">
        <v>2.1185003563561799E-2</v>
      </c>
      <c r="I129" t="s">
        <v>8913</v>
      </c>
    </row>
    <row r="130" spans="1:9" x14ac:dyDescent="0.25">
      <c r="A130" t="s">
        <v>7270</v>
      </c>
      <c r="C130" s="3" t="str">
        <f>HYPERLINK("http://amigo.geneontology.org/amigo/term/GO:0015145","GO:0015145")</f>
        <v>GO:0015145</v>
      </c>
      <c r="D130" t="s">
        <v>7256</v>
      </c>
      <c r="E130">
        <v>6</v>
      </c>
      <c r="F130">
        <v>2</v>
      </c>
      <c r="G130" s="4">
        <v>5.6860630518048205E-4</v>
      </c>
      <c r="H130">
        <v>2.1038433291677799E-2</v>
      </c>
      <c r="I130" t="s">
        <v>7139</v>
      </c>
    </row>
    <row r="131" spans="1:9" x14ac:dyDescent="0.25">
      <c r="A131" t="s">
        <v>8281</v>
      </c>
      <c r="C131" s="3" t="str">
        <f>HYPERLINK("http://amigo.geneontology.org/amigo/term/GO:0015749","GO:0015749")</f>
        <v>GO:0015749</v>
      </c>
      <c r="D131" t="s">
        <v>7258</v>
      </c>
      <c r="E131">
        <v>6</v>
      </c>
      <c r="F131">
        <v>2</v>
      </c>
      <c r="G131" s="4">
        <v>5.6860630518048205E-4</v>
      </c>
      <c r="H131">
        <v>2.1038433291677799E-2</v>
      </c>
      <c r="I131" t="s">
        <v>7139</v>
      </c>
    </row>
    <row r="132" spans="1:9" x14ac:dyDescent="0.25">
      <c r="A132" t="s">
        <v>10097</v>
      </c>
      <c r="C132" s="3" t="str">
        <f>HYPERLINK("http://amigo.geneontology.org/amigo/term/GO:0006796","GO:0006796")</f>
        <v>GO:0006796</v>
      </c>
      <c r="D132" t="s">
        <v>679</v>
      </c>
      <c r="E132">
        <v>8416</v>
      </c>
      <c r="F132">
        <v>76</v>
      </c>
      <c r="G132" s="4">
        <v>5.9471122285642596E-4</v>
      </c>
      <c r="H132">
        <v>2.2004315245687699E-2</v>
      </c>
      <c r="I132" t="s">
        <v>10098</v>
      </c>
    </row>
    <row r="133" spans="1:9" x14ac:dyDescent="0.25">
      <c r="A133" t="s">
        <v>9097</v>
      </c>
      <c r="C133" s="3" t="str">
        <f>HYPERLINK("http://amigo.geneontology.org/amigo/term/GO:0006560","GO:0006560")</f>
        <v>GO:0006560</v>
      </c>
      <c r="D133" t="s">
        <v>9713</v>
      </c>
      <c r="E133">
        <v>27</v>
      </c>
      <c r="F133">
        <v>3</v>
      </c>
      <c r="G133" s="4">
        <v>6.2430288519566197E-4</v>
      </c>
      <c r="H133">
        <v>2.30992067522395E-2</v>
      </c>
      <c r="I133" t="s">
        <v>10058</v>
      </c>
    </row>
    <row r="134" spans="1:9" x14ac:dyDescent="0.25">
      <c r="A134" t="s">
        <v>10099</v>
      </c>
      <c r="C134" s="3" t="str">
        <f>HYPERLINK("http://amigo.geneontology.org/amigo/term/GO:0006793","GO:0006793")</f>
        <v>GO:0006793</v>
      </c>
      <c r="D134" t="s">
        <v>670</v>
      </c>
      <c r="E134">
        <v>8439</v>
      </c>
      <c r="F134">
        <v>76</v>
      </c>
      <c r="G134" s="4">
        <v>6.4283638271640602E-4</v>
      </c>
      <c r="H134">
        <v>2.31421097777906E-2</v>
      </c>
      <c r="I134" t="s">
        <v>10098</v>
      </c>
    </row>
    <row r="135" spans="1:9" x14ac:dyDescent="0.25">
      <c r="A135" t="s">
        <v>7285</v>
      </c>
      <c r="C135" s="3" t="str">
        <f>HYPERLINK("http://amigo.geneontology.org/amigo/term/GO:0009862","GO:0009862")</f>
        <v>GO:0009862</v>
      </c>
      <c r="D135" t="s">
        <v>7343</v>
      </c>
      <c r="E135">
        <v>63</v>
      </c>
      <c r="F135">
        <v>4</v>
      </c>
      <c r="G135" s="4">
        <v>6.5656009257573304E-4</v>
      </c>
      <c r="H135">
        <v>2.36361633327264E-2</v>
      </c>
      <c r="I135" t="s">
        <v>10085</v>
      </c>
    </row>
    <row r="136" spans="1:9" x14ac:dyDescent="0.25">
      <c r="A136" t="s">
        <v>10100</v>
      </c>
      <c r="C136" s="3" t="str">
        <f>HYPERLINK("http://amigo.geneontology.org/amigo/term/GO:2000377","GO:2000377")</f>
        <v>GO:2000377</v>
      </c>
      <c r="D136" t="s">
        <v>7345</v>
      </c>
      <c r="E136">
        <v>63</v>
      </c>
      <c r="F136">
        <v>4</v>
      </c>
      <c r="G136" s="4">
        <v>6.5656009257573304E-4</v>
      </c>
      <c r="H136">
        <v>2.36361633327264E-2</v>
      </c>
      <c r="I136" t="s">
        <v>10085</v>
      </c>
    </row>
    <row r="137" spans="1:9" x14ac:dyDescent="0.25">
      <c r="A137" t="s">
        <v>10101</v>
      </c>
      <c r="C137" s="3" t="str">
        <f>HYPERLINK("http://amigo.geneontology.org/amigo/term/GO:0016831","GO:0016831")</f>
        <v>GO:0016831</v>
      </c>
      <c r="D137" t="s">
        <v>296</v>
      </c>
      <c r="E137">
        <v>237</v>
      </c>
      <c r="F137">
        <v>7</v>
      </c>
      <c r="G137" s="4">
        <v>7.6741944808865004E-4</v>
      </c>
      <c r="H137">
        <v>2.68596806831027E-2</v>
      </c>
      <c r="I137" t="s">
        <v>10102</v>
      </c>
    </row>
    <row r="138" spans="1:9" x14ac:dyDescent="0.25">
      <c r="A138" t="s">
        <v>9113</v>
      </c>
      <c r="C138" s="3" t="str">
        <f>HYPERLINK("http://amigo.geneontology.org/amigo/term/GO:1901575","GO:1901575")</f>
        <v>GO:1901575</v>
      </c>
      <c r="D138" t="s">
        <v>5759</v>
      </c>
      <c r="E138">
        <v>2326</v>
      </c>
      <c r="F138">
        <v>28</v>
      </c>
      <c r="G138" s="4">
        <v>8.0022332938335097E-4</v>
      </c>
      <c r="H138">
        <v>2.80078165284172E-2</v>
      </c>
      <c r="I138" t="s">
        <v>10103</v>
      </c>
    </row>
    <row r="139" spans="1:9" x14ac:dyDescent="0.25">
      <c r="A139" t="s">
        <v>10104</v>
      </c>
      <c r="C139" s="3" t="str">
        <f>HYPERLINK("http://amigo.geneontology.org/amigo/term/GO:0044036","GO:0044036")</f>
        <v>GO:0044036</v>
      </c>
      <c r="D139" t="s">
        <v>828</v>
      </c>
      <c r="E139">
        <v>388</v>
      </c>
      <c r="F139">
        <v>9</v>
      </c>
      <c r="G139" s="4">
        <v>8.1267221875723505E-4</v>
      </c>
      <c r="H139">
        <v>2.8443527656503199E-2</v>
      </c>
      <c r="I139" t="s">
        <v>10105</v>
      </c>
    </row>
    <row r="140" spans="1:9" x14ac:dyDescent="0.25">
      <c r="A140" t="s">
        <v>9118</v>
      </c>
      <c r="C140" s="3" t="str">
        <f>HYPERLINK("http://amigo.geneontology.org/amigo/term/GO:0009595","GO:0009595")</f>
        <v>GO:0009595</v>
      </c>
      <c r="D140" t="s">
        <v>10106</v>
      </c>
      <c r="E140">
        <v>32</v>
      </c>
      <c r="F140">
        <v>3</v>
      </c>
      <c r="G140">
        <v>1.0345461285489999E-3</v>
      </c>
      <c r="H140">
        <v>3.5174568370666098E-2</v>
      </c>
      <c r="I140" t="s">
        <v>10107</v>
      </c>
    </row>
    <row r="141" spans="1:9" x14ac:dyDescent="0.25">
      <c r="A141" t="s">
        <v>7293</v>
      </c>
      <c r="C141" s="3" t="str">
        <f>HYPERLINK("http://amigo.geneontology.org/amigo/term/GO:0019856","GO:0019856")</f>
        <v>GO:0019856</v>
      </c>
      <c r="D141" t="s">
        <v>9045</v>
      </c>
      <c r="E141">
        <v>32</v>
      </c>
      <c r="F141">
        <v>3</v>
      </c>
      <c r="G141">
        <v>1.0345461285489999E-3</v>
      </c>
      <c r="H141">
        <v>3.62091144992151E-2</v>
      </c>
      <c r="I141" t="s">
        <v>8913</v>
      </c>
    </row>
    <row r="142" spans="1:9" x14ac:dyDescent="0.25">
      <c r="A142" t="s">
        <v>7308</v>
      </c>
      <c r="C142" s="3" t="str">
        <f>HYPERLINK("http://amigo.geneontology.org/amigo/term/GO:0036211","GO:0036211")</f>
        <v>GO:0036211</v>
      </c>
      <c r="D142" t="s">
        <v>6999</v>
      </c>
      <c r="E142">
        <v>8035</v>
      </c>
      <c r="F142">
        <v>72</v>
      </c>
      <c r="G142">
        <v>1.03642200909555E-3</v>
      </c>
      <c r="H142">
        <v>3.5238348309248699E-2</v>
      </c>
      <c r="I142" t="s">
        <v>10108</v>
      </c>
    </row>
    <row r="143" spans="1:9" x14ac:dyDescent="0.25">
      <c r="A143" t="s">
        <v>9134</v>
      </c>
      <c r="C143" s="3" t="str">
        <f>HYPERLINK("http://amigo.geneontology.org/amigo/term/GO:0006464","GO:0006464")</f>
        <v>GO:0006464</v>
      </c>
      <c r="D143" t="s">
        <v>7002</v>
      </c>
      <c r="E143">
        <v>8035</v>
      </c>
      <c r="F143">
        <v>72</v>
      </c>
      <c r="G143">
        <v>1.03642200909555E-3</v>
      </c>
      <c r="H143">
        <v>3.5238348309248699E-2</v>
      </c>
      <c r="I143" t="s">
        <v>10108</v>
      </c>
    </row>
    <row r="144" spans="1:9" x14ac:dyDescent="0.25">
      <c r="A144" t="s">
        <v>9137</v>
      </c>
      <c r="C144" s="3" t="str">
        <f>HYPERLINK("http://amigo.geneontology.org/amigo/term/GO:0004815","GO:0004815")</f>
        <v>GO:0004815</v>
      </c>
      <c r="D144" t="s">
        <v>10109</v>
      </c>
      <c r="E144">
        <v>8</v>
      </c>
      <c r="F144">
        <v>2</v>
      </c>
      <c r="G144">
        <v>1.0526783615436E-3</v>
      </c>
      <c r="H144">
        <v>3.4738385930938802E-2</v>
      </c>
      <c r="I144" t="s">
        <v>10110</v>
      </c>
    </row>
    <row r="145" spans="1:9" x14ac:dyDescent="0.25">
      <c r="A145" t="s">
        <v>9151</v>
      </c>
      <c r="C145" s="3" t="str">
        <f>HYPERLINK("http://amigo.geneontology.org/amigo/term/GO:0006422","GO:0006422")</f>
        <v>GO:0006422</v>
      </c>
      <c r="D145" t="s">
        <v>10111</v>
      </c>
      <c r="E145">
        <v>8</v>
      </c>
      <c r="F145">
        <v>2</v>
      </c>
      <c r="G145">
        <v>1.0526783615436E-3</v>
      </c>
      <c r="H145">
        <v>3.4738385930938802E-2</v>
      </c>
      <c r="I145" t="s">
        <v>10110</v>
      </c>
    </row>
    <row r="146" spans="1:9" x14ac:dyDescent="0.25">
      <c r="A146" t="s">
        <v>10112</v>
      </c>
      <c r="C146" s="3" t="str">
        <f>HYPERLINK("http://amigo.geneontology.org/amigo/term/GO:0016706","GO:0016706")</f>
        <v>GO:0016706</v>
      </c>
      <c r="D146" t="s">
        <v>5638</v>
      </c>
      <c r="E146">
        <v>251</v>
      </c>
      <c r="F146">
        <v>7</v>
      </c>
      <c r="G146">
        <v>1.07073808360612E-3</v>
      </c>
      <c r="H146">
        <v>3.5334356759002102E-2</v>
      </c>
      <c r="I146" t="s">
        <v>10113</v>
      </c>
    </row>
    <row r="147" spans="1:9" x14ac:dyDescent="0.25">
      <c r="A147" t="s">
        <v>9152</v>
      </c>
      <c r="C147" s="3" t="str">
        <f>HYPERLINK("http://amigo.geneontology.org/amigo/term/GO:0006595","GO:0006595")</f>
        <v>GO:0006595</v>
      </c>
      <c r="D147" t="s">
        <v>4466</v>
      </c>
      <c r="E147">
        <v>72</v>
      </c>
      <c r="F147">
        <v>4</v>
      </c>
      <c r="G147">
        <v>1.08524634573048E-3</v>
      </c>
      <c r="H147">
        <v>3.5813129409106102E-2</v>
      </c>
      <c r="I147" t="s">
        <v>10089</v>
      </c>
    </row>
    <row r="148" spans="1:9" x14ac:dyDescent="0.25">
      <c r="A148" t="s">
        <v>10114</v>
      </c>
      <c r="C148" s="3" t="str">
        <f>HYPERLINK("http://amigo.geneontology.org/amigo/term/GO:0050308","GO:0050308")</f>
        <v>GO:0050308</v>
      </c>
      <c r="D148" t="s">
        <v>10115</v>
      </c>
      <c r="E148">
        <v>33</v>
      </c>
      <c r="F148">
        <v>3</v>
      </c>
      <c r="G148">
        <v>1.13277631459254E-3</v>
      </c>
      <c r="H148">
        <v>3.6248842066961301E-2</v>
      </c>
      <c r="I148" t="s">
        <v>10051</v>
      </c>
    </row>
    <row r="149" spans="1:9" x14ac:dyDescent="0.25">
      <c r="A149" t="s">
        <v>9155</v>
      </c>
      <c r="C149" s="3" t="str">
        <f>HYPERLINK("http://amigo.geneontology.org/amigo/term/GO:0006526","GO:0006526")</f>
        <v>GO:0006526</v>
      </c>
      <c r="D149" t="s">
        <v>10116</v>
      </c>
      <c r="E149">
        <v>34</v>
      </c>
      <c r="F149">
        <v>3</v>
      </c>
      <c r="G149">
        <v>1.23669789982741E-3</v>
      </c>
      <c r="H149">
        <v>3.9574332794477397E-2</v>
      </c>
      <c r="I149" t="s">
        <v>10058</v>
      </c>
    </row>
    <row r="150" spans="1:9" x14ac:dyDescent="0.25">
      <c r="A150" t="s">
        <v>10117</v>
      </c>
      <c r="C150" s="3" t="str">
        <f>HYPERLINK("http://amigo.geneontology.org/amigo/term/GO:0044205","GO:0044205")</f>
        <v>GO:0044205</v>
      </c>
      <c r="D150" t="s">
        <v>7292</v>
      </c>
      <c r="E150">
        <v>9</v>
      </c>
      <c r="F150">
        <v>2</v>
      </c>
      <c r="G150">
        <v>1.3478767077018E-3</v>
      </c>
      <c r="H150">
        <v>4.31320546464578E-2</v>
      </c>
      <c r="I150" t="s">
        <v>7223</v>
      </c>
    </row>
    <row r="151" spans="1:9" x14ac:dyDescent="0.25">
      <c r="A151" t="s">
        <v>10118</v>
      </c>
      <c r="C151" s="3" t="str">
        <f>HYPERLINK("http://amigo.geneontology.org/amigo/term/GO:1901136","GO:1901136")</f>
        <v>GO:1901136</v>
      </c>
      <c r="D151" t="s">
        <v>6302</v>
      </c>
      <c r="E151">
        <v>132</v>
      </c>
      <c r="F151">
        <v>5</v>
      </c>
      <c r="G151">
        <v>1.4707142686123801E-3</v>
      </c>
      <c r="H151">
        <v>4.7062856595596302E-2</v>
      </c>
      <c r="I151" t="s">
        <v>10086</v>
      </c>
    </row>
    <row r="152" spans="1:9" x14ac:dyDescent="0.25">
      <c r="A152" t="s">
        <v>10119</v>
      </c>
      <c r="C152" s="3" t="str">
        <f>HYPERLINK("http://amigo.geneontology.org/amigo/term/GO:0009056","GO:0009056")</f>
        <v>GO:0009056</v>
      </c>
      <c r="D152" t="s">
        <v>5309</v>
      </c>
      <c r="E152">
        <v>2670</v>
      </c>
      <c r="F152">
        <v>30</v>
      </c>
      <c r="G152">
        <v>1.53340658516386E-3</v>
      </c>
      <c r="H152">
        <v>4.9069010725243598E-2</v>
      </c>
      <c r="I152" t="s">
        <v>10120</v>
      </c>
    </row>
    <row r="153" spans="1:9" x14ac:dyDescent="0.25">
      <c r="A153" t="s">
        <v>7338</v>
      </c>
      <c r="C153" s="3" t="str">
        <f>HYPERLINK("http://amigo.geneontology.org/amigo/term/GO:0043492","GO:0043492")</f>
        <v>GO:0043492</v>
      </c>
      <c r="D153" t="s">
        <v>10121</v>
      </c>
      <c r="E153">
        <v>429</v>
      </c>
      <c r="F153">
        <v>9</v>
      </c>
      <c r="G153">
        <v>1.6241031980057999E-3</v>
      </c>
      <c r="H153">
        <v>5.03471991381799E-2</v>
      </c>
      <c r="I153" t="s">
        <v>10122</v>
      </c>
    </row>
    <row r="154" spans="1:9" x14ac:dyDescent="0.25">
      <c r="A154" t="s">
        <v>7340</v>
      </c>
      <c r="C154" s="3" t="str">
        <f>HYPERLINK("http://amigo.geneontology.org/amigo/term/GO:0034219","GO:0034219")</f>
        <v>GO:0034219</v>
      </c>
      <c r="D154" t="s">
        <v>7312</v>
      </c>
      <c r="E154">
        <v>10</v>
      </c>
      <c r="F154">
        <v>2</v>
      </c>
      <c r="G154">
        <v>1.6779194324069201E-3</v>
      </c>
      <c r="H154">
        <v>5.2015502404614597E-2</v>
      </c>
      <c r="I154" t="s">
        <v>7139</v>
      </c>
    </row>
    <row r="155" spans="1:9" x14ac:dyDescent="0.25">
      <c r="A155" t="s">
        <v>10123</v>
      </c>
      <c r="C155" s="3" t="str">
        <f>HYPERLINK("http://amigo.geneontology.org/amigo/term/GO:0006206","GO:0006206")</f>
        <v>GO:0006206</v>
      </c>
      <c r="D155" t="s">
        <v>9093</v>
      </c>
      <c r="E155">
        <v>39</v>
      </c>
      <c r="F155">
        <v>3</v>
      </c>
      <c r="G155">
        <v>1.8458284120188701E-3</v>
      </c>
      <c r="H155">
        <v>5.7220680772584999E-2</v>
      </c>
      <c r="I155" t="s">
        <v>8913</v>
      </c>
    </row>
    <row r="156" spans="1:9" x14ac:dyDescent="0.25">
      <c r="A156" t="s">
        <v>10124</v>
      </c>
      <c r="C156" s="3" t="str">
        <f>HYPERLINK("http://amigo.geneontology.org/amigo/term/GO:0006536","GO:0006536")</f>
        <v>GO:0006536</v>
      </c>
      <c r="D156" t="s">
        <v>4436</v>
      </c>
      <c r="E156">
        <v>40</v>
      </c>
      <c r="F156">
        <v>3</v>
      </c>
      <c r="G156">
        <v>1.98634921299851E-3</v>
      </c>
      <c r="H156">
        <v>5.9590476389955301E-2</v>
      </c>
      <c r="I156" t="s">
        <v>7232</v>
      </c>
    </row>
    <row r="157" spans="1:9" x14ac:dyDescent="0.25">
      <c r="A157" t="s">
        <v>9163</v>
      </c>
      <c r="C157" s="3" t="str">
        <f>HYPERLINK("http://amigo.geneontology.org/amigo/term/GO:0016774","GO:0016774")</f>
        <v>GO:0016774</v>
      </c>
      <c r="D157" t="s">
        <v>10125</v>
      </c>
      <c r="E157">
        <v>40</v>
      </c>
      <c r="F157">
        <v>3</v>
      </c>
      <c r="G157">
        <v>1.98634921299851E-3</v>
      </c>
      <c r="H157">
        <v>6.15768256029538E-2</v>
      </c>
      <c r="I157" t="s">
        <v>10058</v>
      </c>
    </row>
    <row r="158" spans="1:9" x14ac:dyDescent="0.25">
      <c r="A158" t="s">
        <v>7355</v>
      </c>
      <c r="C158" s="3" t="str">
        <f>HYPERLINK("http://amigo.geneontology.org/amigo/term/GO:0006576","GO:0006576")</f>
        <v>GO:0006576</v>
      </c>
      <c r="D158" t="s">
        <v>6314</v>
      </c>
      <c r="E158">
        <v>208</v>
      </c>
      <c r="F158">
        <v>6</v>
      </c>
      <c r="G158">
        <v>2.03500309885287E-3</v>
      </c>
      <c r="H158">
        <v>6.1050092965586299E-2</v>
      </c>
      <c r="I158" t="s">
        <v>10126</v>
      </c>
    </row>
    <row r="159" spans="1:9" x14ac:dyDescent="0.25">
      <c r="A159" t="s">
        <v>10127</v>
      </c>
      <c r="C159" s="3" t="str">
        <f>HYPERLINK("http://amigo.geneontology.org/amigo/term/GO:0044106","GO:0044106")</f>
        <v>GO:0044106</v>
      </c>
      <c r="D159" t="s">
        <v>6318</v>
      </c>
      <c r="E159">
        <v>209</v>
      </c>
      <c r="F159">
        <v>6</v>
      </c>
      <c r="G159">
        <v>2.0843771185331101E-3</v>
      </c>
      <c r="H159">
        <v>6.2531313555993395E-2</v>
      </c>
      <c r="I159" t="s">
        <v>10126</v>
      </c>
    </row>
    <row r="160" spans="1:9" x14ac:dyDescent="0.25">
      <c r="A160" t="s">
        <v>10128</v>
      </c>
      <c r="C160" s="3" t="str">
        <f>HYPERLINK("http://amigo.geneontology.org/amigo/term/GO:0071395","GO:0071395")</f>
        <v>GO:0071395</v>
      </c>
      <c r="D160" t="s">
        <v>10129</v>
      </c>
      <c r="E160">
        <v>86</v>
      </c>
      <c r="F160">
        <v>4</v>
      </c>
      <c r="G160">
        <v>2.09253530884599E-3</v>
      </c>
      <c r="H160">
        <v>6.0683523956533703E-2</v>
      </c>
      <c r="I160" t="s">
        <v>10130</v>
      </c>
    </row>
    <row r="161" spans="1:9" x14ac:dyDescent="0.25">
      <c r="A161" t="s">
        <v>10131</v>
      </c>
      <c r="C161" s="3" t="str">
        <f>HYPERLINK("http://amigo.geneontology.org/amigo/term/GO:0009867","GO:0009867")</f>
        <v>GO:0009867</v>
      </c>
      <c r="D161" t="s">
        <v>10132</v>
      </c>
      <c r="E161">
        <v>86</v>
      </c>
      <c r="F161">
        <v>4</v>
      </c>
      <c r="G161">
        <v>2.09253530884599E-3</v>
      </c>
      <c r="H161">
        <v>6.2776059265379699E-2</v>
      </c>
      <c r="I161" t="s">
        <v>10130</v>
      </c>
    </row>
    <row r="162" spans="1:9" x14ac:dyDescent="0.25">
      <c r="A162" t="s">
        <v>9177</v>
      </c>
      <c r="C162" s="3" t="str">
        <f>HYPERLINK("http://amigo.geneontology.org/amigo/term/GO:0031348","GO:0031348")</f>
        <v>GO:0031348</v>
      </c>
      <c r="D162" t="s">
        <v>7475</v>
      </c>
      <c r="E162">
        <v>86</v>
      </c>
      <c r="F162">
        <v>4</v>
      </c>
      <c r="G162">
        <v>2.09253530884599E-3</v>
      </c>
      <c r="H162">
        <v>6.2776059265379699E-2</v>
      </c>
      <c r="I162" t="s">
        <v>10133</v>
      </c>
    </row>
    <row r="163" spans="1:9" x14ac:dyDescent="0.25">
      <c r="A163" t="s">
        <v>7379</v>
      </c>
      <c r="C163" s="3" t="str">
        <f>HYPERLINK("http://amigo.geneontology.org/amigo/term/GO:1901363","GO:1901363")</f>
        <v>GO:1901363</v>
      </c>
      <c r="D163" t="s">
        <v>6873</v>
      </c>
      <c r="E163">
        <v>27367</v>
      </c>
      <c r="F163">
        <v>200</v>
      </c>
      <c r="G163">
        <v>2.6247786363082799E-3</v>
      </c>
      <c r="H163">
        <v>7.6118580452940093E-2</v>
      </c>
      <c r="I163" t="s">
        <v>10134</v>
      </c>
    </row>
    <row r="164" spans="1:9" x14ac:dyDescent="0.25">
      <c r="A164" t="s">
        <v>7381</v>
      </c>
      <c r="C164" s="3" t="str">
        <f>HYPERLINK("http://amigo.geneontology.org/amigo/term/GO:0097159","GO:0097159")</f>
        <v>GO:0097159</v>
      </c>
      <c r="D164" t="s">
        <v>6874</v>
      </c>
      <c r="E164">
        <v>27370</v>
      </c>
      <c r="F164">
        <v>200</v>
      </c>
      <c r="G164">
        <v>2.63947309868009E-3</v>
      </c>
      <c r="H164">
        <v>7.6544719861722801E-2</v>
      </c>
      <c r="I164" t="s">
        <v>10134</v>
      </c>
    </row>
    <row r="165" spans="1:9" x14ac:dyDescent="0.25">
      <c r="A165" t="s">
        <v>10135</v>
      </c>
      <c r="C165" s="3" t="str">
        <f>HYPERLINK("http://amigo.geneontology.org/amigo/term/GO:0071446","GO:0071446")</f>
        <v>GO:0071446</v>
      </c>
      <c r="D165" t="s">
        <v>7575</v>
      </c>
      <c r="E165">
        <v>93</v>
      </c>
      <c r="F165">
        <v>4</v>
      </c>
      <c r="G165">
        <v>2.7809324289286802E-3</v>
      </c>
      <c r="H165">
        <v>8.0647040438931894E-2</v>
      </c>
      <c r="I165" t="s">
        <v>10085</v>
      </c>
    </row>
    <row r="166" spans="1:9" x14ac:dyDescent="0.25">
      <c r="A166" t="s">
        <v>7385</v>
      </c>
      <c r="C166" s="3" t="str">
        <f>HYPERLINK("http://amigo.geneontology.org/amigo/term/GO:0009863","GO:0009863")</f>
        <v>GO:0009863</v>
      </c>
      <c r="D166" t="s">
        <v>7577</v>
      </c>
      <c r="E166">
        <v>93</v>
      </c>
      <c r="F166">
        <v>4</v>
      </c>
      <c r="G166">
        <v>2.7809324289286802E-3</v>
      </c>
      <c r="H166">
        <v>8.0647040438931894E-2</v>
      </c>
      <c r="I166" t="s">
        <v>10085</v>
      </c>
    </row>
    <row r="167" spans="1:9" x14ac:dyDescent="0.25">
      <c r="A167" t="s">
        <v>9802</v>
      </c>
      <c r="C167" s="3" t="str">
        <f>HYPERLINK("http://amigo.geneontology.org/amigo/term/GO:0009308","GO:0009308")</f>
        <v>GO:0009308</v>
      </c>
      <c r="D167" t="s">
        <v>5537</v>
      </c>
      <c r="E167">
        <v>298</v>
      </c>
      <c r="F167">
        <v>7</v>
      </c>
      <c r="G167">
        <v>2.8194445904270202E-3</v>
      </c>
      <c r="H167">
        <v>7.8944448531956798E-2</v>
      </c>
      <c r="I167" t="s">
        <v>10136</v>
      </c>
    </row>
    <row r="168" spans="1:9" x14ac:dyDescent="0.25">
      <c r="A168" t="s">
        <v>9184</v>
      </c>
      <c r="C168" s="3" t="str">
        <f>HYPERLINK("http://amigo.geneontology.org/amigo/term/GO:0071236","GO:0071236")</f>
        <v>GO:0071236</v>
      </c>
      <c r="D168" t="s">
        <v>1382</v>
      </c>
      <c r="E168">
        <v>96</v>
      </c>
      <c r="F168">
        <v>4</v>
      </c>
      <c r="G168">
        <v>3.1183272066525199E-3</v>
      </c>
      <c r="H168">
        <v>8.7313161786270799E-2</v>
      </c>
      <c r="I168" t="s">
        <v>10085</v>
      </c>
    </row>
    <row r="169" spans="1:9" x14ac:dyDescent="0.25">
      <c r="A169" t="s">
        <v>9187</v>
      </c>
      <c r="C169" s="3" t="str">
        <f>HYPERLINK("http://amigo.geneontology.org/amigo/term/GO:0051119","GO:0051119")</f>
        <v>GO:0051119</v>
      </c>
      <c r="D169" t="s">
        <v>7384</v>
      </c>
      <c r="E169">
        <v>14</v>
      </c>
      <c r="F169">
        <v>2</v>
      </c>
      <c r="G169">
        <v>3.3377428828311002E-3</v>
      </c>
      <c r="H169">
        <v>9.3456800719270997E-2</v>
      </c>
      <c r="I169" t="s">
        <v>7139</v>
      </c>
    </row>
    <row r="170" spans="1:9" x14ac:dyDescent="0.25">
      <c r="A170" t="s">
        <v>10137</v>
      </c>
      <c r="C170" s="3" t="str">
        <f>HYPERLINK("http://amigo.geneontology.org/amigo/term/GO:0035690","GO:0035690")</f>
        <v>GO:0035690</v>
      </c>
      <c r="D170" t="s">
        <v>1191</v>
      </c>
      <c r="E170">
        <v>101</v>
      </c>
      <c r="F170">
        <v>4</v>
      </c>
      <c r="G170">
        <v>3.7408921038192201E-3</v>
      </c>
      <c r="H170">
        <v>0.104744978906938</v>
      </c>
      <c r="I170" t="s">
        <v>10085</v>
      </c>
    </row>
    <row r="171" spans="1:9" x14ac:dyDescent="0.25">
      <c r="A171" t="s">
        <v>10138</v>
      </c>
      <c r="C171" s="3" t="str">
        <f>HYPERLINK("http://amigo.geneontology.org/amigo/term/GO:0043412","GO:0043412")</f>
        <v>GO:0043412</v>
      </c>
      <c r="D171" t="s">
        <v>7041</v>
      </c>
      <c r="E171">
        <v>8613</v>
      </c>
      <c r="F171">
        <v>73</v>
      </c>
      <c r="G171">
        <v>3.9697654753355696E-3</v>
      </c>
      <c r="H171">
        <v>0.11115343330939501</v>
      </c>
      <c r="I171" t="s">
        <v>10139</v>
      </c>
    </row>
    <row r="172" spans="1:9" x14ac:dyDescent="0.25">
      <c r="A172" t="s">
        <v>7399</v>
      </c>
      <c r="C172" s="3" t="str">
        <f>HYPERLINK("http://amigo.geneontology.org/amigo/term/GO:0009753","GO:0009753")</f>
        <v>GO:0009753</v>
      </c>
      <c r="D172" t="s">
        <v>9078</v>
      </c>
      <c r="E172">
        <v>103</v>
      </c>
      <c r="F172">
        <v>4</v>
      </c>
      <c r="G172">
        <v>4.01185467302615E-3</v>
      </c>
      <c r="H172">
        <v>0.112331930844732</v>
      </c>
      <c r="I172" t="s">
        <v>10130</v>
      </c>
    </row>
    <row r="173" spans="1:9" x14ac:dyDescent="0.25">
      <c r="A173" t="s">
        <v>7401</v>
      </c>
      <c r="C173" s="3" t="str">
        <f>HYPERLINK("http://amigo.geneontology.org/amigo/term/GO:0048523","GO:0048523")</f>
        <v>GO:0048523</v>
      </c>
      <c r="D173" t="s">
        <v>7240</v>
      </c>
      <c r="E173">
        <v>682</v>
      </c>
      <c r="F173">
        <v>11</v>
      </c>
      <c r="G173">
        <v>4.0302415944551504E-3</v>
      </c>
      <c r="H173">
        <v>0.10881652305028899</v>
      </c>
      <c r="I173" t="s">
        <v>10140</v>
      </c>
    </row>
    <row r="174" spans="1:9" x14ac:dyDescent="0.25">
      <c r="A174" t="s">
        <v>10141</v>
      </c>
      <c r="C174" s="3" t="str">
        <f>HYPERLINK("http://amigo.geneontology.org/amigo/term/GO:0009751","GO:0009751")</f>
        <v>GO:0009751</v>
      </c>
      <c r="D174" t="s">
        <v>7388</v>
      </c>
      <c r="E174">
        <v>104</v>
      </c>
      <c r="F174">
        <v>4</v>
      </c>
      <c r="G174">
        <v>4.1521800756698299E-3</v>
      </c>
      <c r="H174">
        <v>0.112108862043085</v>
      </c>
      <c r="I174" t="s">
        <v>10085</v>
      </c>
    </row>
    <row r="175" spans="1:9" x14ac:dyDescent="0.25">
      <c r="A175" t="s">
        <v>10142</v>
      </c>
      <c r="C175" s="3" t="str">
        <f>HYPERLINK("http://amigo.geneontology.org/amigo/term/GO:0046112","GO:0046112")</f>
        <v>GO:0046112</v>
      </c>
      <c r="D175" t="s">
        <v>9159</v>
      </c>
      <c r="E175">
        <v>52</v>
      </c>
      <c r="F175">
        <v>3</v>
      </c>
      <c r="G175">
        <v>4.2054493549645699E-3</v>
      </c>
      <c r="H175">
        <v>0.113547132584043</v>
      </c>
      <c r="I175" t="s">
        <v>8913</v>
      </c>
    </row>
    <row r="176" spans="1:9" x14ac:dyDescent="0.25">
      <c r="A176" t="s">
        <v>10143</v>
      </c>
      <c r="C176" s="3" t="str">
        <f>HYPERLINK("http://amigo.geneontology.org/amigo/term/GO:0016830","GO:0016830")</f>
        <v>GO:0016830</v>
      </c>
      <c r="D176" t="s">
        <v>411</v>
      </c>
      <c r="E176">
        <v>321</v>
      </c>
      <c r="F176">
        <v>7</v>
      </c>
      <c r="G176">
        <v>4.2283321784196198E-3</v>
      </c>
      <c r="H176">
        <v>0.114164968817329</v>
      </c>
      <c r="I176" t="s">
        <v>10102</v>
      </c>
    </row>
    <row r="177" spans="1:9" x14ac:dyDescent="0.25">
      <c r="A177" t="s">
        <v>7403</v>
      </c>
      <c r="C177" s="3" t="str">
        <f>HYPERLINK("http://amigo.geneontology.org/amigo/term/GO:0043069","GO:0043069")</f>
        <v>GO:0043069</v>
      </c>
      <c r="D177" t="s">
        <v>10144</v>
      </c>
      <c r="E177">
        <v>53</v>
      </c>
      <c r="F177">
        <v>3</v>
      </c>
      <c r="G177">
        <v>4.4374403721884103E-3</v>
      </c>
      <c r="H177">
        <v>0.119810890049087</v>
      </c>
      <c r="I177" t="s">
        <v>10107</v>
      </c>
    </row>
    <row r="178" spans="1:9" x14ac:dyDescent="0.25">
      <c r="A178" t="s">
        <v>7405</v>
      </c>
      <c r="C178" s="3" t="str">
        <f>HYPERLINK("http://amigo.geneontology.org/amigo/term/GO:0072330","GO:0072330")</f>
        <v>GO:0072330</v>
      </c>
      <c r="D178" t="s">
        <v>302</v>
      </c>
      <c r="E178">
        <v>897</v>
      </c>
      <c r="F178">
        <v>13</v>
      </c>
      <c r="G178">
        <v>4.5593939517153898E-3</v>
      </c>
      <c r="H178">
        <v>0.12310363669631499</v>
      </c>
      <c r="I178" t="s">
        <v>10145</v>
      </c>
    </row>
    <row r="179" spans="1:9" x14ac:dyDescent="0.25">
      <c r="A179" t="s">
        <v>8332</v>
      </c>
      <c r="C179" s="3" t="str">
        <f>HYPERLINK("http://amigo.geneontology.org/amigo/term/GO:0042626","GO:0042626")</f>
        <v>GO:0042626</v>
      </c>
      <c r="D179" t="s">
        <v>10146</v>
      </c>
      <c r="E179">
        <v>415</v>
      </c>
      <c r="F179">
        <v>8</v>
      </c>
      <c r="G179">
        <v>4.8013840504006E-3</v>
      </c>
      <c r="H179">
        <v>0.124835985310415</v>
      </c>
      <c r="I179" t="s">
        <v>10147</v>
      </c>
    </row>
    <row r="180" spans="1:9" x14ac:dyDescent="0.25">
      <c r="A180" t="s">
        <v>8333</v>
      </c>
      <c r="C180" s="3" t="str">
        <f>HYPERLINK("http://amigo.geneontology.org/amigo/term/GO:0006418","GO:0006418")</f>
        <v>GO:0006418</v>
      </c>
      <c r="D180" t="s">
        <v>10148</v>
      </c>
      <c r="E180">
        <v>248</v>
      </c>
      <c r="F180">
        <v>6</v>
      </c>
      <c r="G180">
        <v>4.8160914416082602E-3</v>
      </c>
      <c r="H180">
        <v>0.125218377481814</v>
      </c>
      <c r="I180" t="s">
        <v>10149</v>
      </c>
    </row>
    <row r="181" spans="1:9" x14ac:dyDescent="0.25">
      <c r="A181" t="s">
        <v>7406</v>
      </c>
      <c r="C181" s="3" t="str">
        <f>HYPERLINK("http://amigo.geneontology.org/amigo/term/GO:0005985","GO:0005985")</f>
        <v>GO:0005985</v>
      </c>
      <c r="D181" t="s">
        <v>481</v>
      </c>
      <c r="E181">
        <v>55</v>
      </c>
      <c r="F181">
        <v>3</v>
      </c>
      <c r="G181">
        <v>4.92431576956129E-3</v>
      </c>
      <c r="H181">
        <v>0.12803221000859299</v>
      </c>
      <c r="I181" t="s">
        <v>10051</v>
      </c>
    </row>
    <row r="182" spans="1:9" x14ac:dyDescent="0.25">
      <c r="A182" t="s">
        <v>10150</v>
      </c>
      <c r="C182" s="3" t="str">
        <f>HYPERLINK("http://amigo.geneontology.org/amigo/term/GO:0045730","GO:0045730")</f>
        <v>GO:0045730</v>
      </c>
      <c r="D182" t="s">
        <v>7417</v>
      </c>
      <c r="E182">
        <v>17</v>
      </c>
      <c r="F182">
        <v>2</v>
      </c>
      <c r="G182">
        <v>4.9271950686409103E-3</v>
      </c>
      <c r="H182">
        <v>0.12810707178466299</v>
      </c>
      <c r="I182" t="s">
        <v>7418</v>
      </c>
    </row>
    <row r="183" spans="1:9" x14ac:dyDescent="0.25">
      <c r="A183" t="s">
        <v>9202</v>
      </c>
      <c r="C183" s="3" t="str">
        <f>HYPERLINK("http://amigo.geneontology.org/amigo/term/GO:0002679","GO:0002679")</f>
        <v>GO:0002679</v>
      </c>
      <c r="D183" t="s">
        <v>7420</v>
      </c>
      <c r="E183">
        <v>17</v>
      </c>
      <c r="F183">
        <v>2</v>
      </c>
      <c r="G183">
        <v>4.9271950686409103E-3</v>
      </c>
      <c r="H183">
        <v>0.12810707178466299</v>
      </c>
      <c r="I183" t="s">
        <v>7418</v>
      </c>
    </row>
    <row r="184" spans="1:9" x14ac:dyDescent="0.25">
      <c r="A184" t="s">
        <v>7408</v>
      </c>
      <c r="C184" s="3" t="str">
        <f>HYPERLINK("http://amigo.geneontology.org/amigo/term/GO:0004364","GO:0004364")</f>
        <v>GO:0004364</v>
      </c>
      <c r="D184" t="s">
        <v>7113</v>
      </c>
      <c r="E184">
        <v>17</v>
      </c>
      <c r="F184">
        <v>2</v>
      </c>
      <c r="G184">
        <v>4.9271950686409103E-3</v>
      </c>
      <c r="H184">
        <v>0.12810707178466299</v>
      </c>
      <c r="I184" t="s">
        <v>10151</v>
      </c>
    </row>
    <row r="185" spans="1:9" x14ac:dyDescent="0.25">
      <c r="A185" t="s">
        <v>7412</v>
      </c>
      <c r="C185" s="3" t="str">
        <f>HYPERLINK("http://amigo.geneontology.org/amigo/term/GO:0043038","GO:0043038")</f>
        <v>GO:0043038</v>
      </c>
      <c r="D185" t="s">
        <v>10152</v>
      </c>
      <c r="E185">
        <v>255</v>
      </c>
      <c r="F185">
        <v>6</v>
      </c>
      <c r="G185">
        <v>5.5001207926910402E-3</v>
      </c>
      <c r="H185">
        <v>0.137503019817276</v>
      </c>
      <c r="I185" t="s">
        <v>10149</v>
      </c>
    </row>
    <row r="186" spans="1:9" x14ac:dyDescent="0.25">
      <c r="A186" t="s">
        <v>10153</v>
      </c>
      <c r="C186" s="3" t="str">
        <f>HYPERLINK("http://amigo.geneontology.org/amigo/term/GO:0043039","GO:0043039")</f>
        <v>GO:0043039</v>
      </c>
      <c r="D186" t="s">
        <v>10154</v>
      </c>
      <c r="E186">
        <v>255</v>
      </c>
      <c r="F186">
        <v>6</v>
      </c>
      <c r="G186">
        <v>5.5001207926910402E-3</v>
      </c>
      <c r="H186">
        <v>0.137503019817276</v>
      </c>
      <c r="I186" t="s">
        <v>10149</v>
      </c>
    </row>
    <row r="187" spans="1:9" x14ac:dyDescent="0.25">
      <c r="A187" t="s">
        <v>7426</v>
      </c>
      <c r="C187" s="3" t="str">
        <f>HYPERLINK("http://amigo.geneontology.org/amigo/term/GO:0043090","GO:0043090")</f>
        <v>GO:0043090</v>
      </c>
      <c r="D187" t="s">
        <v>7437</v>
      </c>
      <c r="E187">
        <v>18</v>
      </c>
      <c r="F187">
        <v>2</v>
      </c>
      <c r="G187">
        <v>5.5204004515148402E-3</v>
      </c>
      <c r="H187">
        <v>0.13801001128787099</v>
      </c>
      <c r="I187" t="s">
        <v>7139</v>
      </c>
    </row>
    <row r="188" spans="1:9" x14ac:dyDescent="0.25">
      <c r="A188" t="s">
        <v>7431</v>
      </c>
      <c r="C188" s="3" t="str">
        <f>HYPERLINK("http://amigo.geneontology.org/amigo/term/GO:0140096","GO:0140096")</f>
        <v>GO:0140096</v>
      </c>
      <c r="D188" t="s">
        <v>6920</v>
      </c>
      <c r="E188">
        <v>9453</v>
      </c>
      <c r="F188">
        <v>78</v>
      </c>
      <c r="G188">
        <v>5.67120920792451E-3</v>
      </c>
      <c r="H188">
        <v>0.14178023019811201</v>
      </c>
      <c r="I188" t="s">
        <v>10155</v>
      </c>
    </row>
    <row r="189" spans="1:9" x14ac:dyDescent="0.25">
      <c r="A189" t="s">
        <v>8340</v>
      </c>
      <c r="C189" s="3" t="str">
        <f>HYPERLINK("http://amigo.geneontology.org/amigo/term/GO:0071949","GO:0071949")</f>
        <v>GO:0071949</v>
      </c>
      <c r="D189" t="s">
        <v>10156</v>
      </c>
      <c r="E189">
        <v>58</v>
      </c>
      <c r="F189">
        <v>3</v>
      </c>
      <c r="G189">
        <v>5.7128774688035002E-3</v>
      </c>
      <c r="H189">
        <v>0.142821936720087</v>
      </c>
      <c r="I189" t="s">
        <v>10157</v>
      </c>
    </row>
    <row r="190" spans="1:9" x14ac:dyDescent="0.25">
      <c r="A190" t="s">
        <v>10158</v>
      </c>
      <c r="C190" s="3" t="str">
        <f>HYPERLINK("http://amigo.geneontology.org/amigo/term/GO:0030246","GO:0030246")</f>
        <v>GO:0030246</v>
      </c>
      <c r="D190" t="s">
        <v>6959</v>
      </c>
      <c r="E190">
        <v>1249</v>
      </c>
      <c r="F190">
        <v>16</v>
      </c>
      <c r="G190">
        <v>5.7188576904613399E-3</v>
      </c>
      <c r="H190">
        <v>0.14297144226153299</v>
      </c>
      <c r="I190" t="s">
        <v>10159</v>
      </c>
    </row>
    <row r="191" spans="1:9" x14ac:dyDescent="0.25">
      <c r="A191" t="s">
        <v>7436</v>
      </c>
      <c r="C191" s="3" t="str">
        <f>HYPERLINK("http://amigo.geneontology.org/amigo/term/GO:0009627","GO:0009627")</f>
        <v>GO:0009627</v>
      </c>
      <c r="D191" t="s">
        <v>7432</v>
      </c>
      <c r="E191">
        <v>114</v>
      </c>
      <c r="F191">
        <v>4</v>
      </c>
      <c r="G191">
        <v>5.7413083388109E-3</v>
      </c>
      <c r="H191">
        <v>0.143532708470272</v>
      </c>
      <c r="I191" t="s">
        <v>10085</v>
      </c>
    </row>
    <row r="192" spans="1:9" x14ac:dyDescent="0.25">
      <c r="A192" t="s">
        <v>7438</v>
      </c>
      <c r="C192" s="3" t="str">
        <f>HYPERLINK("http://amigo.geneontology.org/amigo/term/GO:0016875","GO:0016875")</f>
        <v>GO:0016875</v>
      </c>
      <c r="D192" t="s">
        <v>10160</v>
      </c>
      <c r="E192">
        <v>261</v>
      </c>
      <c r="F192">
        <v>6</v>
      </c>
      <c r="G192">
        <v>6.1407704199649303E-3</v>
      </c>
      <c r="H192">
        <v>0.14737849007915799</v>
      </c>
      <c r="I192" t="s">
        <v>10149</v>
      </c>
    </row>
    <row r="193" spans="1:9" x14ac:dyDescent="0.25">
      <c r="A193" t="s">
        <v>9808</v>
      </c>
      <c r="C193" s="3" t="str">
        <f>HYPERLINK("http://amigo.geneontology.org/amigo/term/GO:0004812","GO:0004812")</f>
        <v>GO:0004812</v>
      </c>
      <c r="D193" t="s">
        <v>10161</v>
      </c>
      <c r="E193">
        <v>261</v>
      </c>
      <c r="F193">
        <v>6</v>
      </c>
      <c r="G193">
        <v>6.1407704199649303E-3</v>
      </c>
      <c r="H193">
        <v>0.14737849007915799</v>
      </c>
      <c r="I193" t="s">
        <v>10149</v>
      </c>
    </row>
    <row r="194" spans="1:9" x14ac:dyDescent="0.25">
      <c r="A194" t="s">
        <v>9809</v>
      </c>
      <c r="C194" s="3" t="str">
        <f>HYPERLINK("http://amigo.geneontology.org/amigo/term/GO:0019203","GO:0019203")</f>
        <v>GO:0019203</v>
      </c>
      <c r="D194" t="s">
        <v>10162</v>
      </c>
      <c r="E194">
        <v>60</v>
      </c>
      <c r="F194">
        <v>3</v>
      </c>
      <c r="G194">
        <v>6.2781565319608504E-3</v>
      </c>
      <c r="H194">
        <v>0.15067575676705999</v>
      </c>
      <c r="I194" t="s">
        <v>10051</v>
      </c>
    </row>
    <row r="195" spans="1:9" x14ac:dyDescent="0.25">
      <c r="A195" t="s">
        <v>10163</v>
      </c>
      <c r="C195" s="3" t="str">
        <f>HYPERLINK("http://amigo.geneontology.org/amigo/term/GO:0009309","GO:0009309")</f>
        <v>GO:0009309</v>
      </c>
      <c r="D195" t="s">
        <v>10164</v>
      </c>
      <c r="E195">
        <v>118</v>
      </c>
      <c r="F195">
        <v>4</v>
      </c>
      <c r="G195">
        <v>6.4762647838226602E-3</v>
      </c>
      <c r="H195">
        <v>0.155430354811743</v>
      </c>
      <c r="I195" t="s">
        <v>10089</v>
      </c>
    </row>
    <row r="196" spans="1:9" x14ac:dyDescent="0.25">
      <c r="A196" t="s">
        <v>10165</v>
      </c>
      <c r="C196" s="3" t="str">
        <f>HYPERLINK("http://amigo.geneontology.org/amigo/term/GO:0042401","GO:0042401")</f>
        <v>GO:0042401</v>
      </c>
      <c r="D196" t="s">
        <v>10166</v>
      </c>
      <c r="E196">
        <v>118</v>
      </c>
      <c r="F196">
        <v>4</v>
      </c>
      <c r="G196">
        <v>6.4762647838226602E-3</v>
      </c>
      <c r="H196">
        <v>0.155430354811743</v>
      </c>
      <c r="I196" t="s">
        <v>10089</v>
      </c>
    </row>
    <row r="197" spans="1:9" x14ac:dyDescent="0.25">
      <c r="A197" t="s">
        <v>9810</v>
      </c>
      <c r="C197" s="3" t="str">
        <f>HYPERLINK("http://amigo.geneontology.org/amigo/term/GO:0051606","GO:0051606")</f>
        <v>GO:0051606</v>
      </c>
      <c r="D197" t="s">
        <v>10167</v>
      </c>
      <c r="E197">
        <v>61</v>
      </c>
      <c r="F197">
        <v>3</v>
      </c>
      <c r="G197">
        <v>6.5728447194165797E-3</v>
      </c>
      <c r="H197">
        <v>0.157748273265998</v>
      </c>
      <c r="I197" t="s">
        <v>10107</v>
      </c>
    </row>
    <row r="198" spans="1:9" x14ac:dyDescent="0.25">
      <c r="A198" t="s">
        <v>10168</v>
      </c>
      <c r="C198" s="3" t="str">
        <f>HYPERLINK("http://amigo.geneontology.org/amigo/term/GO:0060548","GO:0060548")</f>
        <v>GO:0060548</v>
      </c>
      <c r="D198" t="s">
        <v>10169</v>
      </c>
      <c r="E198">
        <v>63</v>
      </c>
      <c r="F198">
        <v>3</v>
      </c>
      <c r="G198">
        <v>7.1865932771588998E-3</v>
      </c>
      <c r="H198">
        <v>0.172478238651813</v>
      </c>
      <c r="I198" t="s">
        <v>10107</v>
      </c>
    </row>
    <row r="199" spans="1:9" x14ac:dyDescent="0.25">
      <c r="A199" t="s">
        <v>10170</v>
      </c>
      <c r="C199" s="3" t="str">
        <f>HYPERLINK("http://amigo.geneontology.org/amigo/term/GO:0044248","GO:0044248")</f>
        <v>GO:0044248</v>
      </c>
      <c r="D199" t="s">
        <v>5244</v>
      </c>
      <c r="E199">
        <v>2352</v>
      </c>
      <c r="F199">
        <v>25</v>
      </c>
      <c r="G199">
        <v>7.2364699909371498E-3</v>
      </c>
      <c r="H199">
        <v>0.173675279782491</v>
      </c>
      <c r="I199" t="s">
        <v>10171</v>
      </c>
    </row>
    <row r="200" spans="1:9" x14ac:dyDescent="0.25">
      <c r="A200" t="s">
        <v>10172</v>
      </c>
      <c r="C200" s="3" t="str">
        <f>HYPERLINK("http://amigo.geneontology.org/amigo/term/GO:0010941","GO:0010941")</f>
        <v>GO:0010941</v>
      </c>
      <c r="D200" t="s">
        <v>5738</v>
      </c>
      <c r="E200">
        <v>123</v>
      </c>
      <c r="F200">
        <v>4</v>
      </c>
      <c r="G200">
        <v>7.47930320969953E-3</v>
      </c>
      <c r="H200">
        <v>0.17202397382308901</v>
      </c>
      <c r="I200" t="s">
        <v>10173</v>
      </c>
    </row>
    <row r="201" spans="1:9" x14ac:dyDescent="0.25">
      <c r="A201" t="s">
        <v>7459</v>
      </c>
      <c r="C201" s="3" t="str">
        <f>HYPERLINK("http://amigo.geneontology.org/amigo/term/GO:0071229","GO:0071229")</f>
        <v>GO:0071229</v>
      </c>
      <c r="D201" t="s">
        <v>10174</v>
      </c>
      <c r="E201">
        <v>194</v>
      </c>
      <c r="F201">
        <v>5</v>
      </c>
      <c r="G201">
        <v>7.5735488874860302E-3</v>
      </c>
      <c r="H201">
        <v>0.174191624412178</v>
      </c>
      <c r="I201" t="s">
        <v>10175</v>
      </c>
    </row>
    <row r="202" spans="1:9" x14ac:dyDescent="0.25">
      <c r="A202" t="s">
        <v>10176</v>
      </c>
      <c r="C202" s="3" t="str">
        <f>HYPERLINK("http://amigo.geneontology.org/amigo/term/GO:0046351","GO:0046351")</f>
        <v>GO:0046351</v>
      </c>
      <c r="D202" t="s">
        <v>6268</v>
      </c>
      <c r="E202">
        <v>66</v>
      </c>
      <c r="F202">
        <v>3</v>
      </c>
      <c r="G202">
        <v>8.16891134359779E-3</v>
      </c>
      <c r="H202">
        <v>0.187884960902749</v>
      </c>
      <c r="I202" t="s">
        <v>10051</v>
      </c>
    </row>
    <row r="203" spans="1:9" x14ac:dyDescent="0.25">
      <c r="A203" t="s">
        <v>9812</v>
      </c>
      <c r="C203" s="3" t="str">
        <f>HYPERLINK("http://amigo.geneontology.org/amigo/term/GO:0005402","GO:0005402")</f>
        <v>GO:0005402</v>
      </c>
      <c r="D203" t="s">
        <v>7550</v>
      </c>
      <c r="E203">
        <v>23</v>
      </c>
      <c r="F203">
        <v>2</v>
      </c>
      <c r="G203">
        <v>8.9434503885021006E-3</v>
      </c>
      <c r="H203">
        <v>0.205699358935548</v>
      </c>
      <c r="I203" t="s">
        <v>7139</v>
      </c>
    </row>
    <row r="204" spans="1:9" x14ac:dyDescent="0.25">
      <c r="A204" t="s">
        <v>7464</v>
      </c>
      <c r="C204" s="3" t="str">
        <f>HYPERLINK("http://amigo.geneontology.org/amigo/term/GO:0005351","GO:0005351")</f>
        <v>GO:0005351</v>
      </c>
      <c r="D204" t="s">
        <v>7552</v>
      </c>
      <c r="E204">
        <v>23</v>
      </c>
      <c r="F204">
        <v>2</v>
      </c>
      <c r="G204">
        <v>8.9434503885021006E-3</v>
      </c>
      <c r="H204">
        <v>0.205699358935548</v>
      </c>
      <c r="I204" t="s">
        <v>7139</v>
      </c>
    </row>
    <row r="205" spans="1:9" x14ac:dyDescent="0.25">
      <c r="A205" t="s">
        <v>7474</v>
      </c>
      <c r="C205" s="3" t="str">
        <f>HYPERLINK("http://amigo.geneontology.org/amigo/term/GO:0000287","GO:0000287")</f>
        <v>GO:0000287</v>
      </c>
      <c r="D205" t="s">
        <v>10177</v>
      </c>
      <c r="E205">
        <v>463</v>
      </c>
      <c r="F205">
        <v>8</v>
      </c>
      <c r="G205">
        <v>9.0095108131209301E-3</v>
      </c>
      <c r="H205">
        <v>0.207218748701781</v>
      </c>
      <c r="I205" t="s">
        <v>10178</v>
      </c>
    </row>
    <row r="206" spans="1:9" x14ac:dyDescent="0.25">
      <c r="A206" t="s">
        <v>9223</v>
      </c>
      <c r="C206" s="3" t="str">
        <f>HYPERLINK("http://amigo.geneontology.org/amigo/term/GO:0071407","GO:0071407")</f>
        <v>GO:0071407</v>
      </c>
      <c r="D206" t="s">
        <v>7560</v>
      </c>
      <c r="E206">
        <v>131</v>
      </c>
      <c r="F206">
        <v>4</v>
      </c>
      <c r="G206">
        <v>9.2878431290014194E-3</v>
      </c>
      <c r="H206">
        <v>0.213620391967032</v>
      </c>
      <c r="I206" t="s">
        <v>10085</v>
      </c>
    </row>
    <row r="207" spans="1:9" x14ac:dyDescent="0.25">
      <c r="A207" t="s">
        <v>10179</v>
      </c>
      <c r="C207" s="3" t="str">
        <f>HYPERLINK("http://amigo.geneontology.org/amigo/term/GO:0015399","GO:0015399")</f>
        <v>GO:0015399</v>
      </c>
      <c r="D207" t="s">
        <v>10180</v>
      </c>
      <c r="E207">
        <v>470</v>
      </c>
      <c r="F207">
        <v>8</v>
      </c>
      <c r="G207">
        <v>9.8001216945529206E-3</v>
      </c>
      <c r="H207">
        <v>0.215602677280164</v>
      </c>
      <c r="I207" t="s">
        <v>10147</v>
      </c>
    </row>
    <row r="208" spans="1:9" x14ac:dyDescent="0.25">
      <c r="A208" t="s">
        <v>10181</v>
      </c>
      <c r="C208" s="3" t="str">
        <f>HYPERLINK("http://amigo.geneontology.org/amigo/term/GO:0015405","GO:0015405")</f>
        <v>GO:0015405</v>
      </c>
      <c r="D208" t="s">
        <v>10182</v>
      </c>
      <c r="E208">
        <v>470</v>
      </c>
      <c r="F208">
        <v>8</v>
      </c>
      <c r="G208">
        <v>9.8001216945529206E-3</v>
      </c>
      <c r="H208">
        <v>0.22540279897471699</v>
      </c>
      <c r="I208" t="s">
        <v>10147</v>
      </c>
    </row>
    <row r="209" spans="1:9" x14ac:dyDescent="0.25">
      <c r="A209" t="s">
        <v>10183</v>
      </c>
      <c r="C209" s="3" t="str">
        <f>HYPERLINK("http://amigo.geneontology.org/amigo/term/GO:0009084","GO:0009084")</f>
        <v>GO:0009084</v>
      </c>
      <c r="D209" t="s">
        <v>10184</v>
      </c>
      <c r="E209">
        <v>71</v>
      </c>
      <c r="F209">
        <v>3</v>
      </c>
      <c r="G209">
        <v>9.9736756591884898E-3</v>
      </c>
      <c r="H209">
        <v>0.21942086450214601</v>
      </c>
      <c r="I209" t="s">
        <v>10058</v>
      </c>
    </row>
    <row r="210" spans="1:9" x14ac:dyDescent="0.25">
      <c r="A210" t="s">
        <v>9229</v>
      </c>
      <c r="C210" s="3" t="str">
        <f>HYPERLINK("http://amigo.geneontology.org/amigo/term/GO:0031347","GO:0031347")</f>
        <v>GO:0031347</v>
      </c>
      <c r="D210" t="s">
        <v>9144</v>
      </c>
      <c r="E210">
        <v>210</v>
      </c>
      <c r="F210">
        <v>5</v>
      </c>
      <c r="G210">
        <v>1.04349108370238E-2</v>
      </c>
      <c r="H210">
        <v>0.229568038414525</v>
      </c>
      <c r="I210" t="s">
        <v>10185</v>
      </c>
    </row>
    <row r="211" spans="1:9" x14ac:dyDescent="0.25">
      <c r="A211" t="s">
        <v>8358</v>
      </c>
      <c r="C211" s="3" t="str">
        <f>HYPERLINK("http://amigo.geneontology.org/amigo/term/GO:0016798","GO:0016798")</f>
        <v>GO:0016798</v>
      </c>
      <c r="D211" t="s">
        <v>177</v>
      </c>
      <c r="E211">
        <v>1691</v>
      </c>
      <c r="F211">
        <v>19</v>
      </c>
      <c r="G211">
        <v>1.0524721319493099E-2</v>
      </c>
      <c r="H211">
        <v>0.23154386902884899</v>
      </c>
      <c r="I211" t="s">
        <v>10186</v>
      </c>
    </row>
    <row r="212" spans="1:9" x14ac:dyDescent="0.25">
      <c r="A212" t="s">
        <v>7503</v>
      </c>
      <c r="C212" s="3" t="str">
        <f>HYPERLINK("http://amigo.geneontology.org/amigo/term/GO:0051172","GO:0051172")</f>
        <v>GO:0051172</v>
      </c>
      <c r="D212" t="s">
        <v>7163</v>
      </c>
      <c r="E212">
        <v>479</v>
      </c>
      <c r="F212">
        <v>8</v>
      </c>
      <c r="G212">
        <v>1.08910176074345E-2</v>
      </c>
      <c r="H212">
        <v>0.23960238736355999</v>
      </c>
      <c r="I212" t="s">
        <v>10080</v>
      </c>
    </row>
    <row r="213" spans="1:9" x14ac:dyDescent="0.25">
      <c r="A213" t="s">
        <v>9232</v>
      </c>
      <c r="C213" s="3" t="str">
        <f>HYPERLINK("http://amigo.geneontology.org/amigo/term/GO:0009112","GO:0009112")</f>
        <v>GO:0009112</v>
      </c>
      <c r="D213" t="s">
        <v>10187</v>
      </c>
      <c r="E213">
        <v>74</v>
      </c>
      <c r="F213">
        <v>3</v>
      </c>
      <c r="G213">
        <v>1.1158822204618E-2</v>
      </c>
      <c r="H213">
        <v>0.24549408850159599</v>
      </c>
      <c r="I213" t="s">
        <v>8913</v>
      </c>
    </row>
    <row r="214" spans="1:9" x14ac:dyDescent="0.25">
      <c r="A214" t="s">
        <v>10188</v>
      </c>
      <c r="C214" s="3" t="str">
        <f>HYPERLINK("http://amigo.geneontology.org/amigo/term/GO:0009174","GO:0009174")</f>
        <v>GO:0009174</v>
      </c>
      <c r="D214" t="s">
        <v>10189</v>
      </c>
      <c r="E214">
        <v>26</v>
      </c>
      <c r="F214">
        <v>2</v>
      </c>
      <c r="G214">
        <v>1.1348601747029599E-2</v>
      </c>
      <c r="H214">
        <v>0.249669238434652</v>
      </c>
      <c r="I214" t="s">
        <v>7223</v>
      </c>
    </row>
    <row r="215" spans="1:9" x14ac:dyDescent="0.25">
      <c r="A215" t="s">
        <v>7509</v>
      </c>
      <c r="C215" s="3" t="str">
        <f>HYPERLINK("http://amigo.geneontology.org/amigo/term/GO:0046049","GO:0046049")</f>
        <v>GO:0046049</v>
      </c>
      <c r="D215" t="s">
        <v>10190</v>
      </c>
      <c r="E215">
        <v>26</v>
      </c>
      <c r="F215">
        <v>2</v>
      </c>
      <c r="G215">
        <v>1.1348601747029599E-2</v>
      </c>
      <c r="H215">
        <v>0.249669238434652</v>
      </c>
      <c r="I215" t="s">
        <v>7223</v>
      </c>
    </row>
    <row r="216" spans="1:9" x14ac:dyDescent="0.25">
      <c r="A216" t="s">
        <v>7511</v>
      </c>
      <c r="C216" s="3" t="str">
        <f>HYPERLINK("http://amigo.geneontology.org/amigo/term/GO:0006222","GO:0006222")</f>
        <v>GO:0006222</v>
      </c>
      <c r="D216" t="s">
        <v>10191</v>
      </c>
      <c r="E216">
        <v>26</v>
      </c>
      <c r="F216">
        <v>2</v>
      </c>
      <c r="G216">
        <v>1.1348601747029599E-2</v>
      </c>
      <c r="H216">
        <v>0.249669238434652</v>
      </c>
      <c r="I216" t="s">
        <v>7223</v>
      </c>
    </row>
    <row r="217" spans="1:9" x14ac:dyDescent="0.25">
      <c r="A217" t="s">
        <v>10192</v>
      </c>
      <c r="C217" s="3" t="str">
        <f>HYPERLINK("http://amigo.geneontology.org/amigo/term/GO:0017111","GO:0017111")</f>
        <v>GO:0017111</v>
      </c>
      <c r="D217" t="s">
        <v>10193</v>
      </c>
      <c r="E217">
        <v>2199</v>
      </c>
      <c r="F217">
        <v>23</v>
      </c>
      <c r="G217">
        <v>1.1616501258746199E-2</v>
      </c>
      <c r="H217">
        <v>0.24394652643367101</v>
      </c>
      <c r="I217" t="s">
        <v>10194</v>
      </c>
    </row>
    <row r="218" spans="1:9" x14ac:dyDescent="0.25">
      <c r="A218" t="s">
        <v>7515</v>
      </c>
      <c r="C218" s="3" t="str">
        <f>HYPERLINK("http://amigo.geneontology.org/amigo/term/GO:0000165","GO:0000165")</f>
        <v>GO:0000165</v>
      </c>
      <c r="D218" t="s">
        <v>10195</v>
      </c>
      <c r="E218">
        <v>76</v>
      </c>
      <c r="F218">
        <v>3</v>
      </c>
      <c r="G218">
        <v>1.19921063303439E-2</v>
      </c>
      <c r="H218">
        <v>0.25183423293722301</v>
      </c>
      <c r="I218" t="s">
        <v>10107</v>
      </c>
    </row>
    <row r="219" spans="1:9" x14ac:dyDescent="0.25">
      <c r="A219" t="s">
        <v>7519</v>
      </c>
      <c r="C219" s="3" t="str">
        <f>HYPERLINK("http://amigo.geneontology.org/amigo/term/GO:0031324","GO:0031324")</f>
        <v>GO:0031324</v>
      </c>
      <c r="D219" t="s">
        <v>7179</v>
      </c>
      <c r="E219">
        <v>488</v>
      </c>
      <c r="F219">
        <v>8</v>
      </c>
      <c r="G219">
        <v>1.2069202971429801E-2</v>
      </c>
      <c r="H219">
        <v>0.25345326240002602</v>
      </c>
      <c r="I219" t="s">
        <v>10080</v>
      </c>
    </row>
    <row r="220" spans="1:9" x14ac:dyDescent="0.25">
      <c r="A220" t="s">
        <v>10196</v>
      </c>
      <c r="C220" s="3" t="str">
        <f>HYPERLINK("http://amigo.geneontology.org/amigo/term/GO:0015295","GO:0015295")</f>
        <v>GO:0015295</v>
      </c>
      <c r="D220" t="s">
        <v>9800</v>
      </c>
      <c r="E220">
        <v>27</v>
      </c>
      <c r="F220">
        <v>2</v>
      </c>
      <c r="G220">
        <v>1.22065456550238E-2</v>
      </c>
      <c r="H220">
        <v>0.25633745875550001</v>
      </c>
      <c r="I220" t="s">
        <v>7139</v>
      </c>
    </row>
    <row r="221" spans="1:9" x14ac:dyDescent="0.25">
      <c r="A221" t="s">
        <v>10197</v>
      </c>
      <c r="C221" s="3" t="str">
        <f>HYPERLINK("http://amigo.geneontology.org/amigo/term/GO:0051213","GO:0051213")</f>
        <v>GO:0051213</v>
      </c>
      <c r="D221" t="s">
        <v>5728</v>
      </c>
      <c r="E221">
        <v>396</v>
      </c>
      <c r="F221">
        <v>7</v>
      </c>
      <c r="G221">
        <v>1.26042793773693E-2</v>
      </c>
      <c r="H221">
        <v>0.26468986692475499</v>
      </c>
      <c r="I221" t="s">
        <v>10113</v>
      </c>
    </row>
    <row r="222" spans="1:9" x14ac:dyDescent="0.25">
      <c r="A222" t="s">
        <v>9244</v>
      </c>
      <c r="C222" s="3" t="str">
        <f>HYPERLINK("http://amigo.geneontology.org/amigo/term/GO:0009173","GO:0009173")</f>
        <v>GO:0009173</v>
      </c>
      <c r="D222" t="s">
        <v>10198</v>
      </c>
      <c r="E222">
        <v>28</v>
      </c>
      <c r="F222">
        <v>2</v>
      </c>
      <c r="G222">
        <v>1.3091971920314201E-2</v>
      </c>
      <c r="H222">
        <v>0.27493141032659801</v>
      </c>
      <c r="I222" t="s">
        <v>7223</v>
      </c>
    </row>
    <row r="223" spans="1:9" x14ac:dyDescent="0.25">
      <c r="A223" t="s">
        <v>9829</v>
      </c>
      <c r="C223" s="3" t="str">
        <f>HYPERLINK("http://amigo.geneontology.org/amigo/term/GO:0009130","GO:0009130")</f>
        <v>GO:0009130</v>
      </c>
      <c r="D223" t="s">
        <v>10199</v>
      </c>
      <c r="E223">
        <v>29</v>
      </c>
      <c r="F223">
        <v>2</v>
      </c>
      <c r="G223">
        <v>1.40045073236694E-2</v>
      </c>
      <c r="H223">
        <v>0.29409465379705702</v>
      </c>
      <c r="I223" t="s">
        <v>7223</v>
      </c>
    </row>
    <row r="224" spans="1:9" x14ac:dyDescent="0.25">
      <c r="A224" t="s">
        <v>8372</v>
      </c>
      <c r="C224" s="3" t="str">
        <f>HYPERLINK("http://amigo.geneontology.org/amigo/term/GO:0005548","GO:0005548")</f>
        <v>GO:0005548</v>
      </c>
      <c r="D224" t="s">
        <v>7299</v>
      </c>
      <c r="E224">
        <v>29</v>
      </c>
      <c r="F224">
        <v>2</v>
      </c>
      <c r="G224">
        <v>1.40045073236694E-2</v>
      </c>
      <c r="H224">
        <v>0.29409465379705702</v>
      </c>
      <c r="I224" t="s">
        <v>10200</v>
      </c>
    </row>
    <row r="225" spans="1:9" x14ac:dyDescent="0.25">
      <c r="A225" t="s">
        <v>7542</v>
      </c>
      <c r="C225" s="3" t="str">
        <f>HYPERLINK("http://amigo.geneontology.org/amigo/term/GO:0004012","GO:0004012")</f>
        <v>GO:0004012</v>
      </c>
      <c r="D225" t="s">
        <v>7302</v>
      </c>
      <c r="E225">
        <v>29</v>
      </c>
      <c r="F225">
        <v>2</v>
      </c>
      <c r="G225">
        <v>1.40045073236694E-2</v>
      </c>
      <c r="H225">
        <v>0.29409465379705702</v>
      </c>
      <c r="I225" t="s">
        <v>10200</v>
      </c>
    </row>
    <row r="226" spans="1:9" x14ac:dyDescent="0.25">
      <c r="A226" t="s">
        <v>10201</v>
      </c>
      <c r="C226" s="3" t="str">
        <f>HYPERLINK("http://amigo.geneontology.org/amigo/term/GO:0015914","GO:0015914")</f>
        <v>GO:0015914</v>
      </c>
      <c r="D226" t="s">
        <v>7304</v>
      </c>
      <c r="E226">
        <v>29</v>
      </c>
      <c r="F226">
        <v>2</v>
      </c>
      <c r="G226">
        <v>1.40045073236694E-2</v>
      </c>
      <c r="H226">
        <v>0.29409465379705702</v>
      </c>
      <c r="I226" t="s">
        <v>10200</v>
      </c>
    </row>
    <row r="227" spans="1:9" x14ac:dyDescent="0.25">
      <c r="A227" t="s">
        <v>10202</v>
      </c>
      <c r="C227" s="3" t="str">
        <f>HYPERLINK("http://amigo.geneontology.org/amigo/term/GO:0044281","GO:0044281")</f>
        <v>GO:0044281</v>
      </c>
      <c r="D227" t="s">
        <v>4410</v>
      </c>
      <c r="E227">
        <v>4478</v>
      </c>
      <c r="F227">
        <v>40</v>
      </c>
      <c r="G227">
        <v>1.4403323303344401E-2</v>
      </c>
      <c r="H227">
        <v>0.28806646606688802</v>
      </c>
      <c r="I227" t="s">
        <v>10203</v>
      </c>
    </row>
    <row r="228" spans="1:9" x14ac:dyDescent="0.25">
      <c r="A228" t="s">
        <v>7556</v>
      </c>
      <c r="C228" s="3" t="str">
        <f>HYPERLINK("http://amigo.geneontology.org/amigo/term/GO:0004553","GO:0004553")</f>
        <v>GO:0004553</v>
      </c>
      <c r="D228" t="s">
        <v>174</v>
      </c>
      <c r="E228">
        <v>1509</v>
      </c>
      <c r="F228">
        <v>17</v>
      </c>
      <c r="G228">
        <v>1.46621508442765E-2</v>
      </c>
      <c r="H228">
        <v>0.293243016885531</v>
      </c>
      <c r="I228" t="s">
        <v>10204</v>
      </c>
    </row>
    <row r="229" spans="1:9" x14ac:dyDescent="0.25">
      <c r="A229" t="s">
        <v>7559</v>
      </c>
      <c r="C229" s="3" t="str">
        <f>HYPERLINK("http://amigo.geneontology.org/amigo/term/GO:0009129","GO:0009129")</f>
        <v>GO:0009129</v>
      </c>
      <c r="D229" t="s">
        <v>10205</v>
      </c>
      <c r="E229">
        <v>31</v>
      </c>
      <c r="F229">
        <v>2</v>
      </c>
      <c r="G229">
        <v>1.59094304361658E-2</v>
      </c>
      <c r="H229">
        <v>0.318188608723316</v>
      </c>
      <c r="I229" t="s">
        <v>7223</v>
      </c>
    </row>
    <row r="230" spans="1:9" x14ac:dyDescent="0.25">
      <c r="A230" t="s">
        <v>9253</v>
      </c>
      <c r="C230" s="3" t="str">
        <f>HYPERLINK("http://amigo.geneontology.org/amigo/term/GO:0009312","GO:0009312")</f>
        <v>GO:0009312</v>
      </c>
      <c r="D230" t="s">
        <v>6334</v>
      </c>
      <c r="E230">
        <v>85</v>
      </c>
      <c r="F230">
        <v>3</v>
      </c>
      <c r="G230">
        <v>1.61754718785104E-2</v>
      </c>
      <c r="H230">
        <v>0.323509437570208</v>
      </c>
      <c r="I230" t="s">
        <v>10051</v>
      </c>
    </row>
    <row r="231" spans="1:9" x14ac:dyDescent="0.25">
      <c r="A231" t="s">
        <v>10206</v>
      </c>
      <c r="C231" s="3" t="str">
        <f>HYPERLINK("http://amigo.geneontology.org/amigo/term/GO:0046394","GO:0046394")</f>
        <v>GO:0046394</v>
      </c>
      <c r="D231" t="s">
        <v>682</v>
      </c>
      <c r="E231">
        <v>1534</v>
      </c>
      <c r="F231">
        <v>17</v>
      </c>
      <c r="G231">
        <v>1.6909459341677702E-2</v>
      </c>
      <c r="H231">
        <v>0.33818918683355398</v>
      </c>
      <c r="I231" t="s">
        <v>10207</v>
      </c>
    </row>
    <row r="232" spans="1:9" x14ac:dyDescent="0.25">
      <c r="A232" t="s">
        <v>7578</v>
      </c>
      <c r="C232" s="3" t="str">
        <f>HYPERLINK("http://amigo.geneontology.org/amigo/term/GO:0016053","GO:0016053")</f>
        <v>GO:0016053</v>
      </c>
      <c r="D232" t="s">
        <v>685</v>
      </c>
      <c r="E232">
        <v>1536</v>
      </c>
      <c r="F232">
        <v>17</v>
      </c>
      <c r="G232">
        <v>1.7100160951271402E-2</v>
      </c>
      <c r="H232">
        <v>0.34200321902542902</v>
      </c>
      <c r="I232" t="s">
        <v>10207</v>
      </c>
    </row>
    <row r="233" spans="1:9" x14ac:dyDescent="0.25">
      <c r="A233" t="s">
        <v>7580</v>
      </c>
      <c r="C233" s="3" t="str">
        <f>HYPERLINK("http://amigo.geneontology.org/amigo/term/GO:0016462","GO:0016462")</f>
        <v>GO:0016462</v>
      </c>
      <c r="D233" t="s">
        <v>10208</v>
      </c>
      <c r="E233">
        <v>2290</v>
      </c>
      <c r="F233">
        <v>23</v>
      </c>
      <c r="G233">
        <v>1.78086362700439E-2</v>
      </c>
      <c r="H233">
        <v>0.35617272540087902</v>
      </c>
      <c r="I233" t="s">
        <v>10194</v>
      </c>
    </row>
    <row r="234" spans="1:9" x14ac:dyDescent="0.25">
      <c r="A234" t="s">
        <v>9261</v>
      </c>
      <c r="C234" s="3" t="str">
        <f>HYPERLINK("http://amigo.geneontology.org/amigo/term/GO:0009814","GO:0009814")</f>
        <v>GO:0009814</v>
      </c>
      <c r="D234" t="s">
        <v>7455</v>
      </c>
      <c r="E234">
        <v>161</v>
      </c>
      <c r="F234">
        <v>4</v>
      </c>
      <c r="G234">
        <v>1.8511681370423701E-2</v>
      </c>
      <c r="H234">
        <v>0.37023362740847399</v>
      </c>
      <c r="I234" t="s">
        <v>10085</v>
      </c>
    </row>
    <row r="235" spans="1:9" x14ac:dyDescent="0.25">
      <c r="A235" t="s">
        <v>8389</v>
      </c>
      <c r="C235" s="3" t="str">
        <f>HYPERLINK("http://amigo.geneontology.org/amigo/term/GO:0010181","GO:0010181")</f>
        <v>GO:0010181</v>
      </c>
      <c r="D235" t="s">
        <v>7320</v>
      </c>
      <c r="E235">
        <v>161</v>
      </c>
      <c r="F235">
        <v>4</v>
      </c>
      <c r="G235">
        <v>1.8511681370423701E-2</v>
      </c>
      <c r="H235">
        <v>0.37023362740847399</v>
      </c>
      <c r="I235" t="s">
        <v>10209</v>
      </c>
    </row>
    <row r="236" spans="1:9" x14ac:dyDescent="0.25">
      <c r="A236" t="s">
        <v>7590</v>
      </c>
      <c r="C236" s="3" t="str">
        <f>HYPERLINK("http://amigo.geneontology.org/amigo/term/GO:0052317","GO:0052317")</f>
        <v>GO:0052317</v>
      </c>
      <c r="D236" t="s">
        <v>7516</v>
      </c>
      <c r="E236">
        <v>3</v>
      </c>
      <c r="F236">
        <v>1</v>
      </c>
      <c r="G236">
        <v>1.8527832654058399E-2</v>
      </c>
      <c r="H236">
        <v>0.35202882042710998</v>
      </c>
      <c r="I236" t="s">
        <v>6888</v>
      </c>
    </row>
    <row r="237" spans="1:9" x14ac:dyDescent="0.25">
      <c r="A237" t="s">
        <v>9834</v>
      </c>
      <c r="C237" s="3" t="str">
        <f>HYPERLINK("http://amigo.geneontology.org/amigo/term/GO:0010120","GO:0010120")</f>
        <v>GO:0010120</v>
      </c>
      <c r="D237" t="s">
        <v>7518</v>
      </c>
      <c r="E237">
        <v>3</v>
      </c>
      <c r="F237">
        <v>1</v>
      </c>
      <c r="G237">
        <v>1.8527832654058399E-2</v>
      </c>
      <c r="H237">
        <v>0.35202882042710998</v>
      </c>
      <c r="I237" t="s">
        <v>6888</v>
      </c>
    </row>
    <row r="238" spans="1:9" x14ac:dyDescent="0.25">
      <c r="A238" t="s">
        <v>9262</v>
      </c>
      <c r="C238" s="3" t="str">
        <f>HYPERLINK("http://amigo.geneontology.org/amigo/term/GO:0098581","GO:0098581")</f>
        <v>GO:0098581</v>
      </c>
      <c r="D238" t="s">
        <v>10210</v>
      </c>
      <c r="E238">
        <v>3</v>
      </c>
      <c r="F238">
        <v>1</v>
      </c>
      <c r="G238">
        <v>1.8527832654058399E-2</v>
      </c>
      <c r="H238">
        <v>0.35202882042710998</v>
      </c>
      <c r="I238" t="s">
        <v>10088</v>
      </c>
    </row>
    <row r="239" spans="1:9" x14ac:dyDescent="0.25">
      <c r="A239" t="s">
        <v>10211</v>
      </c>
      <c r="C239" s="3" t="str">
        <f>HYPERLINK("http://amigo.geneontology.org/amigo/term/GO:0098543","GO:0098543")</f>
        <v>GO:0098543</v>
      </c>
      <c r="D239" t="s">
        <v>10212</v>
      </c>
      <c r="E239">
        <v>3</v>
      </c>
      <c r="F239">
        <v>1</v>
      </c>
      <c r="G239">
        <v>1.8527832654058399E-2</v>
      </c>
      <c r="H239">
        <v>0.35202882042710998</v>
      </c>
      <c r="I239" t="s">
        <v>10088</v>
      </c>
    </row>
    <row r="240" spans="1:9" x14ac:dyDescent="0.25">
      <c r="A240" t="s">
        <v>7599</v>
      </c>
      <c r="C240" s="3" t="str">
        <f>HYPERLINK("http://amigo.geneontology.org/amigo/term/GO:0016045","GO:0016045")</f>
        <v>GO:0016045</v>
      </c>
      <c r="D240" t="s">
        <v>10213</v>
      </c>
      <c r="E240">
        <v>3</v>
      </c>
      <c r="F240">
        <v>1</v>
      </c>
      <c r="G240">
        <v>1.8527832654058399E-2</v>
      </c>
      <c r="H240">
        <v>0.35202882042710998</v>
      </c>
      <c r="I240" t="s">
        <v>10088</v>
      </c>
    </row>
    <row r="241" spans="1:9" x14ac:dyDescent="0.25">
      <c r="A241" t="s">
        <v>10214</v>
      </c>
      <c r="C241" s="3" t="str">
        <f>HYPERLINK("http://amigo.geneontology.org/amigo/term/GO:0016629","GO:0016629")</f>
        <v>GO:0016629</v>
      </c>
      <c r="D241" t="s">
        <v>7525</v>
      </c>
      <c r="E241">
        <v>3</v>
      </c>
      <c r="F241">
        <v>1</v>
      </c>
      <c r="G241">
        <v>1.8527832654058399E-2</v>
      </c>
      <c r="H241">
        <v>0.37055665308116797</v>
      </c>
      <c r="I241" t="s">
        <v>7268</v>
      </c>
    </row>
    <row r="242" spans="1:9" x14ac:dyDescent="0.25">
      <c r="A242" t="s">
        <v>7603</v>
      </c>
      <c r="C242" s="3" t="str">
        <f>HYPERLINK("http://amigo.geneontology.org/amigo/term/GO:0048585","GO:0048585")</f>
        <v>GO:0048585</v>
      </c>
      <c r="D242" t="s">
        <v>10215</v>
      </c>
      <c r="E242">
        <v>162</v>
      </c>
      <c r="F242">
        <v>4</v>
      </c>
      <c r="G242">
        <v>1.8889900380235702E-2</v>
      </c>
      <c r="H242">
        <v>0.35890810722447802</v>
      </c>
      <c r="I242" t="s">
        <v>10133</v>
      </c>
    </row>
    <row r="243" spans="1:9" x14ac:dyDescent="0.25">
      <c r="A243" t="s">
        <v>7606</v>
      </c>
      <c r="C243" s="3" t="str">
        <f>HYPERLINK("http://amigo.geneontology.org/amigo/term/GO:0010363","GO:0010363")</f>
        <v>GO:0010363</v>
      </c>
      <c r="D243" t="s">
        <v>9182</v>
      </c>
      <c r="E243">
        <v>92</v>
      </c>
      <c r="F243">
        <v>3</v>
      </c>
      <c r="G243">
        <v>1.99258245621276E-2</v>
      </c>
      <c r="H243">
        <v>0.37859066668042501</v>
      </c>
      <c r="I243" t="s">
        <v>10107</v>
      </c>
    </row>
    <row r="244" spans="1:9" x14ac:dyDescent="0.25">
      <c r="A244" t="s">
        <v>9271</v>
      </c>
      <c r="C244" s="3" t="str">
        <f>HYPERLINK("http://amigo.geneontology.org/amigo/term/GO:0005516","GO:0005516")</f>
        <v>GO:0005516</v>
      </c>
      <c r="D244" t="s">
        <v>645</v>
      </c>
      <c r="E244">
        <v>165</v>
      </c>
      <c r="F244">
        <v>4</v>
      </c>
      <c r="G244">
        <v>2.00531553575744E-2</v>
      </c>
      <c r="H244">
        <v>0.381009951793914</v>
      </c>
      <c r="I244" t="s">
        <v>10216</v>
      </c>
    </row>
    <row r="245" spans="1:9" x14ac:dyDescent="0.25">
      <c r="A245" t="s">
        <v>8399</v>
      </c>
      <c r="C245" s="3" t="str">
        <f>HYPERLINK("http://amigo.geneontology.org/amigo/term/GO:0004857","GO:0004857")</f>
        <v>GO:0004857</v>
      </c>
      <c r="D245" t="s">
        <v>347</v>
      </c>
      <c r="E245">
        <v>860</v>
      </c>
      <c r="F245">
        <v>11</v>
      </c>
      <c r="G245">
        <v>2.0085510711962899E-2</v>
      </c>
      <c r="H245">
        <v>0.381624703527295</v>
      </c>
      <c r="I245" t="s">
        <v>10059</v>
      </c>
    </row>
    <row r="246" spans="1:9" x14ac:dyDescent="0.25">
      <c r="A246" t="s">
        <v>10217</v>
      </c>
      <c r="C246" s="3" t="str">
        <f>HYPERLINK("http://amigo.geneontology.org/amigo/term/GO:0016818","GO:0016818")</f>
        <v>GO:0016818</v>
      </c>
      <c r="D246" t="s">
        <v>10218</v>
      </c>
      <c r="E246">
        <v>2325</v>
      </c>
      <c r="F246">
        <v>23</v>
      </c>
      <c r="G246">
        <v>2.07877936129141E-2</v>
      </c>
      <c r="H246">
        <v>0.39496807864536798</v>
      </c>
      <c r="I246" t="s">
        <v>10194</v>
      </c>
    </row>
    <row r="247" spans="1:9" x14ac:dyDescent="0.25">
      <c r="A247" t="s">
        <v>10219</v>
      </c>
      <c r="C247" s="3" t="str">
        <f>HYPERLINK("http://amigo.geneontology.org/amigo/term/GO:0005509","GO:0005509")</f>
        <v>GO:0005509</v>
      </c>
      <c r="D247" t="s">
        <v>323</v>
      </c>
      <c r="E247">
        <v>1211</v>
      </c>
      <c r="F247">
        <v>14</v>
      </c>
      <c r="G247">
        <v>2.0832657245496398E-2</v>
      </c>
      <c r="H247">
        <v>0.39582048766443301</v>
      </c>
      <c r="I247" t="s">
        <v>10220</v>
      </c>
    </row>
    <row r="248" spans="1:9" x14ac:dyDescent="0.25">
      <c r="A248" t="s">
        <v>7617</v>
      </c>
      <c r="C248" s="3" t="str">
        <f>HYPERLINK("http://amigo.geneontology.org/amigo/term/GO:0080134","GO:0080134")</f>
        <v>GO:0080134</v>
      </c>
      <c r="D248" t="s">
        <v>10221</v>
      </c>
      <c r="E248">
        <v>255</v>
      </c>
      <c r="F248">
        <v>5</v>
      </c>
      <c r="G248">
        <v>2.2229348656821701E-2</v>
      </c>
      <c r="H248">
        <v>0.422357624479612</v>
      </c>
      <c r="I248" t="s">
        <v>10185</v>
      </c>
    </row>
    <row r="249" spans="1:9" x14ac:dyDescent="0.25">
      <c r="A249" t="s">
        <v>10222</v>
      </c>
      <c r="C249" s="3" t="str">
        <f>HYPERLINK("http://amigo.geneontology.org/amigo/term/GO:0001871","GO:0001871")</f>
        <v>GO:0001871</v>
      </c>
      <c r="D249" t="s">
        <v>7099</v>
      </c>
      <c r="E249">
        <v>653</v>
      </c>
      <c r="F249">
        <v>9</v>
      </c>
      <c r="G249">
        <v>2.2234173844713E-2</v>
      </c>
      <c r="H249">
        <v>0.40021512920483399</v>
      </c>
      <c r="I249" t="s">
        <v>10223</v>
      </c>
    </row>
    <row r="250" spans="1:9" x14ac:dyDescent="0.25">
      <c r="A250" t="s">
        <v>7624</v>
      </c>
      <c r="C250" s="3" t="str">
        <f>HYPERLINK("http://amigo.geneontology.org/amigo/term/GO:0030247","GO:0030247")</f>
        <v>GO:0030247</v>
      </c>
      <c r="D250" t="s">
        <v>7102</v>
      </c>
      <c r="E250">
        <v>653</v>
      </c>
      <c r="F250">
        <v>9</v>
      </c>
      <c r="G250">
        <v>2.2234173844713E-2</v>
      </c>
      <c r="H250">
        <v>0.40021512920483399</v>
      </c>
      <c r="I250" t="s">
        <v>10223</v>
      </c>
    </row>
    <row r="251" spans="1:9" x14ac:dyDescent="0.25">
      <c r="A251" t="s">
        <v>10224</v>
      </c>
      <c r="C251" s="3" t="str">
        <f>HYPERLINK("http://amigo.geneontology.org/amigo/term/GO:0016817","GO:0016817")</f>
        <v>GO:0016817</v>
      </c>
      <c r="D251" t="s">
        <v>10225</v>
      </c>
      <c r="E251">
        <v>2347</v>
      </c>
      <c r="F251">
        <v>23</v>
      </c>
      <c r="G251">
        <v>2.28505697222827E-2</v>
      </c>
      <c r="H251">
        <v>0.41131025500108898</v>
      </c>
      <c r="I251" t="s">
        <v>10194</v>
      </c>
    </row>
    <row r="252" spans="1:9" x14ac:dyDescent="0.25">
      <c r="A252" t="s">
        <v>7626</v>
      </c>
      <c r="C252" s="3" t="str">
        <f>HYPERLINK("http://amigo.geneontology.org/amigo/term/GO:0033764","GO:0033764")</f>
        <v>GO:0033764</v>
      </c>
      <c r="D252" t="s">
        <v>10226</v>
      </c>
      <c r="E252">
        <v>38</v>
      </c>
      <c r="F252">
        <v>2</v>
      </c>
      <c r="G252">
        <v>2.3377394983276099E-2</v>
      </c>
      <c r="H252">
        <v>0.42079310969896999</v>
      </c>
      <c r="I252" t="s">
        <v>10227</v>
      </c>
    </row>
    <row r="253" spans="1:9" x14ac:dyDescent="0.25">
      <c r="A253" t="s">
        <v>8412</v>
      </c>
      <c r="C253" s="3" t="str">
        <f>HYPERLINK("http://amigo.geneontology.org/amigo/term/GO:0003854","GO:0003854")</f>
        <v>GO:0003854</v>
      </c>
      <c r="D253" t="s">
        <v>10228</v>
      </c>
      <c r="E253">
        <v>38</v>
      </c>
      <c r="F253">
        <v>2</v>
      </c>
      <c r="G253">
        <v>2.3377394983276099E-2</v>
      </c>
      <c r="H253">
        <v>0.42079310969896999</v>
      </c>
      <c r="I253" t="s">
        <v>10227</v>
      </c>
    </row>
    <row r="254" spans="1:9" x14ac:dyDescent="0.25">
      <c r="A254" t="s">
        <v>10229</v>
      </c>
      <c r="C254" s="3" t="str">
        <f>HYPERLINK("http://amigo.geneontology.org/amigo/term/GO:0032268","GO:0032268")</f>
        <v>GO:0032268</v>
      </c>
      <c r="D254" t="s">
        <v>7306</v>
      </c>
      <c r="E254">
        <v>554</v>
      </c>
      <c r="F254">
        <v>8</v>
      </c>
      <c r="G254">
        <v>2.3733308492438199E-2</v>
      </c>
      <c r="H254">
        <v>0.427199552863888</v>
      </c>
      <c r="I254" t="s">
        <v>10080</v>
      </c>
    </row>
    <row r="255" spans="1:9" x14ac:dyDescent="0.25">
      <c r="A255" t="s">
        <v>10230</v>
      </c>
      <c r="C255" s="3" t="str">
        <f>HYPERLINK("http://amigo.geneontology.org/amigo/term/GO:0016747","GO:0016747")</f>
        <v>GO:0016747</v>
      </c>
      <c r="D255" t="s">
        <v>708</v>
      </c>
      <c r="E255">
        <v>1353</v>
      </c>
      <c r="F255">
        <v>15</v>
      </c>
      <c r="G255">
        <v>2.37973896606508E-2</v>
      </c>
      <c r="H255">
        <v>0.42835301389171498</v>
      </c>
      <c r="I255" t="s">
        <v>10231</v>
      </c>
    </row>
    <row r="256" spans="1:9" x14ac:dyDescent="0.25">
      <c r="A256" t="s">
        <v>7632</v>
      </c>
      <c r="C256" s="3" t="str">
        <f>HYPERLINK("http://amigo.geneontology.org/amigo/term/GO:0022804","GO:0022804")</f>
        <v>GO:0022804</v>
      </c>
      <c r="D256" t="s">
        <v>676</v>
      </c>
      <c r="E256">
        <v>1000</v>
      </c>
      <c r="F256">
        <v>12</v>
      </c>
      <c r="G256">
        <v>2.4148355245989201E-2</v>
      </c>
      <c r="H256">
        <v>0.43467039442780703</v>
      </c>
      <c r="I256" t="s">
        <v>10232</v>
      </c>
    </row>
    <row r="257" spans="1:9" x14ac:dyDescent="0.25">
      <c r="A257" t="s">
        <v>9290</v>
      </c>
      <c r="C257" s="3" t="str">
        <f>HYPERLINK("http://amigo.geneontology.org/amigo/term/GO:0016229","GO:0016229")</f>
        <v>GO:0016229</v>
      </c>
      <c r="D257" t="s">
        <v>10233</v>
      </c>
      <c r="E257">
        <v>41</v>
      </c>
      <c r="F257">
        <v>2</v>
      </c>
      <c r="G257">
        <v>2.6938364825764401E-2</v>
      </c>
      <c r="H257">
        <v>0.48489056686375998</v>
      </c>
      <c r="I257" t="s">
        <v>10227</v>
      </c>
    </row>
    <row r="258" spans="1:9" x14ac:dyDescent="0.25">
      <c r="A258" t="s">
        <v>10234</v>
      </c>
      <c r="C258" s="3" t="str">
        <f>HYPERLINK("http://amigo.geneontology.org/amigo/term/GO:0044283","GO:0044283")</f>
        <v>GO:0044283</v>
      </c>
      <c r="D258" t="s">
        <v>888</v>
      </c>
      <c r="E258">
        <v>1875</v>
      </c>
      <c r="F258">
        <v>19</v>
      </c>
      <c r="G258">
        <v>2.72264245667647E-2</v>
      </c>
      <c r="H258">
        <v>0.49007564220176503</v>
      </c>
      <c r="I258" t="s">
        <v>10235</v>
      </c>
    </row>
    <row r="259" spans="1:9" x14ac:dyDescent="0.25">
      <c r="A259" t="s">
        <v>9292</v>
      </c>
      <c r="C259" s="3" t="str">
        <f>HYPERLINK("http://amigo.geneontology.org/amigo/term/GO:0051246","GO:0051246")</f>
        <v>GO:0051246</v>
      </c>
      <c r="D259" t="s">
        <v>7327</v>
      </c>
      <c r="E259">
        <v>576</v>
      </c>
      <c r="F259">
        <v>8</v>
      </c>
      <c r="G259">
        <v>2.8955037752418901E-2</v>
      </c>
      <c r="H259">
        <v>0.52119067954354104</v>
      </c>
      <c r="I259" t="s">
        <v>10080</v>
      </c>
    </row>
    <row r="260" spans="1:9" x14ac:dyDescent="0.25">
      <c r="A260" t="s">
        <v>8417</v>
      </c>
      <c r="C260" s="3" t="str">
        <f>HYPERLINK("http://amigo.geneontology.org/amigo/term/GO:0052314","GO:0052314")</f>
        <v>GO:0052314</v>
      </c>
      <c r="D260" t="s">
        <v>10236</v>
      </c>
      <c r="E260">
        <v>5</v>
      </c>
      <c r="F260">
        <v>1</v>
      </c>
      <c r="G260">
        <v>3.0689007814051199E-2</v>
      </c>
      <c r="H260">
        <v>0.52171313283887</v>
      </c>
      <c r="I260" t="s">
        <v>6888</v>
      </c>
    </row>
    <row r="261" spans="1:9" x14ac:dyDescent="0.25">
      <c r="A261" t="s">
        <v>9294</v>
      </c>
      <c r="C261" s="3" t="str">
        <f>HYPERLINK("http://amigo.geneontology.org/amigo/term/GO:0046217","GO:0046217")</f>
        <v>GO:0046217</v>
      </c>
      <c r="D261" t="s">
        <v>10237</v>
      </c>
      <c r="E261">
        <v>5</v>
      </c>
      <c r="F261">
        <v>1</v>
      </c>
      <c r="G261">
        <v>3.0689007814051199E-2</v>
      </c>
      <c r="H261">
        <v>0.52171313283887</v>
      </c>
      <c r="I261" t="s">
        <v>6888</v>
      </c>
    </row>
    <row r="262" spans="1:9" x14ac:dyDescent="0.25">
      <c r="A262" t="s">
        <v>9299</v>
      </c>
      <c r="C262" s="3" t="str">
        <f>HYPERLINK("http://amigo.geneontology.org/amigo/term/GO:0052315","GO:0052315")</f>
        <v>GO:0052315</v>
      </c>
      <c r="D262" t="s">
        <v>10238</v>
      </c>
      <c r="E262">
        <v>5</v>
      </c>
      <c r="F262">
        <v>1</v>
      </c>
      <c r="G262">
        <v>3.0689007814051199E-2</v>
      </c>
      <c r="H262">
        <v>0.52171313283887</v>
      </c>
      <c r="I262" t="s">
        <v>6888</v>
      </c>
    </row>
    <row r="263" spans="1:9" x14ac:dyDescent="0.25">
      <c r="A263" t="s">
        <v>10239</v>
      </c>
      <c r="C263" s="3" t="str">
        <f>HYPERLINK("http://amigo.geneontology.org/amigo/term/GO:0009700","GO:0009700")</f>
        <v>GO:0009700</v>
      </c>
      <c r="D263" t="s">
        <v>10240</v>
      </c>
      <c r="E263">
        <v>5</v>
      </c>
      <c r="F263">
        <v>1</v>
      </c>
      <c r="G263">
        <v>3.0689007814051199E-2</v>
      </c>
      <c r="H263">
        <v>0.52171313283887</v>
      </c>
      <c r="I263" t="s">
        <v>6888</v>
      </c>
    </row>
    <row r="264" spans="1:9" x14ac:dyDescent="0.25">
      <c r="A264" t="s">
        <v>7644</v>
      </c>
      <c r="C264" s="3" t="str">
        <f>HYPERLINK("http://amigo.geneontology.org/amigo/term/GO:0070370","GO:0070370")</f>
        <v>GO:0070370</v>
      </c>
      <c r="D264" t="s">
        <v>10241</v>
      </c>
      <c r="E264">
        <v>5</v>
      </c>
      <c r="F264">
        <v>1</v>
      </c>
      <c r="G264">
        <v>3.0689007814051199E-2</v>
      </c>
      <c r="H264">
        <v>0.55240214065292104</v>
      </c>
      <c r="I264" t="s">
        <v>6888</v>
      </c>
    </row>
    <row r="265" spans="1:9" x14ac:dyDescent="0.25">
      <c r="A265" t="s">
        <v>8425</v>
      </c>
      <c r="C265" s="3" t="str">
        <f>HYPERLINK("http://amigo.geneontology.org/amigo/term/GO:0004112","GO:0004112")</f>
        <v>GO:0004112</v>
      </c>
      <c r="D265" t="s">
        <v>10242</v>
      </c>
      <c r="E265">
        <v>5</v>
      </c>
      <c r="F265">
        <v>1</v>
      </c>
      <c r="G265">
        <v>3.0689007814051199E-2</v>
      </c>
      <c r="H265">
        <v>0.55240214065292104</v>
      </c>
      <c r="I265" t="s">
        <v>9507</v>
      </c>
    </row>
    <row r="266" spans="1:9" x14ac:dyDescent="0.25">
      <c r="A266" t="s">
        <v>7649</v>
      </c>
      <c r="C266" s="3" t="str">
        <f>HYPERLINK("http://amigo.geneontology.org/amigo/term/GO:0016861","GO:0016861")</f>
        <v>GO:0016861</v>
      </c>
      <c r="D266" t="s">
        <v>10243</v>
      </c>
      <c r="E266">
        <v>44</v>
      </c>
      <c r="F266">
        <v>2</v>
      </c>
      <c r="G266">
        <v>3.0702490066759201E-2</v>
      </c>
      <c r="H266">
        <v>0.52194233113490696</v>
      </c>
      <c r="I266" t="s">
        <v>7186</v>
      </c>
    </row>
    <row r="267" spans="1:9" x14ac:dyDescent="0.25">
      <c r="A267" t="s">
        <v>7650</v>
      </c>
      <c r="C267" s="3" t="str">
        <f>HYPERLINK("http://amigo.geneontology.org/amigo/term/GO:0014070","GO:0014070")</f>
        <v>GO:0014070</v>
      </c>
      <c r="D267" t="s">
        <v>10244</v>
      </c>
      <c r="E267">
        <v>190</v>
      </c>
      <c r="F267">
        <v>4</v>
      </c>
      <c r="G267">
        <v>3.14569733166426E-2</v>
      </c>
      <c r="H267">
        <v>0.53476854638292504</v>
      </c>
      <c r="I267" t="s">
        <v>10085</v>
      </c>
    </row>
    <row r="268" spans="1:9" x14ac:dyDescent="0.25">
      <c r="A268" t="s">
        <v>7653</v>
      </c>
      <c r="C268" s="3" t="str">
        <f>HYPERLINK("http://amigo.geneontology.org/amigo/term/GO:0016763","GO:0016763")</f>
        <v>GO:0016763</v>
      </c>
      <c r="D268" t="s">
        <v>10245</v>
      </c>
      <c r="E268">
        <v>110</v>
      </c>
      <c r="F268">
        <v>3</v>
      </c>
      <c r="G268">
        <v>3.1580319834045502E-2</v>
      </c>
      <c r="H268">
        <v>0.536865437178774</v>
      </c>
      <c r="I268" t="s">
        <v>8913</v>
      </c>
    </row>
    <row r="269" spans="1:9" x14ac:dyDescent="0.25">
      <c r="A269" t="s">
        <v>10246</v>
      </c>
      <c r="C269" s="3" t="str">
        <f>HYPERLINK("http://amigo.geneontology.org/amigo/term/GO:0050660","GO:0050660")</f>
        <v>GO:0050660</v>
      </c>
      <c r="D269" t="s">
        <v>5709</v>
      </c>
      <c r="E269">
        <v>591</v>
      </c>
      <c r="F269">
        <v>8</v>
      </c>
      <c r="G269">
        <v>3.29390424426158E-2</v>
      </c>
      <c r="H269">
        <v>0.55996372152446805</v>
      </c>
      <c r="I269" t="s">
        <v>10247</v>
      </c>
    </row>
    <row r="270" spans="1:9" x14ac:dyDescent="0.25">
      <c r="A270" t="s">
        <v>10248</v>
      </c>
      <c r="C270" s="3" t="str">
        <f>HYPERLINK("http://amigo.geneontology.org/amigo/term/GO:0043067","GO:0043067")</f>
        <v>GO:0043067</v>
      </c>
      <c r="D270" t="s">
        <v>5726</v>
      </c>
      <c r="E270">
        <v>112</v>
      </c>
      <c r="F270">
        <v>3</v>
      </c>
      <c r="G270">
        <v>3.3053151344242901E-2</v>
      </c>
      <c r="H270">
        <v>0.56190357285213</v>
      </c>
      <c r="I270" t="s">
        <v>10107</v>
      </c>
    </row>
    <row r="271" spans="1:9" x14ac:dyDescent="0.25">
      <c r="A271" t="s">
        <v>10249</v>
      </c>
      <c r="C271" s="3" t="str">
        <f>HYPERLINK("http://amigo.geneontology.org/amigo/term/GO:0015294","GO:0015294")</f>
        <v>GO:0015294</v>
      </c>
      <c r="D271" t="s">
        <v>9811</v>
      </c>
      <c r="E271">
        <v>48</v>
      </c>
      <c r="F271">
        <v>2</v>
      </c>
      <c r="G271">
        <v>3.60223130611474E-2</v>
      </c>
      <c r="H271">
        <v>0.61237932203950596</v>
      </c>
      <c r="I271" t="s">
        <v>7139</v>
      </c>
    </row>
    <row r="272" spans="1:9" x14ac:dyDescent="0.25">
      <c r="A272" t="s">
        <v>8430</v>
      </c>
      <c r="C272" s="3" t="str">
        <f>HYPERLINK("http://amigo.geneontology.org/amigo/term/GO:0023014","GO:0023014")</f>
        <v>GO:0023014</v>
      </c>
      <c r="D272" t="s">
        <v>10250</v>
      </c>
      <c r="E272">
        <v>116</v>
      </c>
      <c r="F272">
        <v>3</v>
      </c>
      <c r="G272">
        <v>3.6104324508345401E-2</v>
      </c>
      <c r="H272">
        <v>0.61377351664187196</v>
      </c>
      <c r="I272" t="s">
        <v>10107</v>
      </c>
    </row>
    <row r="273" spans="1:9" x14ac:dyDescent="0.25">
      <c r="A273" t="s">
        <v>10251</v>
      </c>
      <c r="C273" s="3" t="str">
        <f>HYPERLINK("http://amigo.geneontology.org/amigo/term/GO:0042430","GO:0042430")</f>
        <v>GO:0042430</v>
      </c>
      <c r="D273" t="s">
        <v>6167</v>
      </c>
      <c r="E273">
        <v>116</v>
      </c>
      <c r="F273">
        <v>3</v>
      </c>
      <c r="G273">
        <v>3.6104324508345401E-2</v>
      </c>
      <c r="H273">
        <v>0.61377351664187196</v>
      </c>
      <c r="I273" t="s">
        <v>10252</v>
      </c>
    </row>
    <row r="274" spans="1:9" x14ac:dyDescent="0.25">
      <c r="A274" t="s">
        <v>9305</v>
      </c>
      <c r="C274" s="3" t="str">
        <f>HYPERLINK("http://amigo.geneontology.org/amigo/term/GO:0140101","GO:0140101")</f>
        <v>GO:0140101</v>
      </c>
      <c r="D274" t="s">
        <v>10253</v>
      </c>
      <c r="E274">
        <v>390</v>
      </c>
      <c r="F274">
        <v>6</v>
      </c>
      <c r="G274">
        <v>3.6216853349735997E-2</v>
      </c>
      <c r="H274">
        <v>0.61568650694551197</v>
      </c>
      <c r="I274" t="s">
        <v>10149</v>
      </c>
    </row>
    <row r="275" spans="1:9" x14ac:dyDescent="0.25">
      <c r="A275" t="s">
        <v>10254</v>
      </c>
      <c r="C275" s="3" t="str">
        <f>HYPERLINK("http://amigo.geneontology.org/amigo/term/GO:0080135","GO:0080135")</f>
        <v>GO:0080135</v>
      </c>
      <c r="D275" t="s">
        <v>10255</v>
      </c>
      <c r="E275">
        <v>117</v>
      </c>
      <c r="F275">
        <v>3</v>
      </c>
      <c r="G275">
        <v>3.6888991065406398E-2</v>
      </c>
      <c r="H275">
        <v>0.62711284811190904</v>
      </c>
      <c r="I275" t="s">
        <v>10107</v>
      </c>
    </row>
    <row r="276" spans="1:9" x14ac:dyDescent="0.25">
      <c r="A276" t="s">
        <v>7658</v>
      </c>
      <c r="C276" s="3" t="str">
        <f>HYPERLINK("http://amigo.geneontology.org/amigo/term/GO:0015711","GO:0015711")</f>
        <v>GO:0015711</v>
      </c>
      <c r="D276" t="s">
        <v>7210</v>
      </c>
      <c r="E276">
        <v>295</v>
      </c>
      <c r="F276">
        <v>5</v>
      </c>
      <c r="G276">
        <v>3.80411237893881E-2</v>
      </c>
      <c r="H276">
        <v>0.64669910441959799</v>
      </c>
      <c r="I276" t="s">
        <v>10256</v>
      </c>
    </row>
    <row r="277" spans="1:9" x14ac:dyDescent="0.25">
      <c r="A277" t="s">
        <v>7659</v>
      </c>
      <c r="C277" s="3" t="str">
        <f>HYPERLINK("http://amigo.geneontology.org/amigo/term/GO:0046677","GO:0046677")</f>
        <v>GO:0046677</v>
      </c>
      <c r="D277" t="s">
        <v>10257</v>
      </c>
      <c r="E277">
        <v>202</v>
      </c>
      <c r="F277">
        <v>4</v>
      </c>
      <c r="G277">
        <v>3.8041254441118798E-2</v>
      </c>
      <c r="H277">
        <v>0.60866007105790099</v>
      </c>
      <c r="I277" t="s">
        <v>10085</v>
      </c>
    </row>
    <row r="278" spans="1:9" x14ac:dyDescent="0.25">
      <c r="A278" t="s">
        <v>7662</v>
      </c>
      <c r="C278" s="3" t="str">
        <f>HYPERLINK("http://amigo.geneontology.org/amigo/term/GO:0050832","GO:0050832")</f>
        <v>GO:0050832</v>
      </c>
      <c r="D278" t="s">
        <v>6776</v>
      </c>
      <c r="E278">
        <v>202</v>
      </c>
      <c r="F278">
        <v>4</v>
      </c>
      <c r="G278">
        <v>3.8041254441118798E-2</v>
      </c>
      <c r="H278">
        <v>0.60866007105790099</v>
      </c>
      <c r="I278" t="s">
        <v>10130</v>
      </c>
    </row>
    <row r="279" spans="1:9" x14ac:dyDescent="0.25">
      <c r="A279" t="s">
        <v>7663</v>
      </c>
      <c r="C279" s="3" t="str">
        <f>HYPERLINK("http://amigo.geneontology.org/amigo/term/GO:0044267","GO:0044267")</f>
        <v>GO:0044267</v>
      </c>
      <c r="D279" t="s">
        <v>7194</v>
      </c>
      <c r="E279">
        <v>10316</v>
      </c>
      <c r="F279">
        <v>78</v>
      </c>
      <c r="G279">
        <v>3.8364478419883503E-2</v>
      </c>
      <c r="H279">
        <v>0.61383165471813705</v>
      </c>
      <c r="I279" t="s">
        <v>10258</v>
      </c>
    </row>
    <row r="280" spans="1:9" x14ac:dyDescent="0.25">
      <c r="A280" t="s">
        <v>8433</v>
      </c>
      <c r="C280" s="3" t="str">
        <f>HYPERLINK("http://amigo.geneontology.org/amigo/term/GO:0045491","GO:0045491")</f>
        <v>GO:0045491</v>
      </c>
      <c r="D280" t="s">
        <v>4259</v>
      </c>
      <c r="E280">
        <v>120</v>
      </c>
      <c r="F280">
        <v>3</v>
      </c>
      <c r="G280">
        <v>3.9295156953128199E-2</v>
      </c>
      <c r="H280">
        <v>0.62872251125005196</v>
      </c>
      <c r="I280" t="s">
        <v>10070</v>
      </c>
    </row>
    <row r="281" spans="1:9" x14ac:dyDescent="0.25">
      <c r="A281" t="s">
        <v>7665</v>
      </c>
      <c r="C281" s="3" t="str">
        <f>HYPERLINK("http://amigo.geneontology.org/amigo/term/GO:0031323","GO:0031323")</f>
        <v>GO:0031323</v>
      </c>
      <c r="D281" t="s">
        <v>6845</v>
      </c>
      <c r="E281">
        <v>5403</v>
      </c>
      <c r="F281">
        <v>44</v>
      </c>
      <c r="G281">
        <v>4.1478276912672501E-2</v>
      </c>
      <c r="H281">
        <v>0.66365243060276102</v>
      </c>
      <c r="I281" t="s">
        <v>10259</v>
      </c>
    </row>
    <row r="282" spans="1:9" x14ac:dyDescent="0.25">
      <c r="A282" t="s">
        <v>10260</v>
      </c>
      <c r="C282" s="3" t="str">
        <f>HYPERLINK("http://amigo.geneontology.org/amigo/term/GO:0015669","GO:0015669")</f>
        <v>GO:0015669</v>
      </c>
      <c r="D282" t="s">
        <v>7274</v>
      </c>
      <c r="E282">
        <v>7</v>
      </c>
      <c r="F282">
        <v>1</v>
      </c>
      <c r="G282">
        <v>4.2699807597528297E-2</v>
      </c>
      <c r="H282">
        <v>0.68319692156045198</v>
      </c>
      <c r="I282" t="s">
        <v>7749</v>
      </c>
    </row>
    <row r="283" spans="1:9" x14ac:dyDescent="0.25">
      <c r="A283" t="s">
        <v>10261</v>
      </c>
      <c r="C283" s="3" t="str">
        <f>HYPERLINK("http://amigo.geneontology.org/amigo/term/GO:0015671","GO:0015671")</f>
        <v>GO:0015671</v>
      </c>
      <c r="D283" t="s">
        <v>7277</v>
      </c>
      <c r="E283">
        <v>7</v>
      </c>
      <c r="F283">
        <v>1</v>
      </c>
      <c r="G283">
        <v>4.2699807597528297E-2</v>
      </c>
      <c r="H283">
        <v>0.68319692156045198</v>
      </c>
      <c r="I283" t="s">
        <v>7749</v>
      </c>
    </row>
    <row r="284" spans="1:9" x14ac:dyDescent="0.25">
      <c r="A284" t="s">
        <v>7668</v>
      </c>
      <c r="C284" s="3" t="str">
        <f>HYPERLINK("http://amigo.geneontology.org/amigo/term/GO:0006986","GO:0006986")</f>
        <v>GO:0006986</v>
      </c>
      <c r="D284" t="s">
        <v>1325</v>
      </c>
      <c r="E284">
        <v>53</v>
      </c>
      <c r="F284">
        <v>2</v>
      </c>
      <c r="G284">
        <v>4.3127881277270498E-2</v>
      </c>
      <c r="H284">
        <v>0.69004610043632897</v>
      </c>
      <c r="I284" t="s">
        <v>10262</v>
      </c>
    </row>
    <row r="285" spans="1:9" x14ac:dyDescent="0.25">
      <c r="A285" t="s">
        <v>7670</v>
      </c>
      <c r="C285" s="3" t="str">
        <f>HYPERLINK("http://amigo.geneontology.org/amigo/term/GO:0035967","GO:0035967")</f>
        <v>GO:0035967</v>
      </c>
      <c r="D285" t="s">
        <v>1328</v>
      </c>
      <c r="E285">
        <v>53</v>
      </c>
      <c r="F285">
        <v>2</v>
      </c>
      <c r="G285">
        <v>4.3127881277270498E-2</v>
      </c>
      <c r="H285">
        <v>0.69004610043632897</v>
      </c>
      <c r="I285" t="s">
        <v>10262</v>
      </c>
    </row>
    <row r="286" spans="1:9" x14ac:dyDescent="0.25">
      <c r="A286" t="s">
        <v>9320</v>
      </c>
      <c r="C286" s="3" t="str">
        <f>HYPERLINK("http://amigo.geneontology.org/amigo/term/GO:0034620","GO:0034620")</f>
        <v>GO:0034620</v>
      </c>
      <c r="D286" t="s">
        <v>1330</v>
      </c>
      <c r="E286">
        <v>53</v>
      </c>
      <c r="F286">
        <v>2</v>
      </c>
      <c r="G286">
        <v>4.3127881277270498E-2</v>
      </c>
      <c r="H286">
        <v>0.69004610043632897</v>
      </c>
      <c r="I286" t="s">
        <v>10262</v>
      </c>
    </row>
    <row r="287" spans="1:9" x14ac:dyDescent="0.25">
      <c r="A287" t="s">
        <v>7677</v>
      </c>
      <c r="C287" s="3" t="str">
        <f>HYPERLINK("http://amigo.geneontology.org/amigo/term/GO:0030968","GO:0030968")</f>
        <v>GO:0030968</v>
      </c>
      <c r="D287" t="s">
        <v>1332</v>
      </c>
      <c r="E287">
        <v>53</v>
      </c>
      <c r="F287">
        <v>2</v>
      </c>
      <c r="G287">
        <v>4.3127881277270498E-2</v>
      </c>
      <c r="H287">
        <v>0.69004610043632897</v>
      </c>
      <c r="I287" t="s">
        <v>10262</v>
      </c>
    </row>
    <row r="288" spans="1:9" x14ac:dyDescent="0.25">
      <c r="A288" t="s">
        <v>9325</v>
      </c>
      <c r="C288" s="3" t="str">
        <f>HYPERLINK("http://amigo.geneontology.org/amigo/term/GO:0046134","GO:0046134")</f>
        <v>GO:0046134</v>
      </c>
      <c r="D288" t="s">
        <v>8844</v>
      </c>
      <c r="E288">
        <v>53</v>
      </c>
      <c r="F288">
        <v>2</v>
      </c>
      <c r="G288">
        <v>4.3127881277270498E-2</v>
      </c>
      <c r="H288">
        <v>0.69004610043632897</v>
      </c>
      <c r="I288" t="s">
        <v>7223</v>
      </c>
    </row>
    <row r="289" spans="1:9" x14ac:dyDescent="0.25">
      <c r="A289" t="s">
        <v>7683</v>
      </c>
      <c r="C289" s="3" t="str">
        <f>HYPERLINK("http://amigo.geneontology.org/amigo/term/GO:0046132","GO:0046132")</f>
        <v>GO:0046132</v>
      </c>
      <c r="D289" t="s">
        <v>8845</v>
      </c>
      <c r="E289">
        <v>53</v>
      </c>
      <c r="F289">
        <v>2</v>
      </c>
      <c r="G289">
        <v>4.3127881277270498E-2</v>
      </c>
      <c r="H289">
        <v>0.69004610043632897</v>
      </c>
      <c r="I289" t="s">
        <v>7223</v>
      </c>
    </row>
    <row r="290" spans="1:9" x14ac:dyDescent="0.25">
      <c r="A290" t="s">
        <v>7685</v>
      </c>
      <c r="C290" s="3" t="str">
        <f>HYPERLINK("http://amigo.geneontology.org/amigo/term/GO:0048519","GO:0048519")</f>
        <v>GO:0048519</v>
      </c>
      <c r="D290" t="s">
        <v>9038</v>
      </c>
      <c r="E290">
        <v>1095</v>
      </c>
      <c r="F290">
        <v>12</v>
      </c>
      <c r="G290">
        <v>4.3295900051432502E-2</v>
      </c>
      <c r="H290">
        <v>0.69273440082292104</v>
      </c>
      <c r="I290" t="s">
        <v>10263</v>
      </c>
    </row>
    <row r="291" spans="1:9" x14ac:dyDescent="0.25">
      <c r="A291" t="s">
        <v>9693</v>
      </c>
      <c r="C291" s="3" t="str">
        <f>HYPERLINK("http://amigo.geneontology.org/amigo/term/GO:0015144","GO:0015144")</f>
        <v>GO:0015144</v>
      </c>
      <c r="D291" t="s">
        <v>9823</v>
      </c>
      <c r="E291">
        <v>54</v>
      </c>
      <c r="F291">
        <v>2</v>
      </c>
      <c r="G291">
        <v>4.4606759820194797E-2</v>
      </c>
      <c r="H291">
        <v>0.71370815712311697</v>
      </c>
      <c r="I291" t="s">
        <v>7139</v>
      </c>
    </row>
    <row r="292" spans="1:9" x14ac:dyDescent="0.25">
      <c r="A292" t="s">
        <v>7688</v>
      </c>
      <c r="C292" s="3" t="str">
        <f>HYPERLINK("http://amigo.geneontology.org/amigo/term/GO:0000272","GO:0000272")</f>
        <v>GO:0000272</v>
      </c>
      <c r="D292" t="s">
        <v>290</v>
      </c>
      <c r="E292">
        <v>127</v>
      </c>
      <c r="F292">
        <v>3</v>
      </c>
      <c r="G292">
        <v>4.52108270688776E-2</v>
      </c>
      <c r="H292">
        <v>0.72337323310204205</v>
      </c>
      <c r="I292" t="s">
        <v>10070</v>
      </c>
    </row>
    <row r="293" spans="1:9" x14ac:dyDescent="0.25">
      <c r="A293" t="s">
        <v>10264</v>
      </c>
      <c r="C293" s="3" t="str">
        <f>HYPERLINK("http://amigo.geneontology.org/amigo/term/GO:0006213","GO:0006213")</f>
        <v>GO:0006213</v>
      </c>
      <c r="D293" t="s">
        <v>5745</v>
      </c>
      <c r="E293">
        <v>56</v>
      </c>
      <c r="F293">
        <v>2</v>
      </c>
      <c r="G293">
        <v>4.7619946573411898E-2</v>
      </c>
      <c r="H293">
        <v>0.71429919860117896</v>
      </c>
      <c r="I293" t="s">
        <v>7223</v>
      </c>
    </row>
    <row r="294" spans="1:9" x14ac:dyDescent="0.25">
      <c r="A294" t="s">
        <v>7689</v>
      </c>
      <c r="C294" s="3" t="str">
        <f>HYPERLINK("http://amigo.geneontology.org/amigo/term/GO:0046131","GO:0046131")</f>
        <v>GO:0046131</v>
      </c>
      <c r="D294" t="s">
        <v>5746</v>
      </c>
      <c r="E294">
        <v>56</v>
      </c>
      <c r="F294">
        <v>2</v>
      </c>
      <c r="G294">
        <v>4.7619946573411898E-2</v>
      </c>
      <c r="H294">
        <v>0.76191914517459103</v>
      </c>
      <c r="I294" t="s">
        <v>7223</v>
      </c>
    </row>
    <row r="295" spans="1:9" x14ac:dyDescent="0.25">
      <c r="A295" t="s">
        <v>8447</v>
      </c>
      <c r="C295" s="3" t="str">
        <f>HYPERLINK("http://amigo.geneontology.org/amigo/term/GO:0042623","GO:0042623")</f>
        <v>GO:0042623</v>
      </c>
      <c r="D295" t="s">
        <v>10265</v>
      </c>
      <c r="E295">
        <v>755</v>
      </c>
      <c r="F295">
        <v>9</v>
      </c>
      <c r="G295">
        <v>4.8406755969028999E-2</v>
      </c>
      <c r="H295">
        <v>0.72610133953543499</v>
      </c>
      <c r="I295" t="s">
        <v>10122</v>
      </c>
    </row>
    <row r="296" spans="1:9" x14ac:dyDescent="0.25">
      <c r="A296" t="s">
        <v>7698</v>
      </c>
      <c r="C296" s="3" t="str">
        <f>HYPERLINK("http://amigo.geneontology.org/amigo/term/GO:0009696","GO:0009696")</f>
        <v>GO:0009696</v>
      </c>
      <c r="D296" t="s">
        <v>1088</v>
      </c>
      <c r="E296">
        <v>57</v>
      </c>
      <c r="F296">
        <v>2</v>
      </c>
      <c r="G296">
        <v>4.9153683880920597E-2</v>
      </c>
      <c r="H296">
        <v>0.73730525821380899</v>
      </c>
      <c r="I296" t="s">
        <v>10266</v>
      </c>
    </row>
    <row r="297" spans="1:9" x14ac:dyDescent="0.25">
      <c r="A297" t="s">
        <v>7701</v>
      </c>
      <c r="C297" s="3" t="str">
        <f>HYPERLINK("http://amigo.geneontology.org/amigo/term/GO:0009697","GO:0009697")</f>
        <v>GO:0009697</v>
      </c>
      <c r="D297" t="s">
        <v>1091</v>
      </c>
      <c r="E297">
        <v>57</v>
      </c>
      <c r="F297">
        <v>2</v>
      </c>
      <c r="G297">
        <v>4.9153683880920597E-2</v>
      </c>
      <c r="H297">
        <v>0.73730525821380899</v>
      </c>
      <c r="I297" t="s">
        <v>10266</v>
      </c>
    </row>
    <row r="298" spans="1:9" x14ac:dyDescent="0.25">
      <c r="A298" t="s">
        <v>7706</v>
      </c>
    </row>
    <row r="299" spans="1:9" x14ac:dyDescent="0.25">
      <c r="A299" t="s">
        <v>7708</v>
      </c>
    </row>
    <row r="300" spans="1:9" x14ac:dyDescent="0.25">
      <c r="A300" t="s">
        <v>9332</v>
      </c>
    </row>
    <row r="301" spans="1:9" x14ac:dyDescent="0.25">
      <c r="A301" t="s">
        <v>10267</v>
      </c>
    </row>
    <row r="302" spans="1:9" x14ac:dyDescent="0.25">
      <c r="A302" t="s">
        <v>10268</v>
      </c>
    </row>
    <row r="303" spans="1:9" x14ac:dyDescent="0.25">
      <c r="A303" t="s">
        <v>7714</v>
      </c>
    </row>
    <row r="304" spans="1:9" x14ac:dyDescent="0.25">
      <c r="A304" t="s">
        <v>8454</v>
      </c>
    </row>
    <row r="305" spans="1:1" x14ac:dyDescent="0.25">
      <c r="A305" t="s">
        <v>7717</v>
      </c>
    </row>
    <row r="306" spans="1:1" x14ac:dyDescent="0.25">
      <c r="A306" t="s">
        <v>7718</v>
      </c>
    </row>
    <row r="307" spans="1:1" x14ac:dyDescent="0.25">
      <c r="A307" t="s">
        <v>9340</v>
      </c>
    </row>
    <row r="308" spans="1:1" x14ac:dyDescent="0.25">
      <c r="A308" t="s">
        <v>7719</v>
      </c>
    </row>
    <row r="309" spans="1:1" x14ac:dyDescent="0.25">
      <c r="A309" t="s">
        <v>7721</v>
      </c>
    </row>
    <row r="310" spans="1:1" x14ac:dyDescent="0.25">
      <c r="A310" t="s">
        <v>10269</v>
      </c>
    </row>
    <row r="311" spans="1:1" x14ac:dyDescent="0.25">
      <c r="A311" t="s">
        <v>9342</v>
      </c>
    </row>
    <row r="312" spans="1:1" x14ac:dyDescent="0.25">
      <c r="A312" t="s">
        <v>7723</v>
      </c>
    </row>
    <row r="313" spans="1:1" x14ac:dyDescent="0.25">
      <c r="A313" t="s">
        <v>9859</v>
      </c>
    </row>
    <row r="314" spans="1:1" x14ac:dyDescent="0.25">
      <c r="A314" t="s">
        <v>10270</v>
      </c>
    </row>
    <row r="315" spans="1:1" x14ac:dyDescent="0.25">
      <c r="A315" t="s">
        <v>7724</v>
      </c>
    </row>
    <row r="316" spans="1:1" x14ac:dyDescent="0.25">
      <c r="A316" t="s">
        <v>9860</v>
      </c>
    </row>
    <row r="317" spans="1:1" x14ac:dyDescent="0.25">
      <c r="A317" t="s">
        <v>9343</v>
      </c>
    </row>
    <row r="318" spans="1:1" x14ac:dyDescent="0.25">
      <c r="A318" t="s">
        <v>10271</v>
      </c>
    </row>
    <row r="319" spans="1:1" x14ac:dyDescent="0.25">
      <c r="A319" t="s">
        <v>7730</v>
      </c>
    </row>
    <row r="320" spans="1:1" x14ac:dyDescent="0.25">
      <c r="A320" t="s">
        <v>7732</v>
      </c>
    </row>
    <row r="321" spans="1:1" x14ac:dyDescent="0.25">
      <c r="A321" t="s">
        <v>7735</v>
      </c>
    </row>
    <row r="322" spans="1:1" x14ac:dyDescent="0.25">
      <c r="A322" t="s">
        <v>7736</v>
      </c>
    </row>
    <row r="323" spans="1:1" x14ac:dyDescent="0.25">
      <c r="A323" t="s">
        <v>9348</v>
      </c>
    </row>
    <row r="324" spans="1:1" x14ac:dyDescent="0.25">
      <c r="A324" t="s">
        <v>10272</v>
      </c>
    </row>
    <row r="325" spans="1:1" x14ac:dyDescent="0.25">
      <c r="A325" t="s">
        <v>10273</v>
      </c>
    </row>
    <row r="326" spans="1:1" x14ac:dyDescent="0.25">
      <c r="A326" t="s">
        <v>8466</v>
      </c>
    </row>
    <row r="327" spans="1:1" x14ac:dyDescent="0.25">
      <c r="A327" t="s">
        <v>10274</v>
      </c>
    </row>
    <row r="328" spans="1:1" x14ac:dyDescent="0.25">
      <c r="A328" t="s">
        <v>7741</v>
      </c>
    </row>
    <row r="329" spans="1:1" x14ac:dyDescent="0.25">
      <c r="A329" t="s">
        <v>10275</v>
      </c>
    </row>
    <row r="330" spans="1:1" x14ac:dyDescent="0.25">
      <c r="A330" t="s">
        <v>7746</v>
      </c>
    </row>
    <row r="331" spans="1:1" x14ac:dyDescent="0.25">
      <c r="A331" t="s">
        <v>10276</v>
      </c>
    </row>
    <row r="332" spans="1:1" x14ac:dyDescent="0.25">
      <c r="A332" t="s">
        <v>7748</v>
      </c>
    </row>
    <row r="333" spans="1:1" x14ac:dyDescent="0.25">
      <c r="A333" t="s">
        <v>7749</v>
      </c>
    </row>
    <row r="334" spans="1:1" x14ac:dyDescent="0.25">
      <c r="A334" t="s">
        <v>7751</v>
      </c>
    </row>
    <row r="335" spans="1:1" x14ac:dyDescent="0.25">
      <c r="A335" t="s">
        <v>9360</v>
      </c>
    </row>
    <row r="336" spans="1:1" x14ac:dyDescent="0.25">
      <c r="A336" t="s">
        <v>7753</v>
      </c>
    </row>
    <row r="337" spans="1:1" x14ac:dyDescent="0.25">
      <c r="A337" t="s">
        <v>10277</v>
      </c>
    </row>
    <row r="338" spans="1:1" x14ac:dyDescent="0.25">
      <c r="A338" t="s">
        <v>10278</v>
      </c>
    </row>
    <row r="339" spans="1:1" x14ac:dyDescent="0.25">
      <c r="A339" t="s">
        <v>7755</v>
      </c>
    </row>
    <row r="340" spans="1:1" x14ac:dyDescent="0.25">
      <c r="A340" t="s">
        <v>7757</v>
      </c>
    </row>
    <row r="341" spans="1:1" x14ac:dyDescent="0.25">
      <c r="A341" t="s">
        <v>10279</v>
      </c>
    </row>
    <row r="342" spans="1:1" x14ac:dyDescent="0.25">
      <c r="A342" t="s">
        <v>7765</v>
      </c>
    </row>
    <row r="343" spans="1:1" x14ac:dyDescent="0.25">
      <c r="A343" t="s">
        <v>10280</v>
      </c>
    </row>
    <row r="344" spans="1:1" x14ac:dyDescent="0.25">
      <c r="A344" t="s">
        <v>7767</v>
      </c>
    </row>
    <row r="345" spans="1:1" x14ac:dyDescent="0.25">
      <c r="A345" t="s">
        <v>9365</v>
      </c>
    </row>
    <row r="346" spans="1:1" x14ac:dyDescent="0.25">
      <c r="A346" t="s">
        <v>7768</v>
      </c>
    </row>
    <row r="347" spans="1:1" x14ac:dyDescent="0.25">
      <c r="A347" t="s">
        <v>10281</v>
      </c>
    </row>
    <row r="348" spans="1:1" x14ac:dyDescent="0.25">
      <c r="A348" t="s">
        <v>7772</v>
      </c>
    </row>
    <row r="349" spans="1:1" x14ac:dyDescent="0.25">
      <c r="A349" t="s">
        <v>9366</v>
      </c>
    </row>
    <row r="350" spans="1:1" x14ac:dyDescent="0.25">
      <c r="A350" t="s">
        <v>9862</v>
      </c>
    </row>
    <row r="351" spans="1:1" x14ac:dyDescent="0.25">
      <c r="A351" t="s">
        <v>10282</v>
      </c>
    </row>
    <row r="352" spans="1:1" x14ac:dyDescent="0.25">
      <c r="A352" t="s">
        <v>9367</v>
      </c>
    </row>
    <row r="353" spans="1:1" x14ac:dyDescent="0.25">
      <c r="A353" t="s">
        <v>7775</v>
      </c>
    </row>
    <row r="354" spans="1:1" x14ac:dyDescent="0.25">
      <c r="A354" t="s">
        <v>9369</v>
      </c>
    </row>
    <row r="355" spans="1:1" x14ac:dyDescent="0.25">
      <c r="A355" t="s">
        <v>10283</v>
      </c>
    </row>
    <row r="356" spans="1:1" x14ac:dyDescent="0.25">
      <c r="A356" t="s">
        <v>7778</v>
      </c>
    </row>
    <row r="357" spans="1:1" x14ac:dyDescent="0.25">
      <c r="A357" t="s">
        <v>10284</v>
      </c>
    </row>
    <row r="358" spans="1:1" x14ac:dyDescent="0.25">
      <c r="A358" t="s">
        <v>7780</v>
      </c>
    </row>
    <row r="359" spans="1:1" x14ac:dyDescent="0.25">
      <c r="A359" t="s">
        <v>10285</v>
      </c>
    </row>
    <row r="360" spans="1:1" x14ac:dyDescent="0.25">
      <c r="A360" t="s">
        <v>9371</v>
      </c>
    </row>
    <row r="361" spans="1:1" x14ac:dyDescent="0.25">
      <c r="A361" t="s">
        <v>7781</v>
      </c>
    </row>
    <row r="362" spans="1:1" x14ac:dyDescent="0.25">
      <c r="A362" t="s">
        <v>10286</v>
      </c>
    </row>
    <row r="363" spans="1:1" x14ac:dyDescent="0.25">
      <c r="A363" t="s">
        <v>9863</v>
      </c>
    </row>
    <row r="364" spans="1:1" x14ac:dyDescent="0.25">
      <c r="A364" t="s">
        <v>10287</v>
      </c>
    </row>
    <row r="365" spans="1:1" x14ac:dyDescent="0.25">
      <c r="A365" t="s">
        <v>9373</v>
      </c>
    </row>
    <row r="366" spans="1:1" x14ac:dyDescent="0.25">
      <c r="A366" t="s">
        <v>10288</v>
      </c>
    </row>
    <row r="367" spans="1:1" x14ac:dyDescent="0.25">
      <c r="A367" t="s">
        <v>10289</v>
      </c>
    </row>
    <row r="368" spans="1:1" x14ac:dyDescent="0.25">
      <c r="A368" t="s">
        <v>10290</v>
      </c>
    </row>
    <row r="369" spans="1:1" x14ac:dyDescent="0.25">
      <c r="A369" t="s">
        <v>10291</v>
      </c>
    </row>
    <row r="370" spans="1:1" x14ac:dyDescent="0.25">
      <c r="A370" t="s">
        <v>8491</v>
      </c>
    </row>
    <row r="371" spans="1:1" x14ac:dyDescent="0.25">
      <c r="A371" t="s">
        <v>10292</v>
      </c>
    </row>
    <row r="372" spans="1:1" x14ac:dyDescent="0.25">
      <c r="A372" t="s">
        <v>10293</v>
      </c>
    </row>
    <row r="373" spans="1:1" x14ac:dyDescent="0.25">
      <c r="A373" t="s">
        <v>10294</v>
      </c>
    </row>
    <row r="374" spans="1:1" x14ac:dyDescent="0.25">
      <c r="A374" t="s">
        <v>8493</v>
      </c>
    </row>
    <row r="375" spans="1:1" x14ac:dyDescent="0.25">
      <c r="A375" t="s">
        <v>7797</v>
      </c>
    </row>
    <row r="376" spans="1:1" x14ac:dyDescent="0.25">
      <c r="A376" t="s">
        <v>9380</v>
      </c>
    </row>
    <row r="377" spans="1:1" x14ac:dyDescent="0.25">
      <c r="A377" t="s">
        <v>7801</v>
      </c>
    </row>
    <row r="378" spans="1:1" x14ac:dyDescent="0.25">
      <c r="A378" t="s">
        <v>7806</v>
      </c>
    </row>
    <row r="379" spans="1:1" x14ac:dyDescent="0.25">
      <c r="A379" t="s">
        <v>10295</v>
      </c>
    </row>
    <row r="380" spans="1:1" x14ac:dyDescent="0.25">
      <c r="A380" t="s">
        <v>10296</v>
      </c>
    </row>
    <row r="381" spans="1:1" x14ac:dyDescent="0.25">
      <c r="A381" t="s">
        <v>7812</v>
      </c>
    </row>
    <row r="382" spans="1:1" x14ac:dyDescent="0.25">
      <c r="A382" t="s">
        <v>10297</v>
      </c>
    </row>
    <row r="383" spans="1:1" x14ac:dyDescent="0.25">
      <c r="A383" t="s">
        <v>10298</v>
      </c>
    </row>
    <row r="384" spans="1:1" x14ac:dyDescent="0.25">
      <c r="A384" t="s">
        <v>7815</v>
      </c>
    </row>
    <row r="385" spans="1:1" x14ac:dyDescent="0.25">
      <c r="A385" t="s">
        <v>10299</v>
      </c>
    </row>
    <row r="386" spans="1:1" x14ac:dyDescent="0.25">
      <c r="A386" t="s">
        <v>10300</v>
      </c>
    </row>
    <row r="387" spans="1:1" x14ac:dyDescent="0.25">
      <c r="A387" t="s">
        <v>7818</v>
      </c>
    </row>
    <row r="388" spans="1:1" x14ac:dyDescent="0.25">
      <c r="A388" t="s">
        <v>8512</v>
      </c>
    </row>
    <row r="389" spans="1:1" x14ac:dyDescent="0.25">
      <c r="A389" t="s">
        <v>10301</v>
      </c>
    </row>
    <row r="390" spans="1:1" x14ac:dyDescent="0.25">
      <c r="A390" t="s">
        <v>10302</v>
      </c>
    </row>
    <row r="391" spans="1:1" x14ac:dyDescent="0.25">
      <c r="A391" t="s">
        <v>7824</v>
      </c>
    </row>
    <row r="392" spans="1:1" x14ac:dyDescent="0.25">
      <c r="A392" t="s">
        <v>9393</v>
      </c>
    </row>
    <row r="393" spans="1:1" x14ac:dyDescent="0.25">
      <c r="A393" t="s">
        <v>9396</v>
      </c>
    </row>
    <row r="394" spans="1:1" x14ac:dyDescent="0.25">
      <c r="A394" t="s">
        <v>10303</v>
      </c>
    </row>
    <row r="395" spans="1:1" x14ac:dyDescent="0.25">
      <c r="A395" t="s">
        <v>8517</v>
      </c>
    </row>
    <row r="396" spans="1:1" x14ac:dyDescent="0.25">
      <c r="A396" t="s">
        <v>7829</v>
      </c>
    </row>
    <row r="397" spans="1:1" x14ac:dyDescent="0.25">
      <c r="A397" t="s">
        <v>10304</v>
      </c>
    </row>
    <row r="398" spans="1:1" x14ac:dyDescent="0.25">
      <c r="A398" t="s">
        <v>10305</v>
      </c>
    </row>
    <row r="399" spans="1:1" x14ac:dyDescent="0.25">
      <c r="A399" t="s">
        <v>7831</v>
      </c>
    </row>
    <row r="400" spans="1:1" x14ac:dyDescent="0.25">
      <c r="A400" t="s">
        <v>8520</v>
      </c>
    </row>
    <row r="401" spans="1:1" x14ac:dyDescent="0.25">
      <c r="A401" t="s">
        <v>9726</v>
      </c>
    </row>
    <row r="402" spans="1:1" x14ac:dyDescent="0.25">
      <c r="A402" t="s">
        <v>9401</v>
      </c>
    </row>
    <row r="403" spans="1:1" x14ac:dyDescent="0.25">
      <c r="A403" t="s">
        <v>7839</v>
      </c>
    </row>
    <row r="404" spans="1:1" x14ac:dyDescent="0.25">
      <c r="A404" t="s">
        <v>9403</v>
      </c>
    </row>
    <row r="405" spans="1:1" x14ac:dyDescent="0.25">
      <c r="A405" t="s">
        <v>7840</v>
      </c>
    </row>
    <row r="406" spans="1:1" x14ac:dyDescent="0.25">
      <c r="A406" t="s">
        <v>10306</v>
      </c>
    </row>
    <row r="407" spans="1:1" x14ac:dyDescent="0.25">
      <c r="A407" t="s">
        <v>9406</v>
      </c>
    </row>
    <row r="408" spans="1:1" x14ac:dyDescent="0.25">
      <c r="A408" t="s">
        <v>10307</v>
      </c>
    </row>
    <row r="409" spans="1:1" x14ac:dyDescent="0.25">
      <c r="A409" t="s">
        <v>10308</v>
      </c>
    </row>
    <row r="410" spans="1:1" x14ac:dyDescent="0.25">
      <c r="A410" t="s">
        <v>7852</v>
      </c>
    </row>
    <row r="411" spans="1:1" x14ac:dyDescent="0.25">
      <c r="A411" t="s">
        <v>8531</v>
      </c>
    </row>
    <row r="412" spans="1:1" x14ac:dyDescent="0.25">
      <c r="A412" t="s">
        <v>7854</v>
      </c>
    </row>
    <row r="413" spans="1:1" x14ac:dyDescent="0.25">
      <c r="A413" t="s">
        <v>7855</v>
      </c>
    </row>
    <row r="414" spans="1:1" x14ac:dyDescent="0.25">
      <c r="A414" t="s">
        <v>7856</v>
      </c>
    </row>
    <row r="415" spans="1:1" x14ac:dyDescent="0.25">
      <c r="A415" t="s">
        <v>8541</v>
      </c>
    </row>
    <row r="416" spans="1:1" x14ac:dyDescent="0.25">
      <c r="A416" t="s">
        <v>10309</v>
      </c>
    </row>
    <row r="417" spans="1:1" x14ac:dyDescent="0.25">
      <c r="A417" t="s">
        <v>7864</v>
      </c>
    </row>
    <row r="418" spans="1:1" x14ac:dyDescent="0.25">
      <c r="A418" t="s">
        <v>10310</v>
      </c>
    </row>
    <row r="419" spans="1:1" x14ac:dyDescent="0.25">
      <c r="A419" t="s">
        <v>7865</v>
      </c>
    </row>
    <row r="420" spans="1:1" x14ac:dyDescent="0.25">
      <c r="A420" t="s">
        <v>7866</v>
      </c>
    </row>
    <row r="421" spans="1:1" x14ac:dyDescent="0.25">
      <c r="A421" t="s">
        <v>9868</v>
      </c>
    </row>
    <row r="422" spans="1:1" x14ac:dyDescent="0.25">
      <c r="A422" t="s">
        <v>9420</v>
      </c>
    </row>
    <row r="423" spans="1:1" x14ac:dyDescent="0.25">
      <c r="A423" t="s">
        <v>8545</v>
      </c>
    </row>
    <row r="424" spans="1:1" x14ac:dyDescent="0.25">
      <c r="A424" t="s">
        <v>10311</v>
      </c>
    </row>
    <row r="425" spans="1:1" x14ac:dyDescent="0.25">
      <c r="A425" t="s">
        <v>10312</v>
      </c>
    </row>
    <row r="426" spans="1:1" x14ac:dyDescent="0.25">
      <c r="A426" t="s">
        <v>9423</v>
      </c>
    </row>
    <row r="427" spans="1:1" x14ac:dyDescent="0.25">
      <c r="A427" t="s">
        <v>7875</v>
      </c>
    </row>
    <row r="428" spans="1:1" x14ac:dyDescent="0.25">
      <c r="A428" t="s">
        <v>10313</v>
      </c>
    </row>
    <row r="429" spans="1:1" x14ac:dyDescent="0.25">
      <c r="A429" t="s">
        <v>7877</v>
      </c>
    </row>
    <row r="430" spans="1:1" x14ac:dyDescent="0.25">
      <c r="A430" t="s">
        <v>10314</v>
      </c>
    </row>
    <row r="431" spans="1:1" x14ac:dyDescent="0.25">
      <c r="A431" t="s">
        <v>10315</v>
      </c>
    </row>
    <row r="432" spans="1:1" x14ac:dyDescent="0.25">
      <c r="A432" t="s">
        <v>7884</v>
      </c>
    </row>
    <row r="433" spans="1:1" x14ac:dyDescent="0.25">
      <c r="A433" t="s">
        <v>9432</v>
      </c>
    </row>
    <row r="434" spans="1:1" x14ac:dyDescent="0.25">
      <c r="A434" t="s">
        <v>9433</v>
      </c>
    </row>
    <row r="435" spans="1:1" x14ac:dyDescent="0.25">
      <c r="A435" t="s">
        <v>10316</v>
      </c>
    </row>
    <row r="436" spans="1:1" x14ac:dyDescent="0.25">
      <c r="A436" t="s">
        <v>10317</v>
      </c>
    </row>
    <row r="437" spans="1:1" x14ac:dyDescent="0.25">
      <c r="A437" t="s">
        <v>7893</v>
      </c>
    </row>
    <row r="438" spans="1:1" x14ac:dyDescent="0.25">
      <c r="A438" t="s">
        <v>10318</v>
      </c>
    </row>
    <row r="439" spans="1:1" x14ac:dyDescent="0.25">
      <c r="A439" t="s">
        <v>7894</v>
      </c>
    </row>
    <row r="440" spans="1:1" x14ac:dyDescent="0.25">
      <c r="A440" t="s">
        <v>7895</v>
      </c>
    </row>
    <row r="441" spans="1:1" x14ac:dyDescent="0.25">
      <c r="A441" t="s">
        <v>9436</v>
      </c>
    </row>
    <row r="442" spans="1:1" x14ac:dyDescent="0.25">
      <c r="A442" t="s">
        <v>10319</v>
      </c>
    </row>
    <row r="443" spans="1:1" x14ac:dyDescent="0.25">
      <c r="A443" t="s">
        <v>10320</v>
      </c>
    </row>
    <row r="444" spans="1:1" x14ac:dyDescent="0.25">
      <c r="A444" t="s">
        <v>9659</v>
      </c>
    </row>
    <row r="445" spans="1:1" x14ac:dyDescent="0.25">
      <c r="A445" t="s">
        <v>10321</v>
      </c>
    </row>
    <row r="446" spans="1:1" x14ac:dyDescent="0.25">
      <c r="A446" t="s">
        <v>10322</v>
      </c>
    </row>
    <row r="447" spans="1:1" x14ac:dyDescent="0.25">
      <c r="A447" t="s">
        <v>7899</v>
      </c>
    </row>
    <row r="448" spans="1:1" x14ac:dyDescent="0.25">
      <c r="A448" t="s">
        <v>10323</v>
      </c>
    </row>
    <row r="449" spans="1:1" x14ac:dyDescent="0.25">
      <c r="A449" t="s">
        <v>9448</v>
      </c>
    </row>
    <row r="450" spans="1:1" x14ac:dyDescent="0.25">
      <c r="A450" t="s">
        <v>7907</v>
      </c>
    </row>
    <row r="451" spans="1:1" x14ac:dyDescent="0.25">
      <c r="A451" t="s">
        <v>7909</v>
      </c>
    </row>
    <row r="452" spans="1:1" x14ac:dyDescent="0.25">
      <c r="A452" t="s">
        <v>8559</v>
      </c>
    </row>
    <row r="453" spans="1:1" x14ac:dyDescent="0.25">
      <c r="A453" t="s">
        <v>10324</v>
      </c>
    </row>
    <row r="454" spans="1:1" x14ac:dyDescent="0.25">
      <c r="A454" t="s">
        <v>9450</v>
      </c>
    </row>
    <row r="455" spans="1:1" x14ac:dyDescent="0.25">
      <c r="A455" t="s">
        <v>7915</v>
      </c>
    </row>
    <row r="456" spans="1:1" x14ac:dyDescent="0.25">
      <c r="A456" t="s">
        <v>10325</v>
      </c>
    </row>
    <row r="457" spans="1:1" x14ac:dyDescent="0.25">
      <c r="A457" t="s">
        <v>10326</v>
      </c>
    </row>
    <row r="458" spans="1:1" x14ac:dyDescent="0.25">
      <c r="A458" t="s">
        <v>10327</v>
      </c>
    </row>
    <row r="459" spans="1:1" x14ac:dyDescent="0.25">
      <c r="A459" t="s">
        <v>7916</v>
      </c>
    </row>
    <row r="460" spans="1:1" x14ac:dyDescent="0.25">
      <c r="A460" t="s">
        <v>9452</v>
      </c>
    </row>
    <row r="461" spans="1:1" x14ac:dyDescent="0.25">
      <c r="A461" t="s">
        <v>7917</v>
      </c>
    </row>
    <row r="462" spans="1:1" x14ac:dyDescent="0.25">
      <c r="A462" t="s">
        <v>8572</v>
      </c>
    </row>
    <row r="463" spans="1:1" x14ac:dyDescent="0.25">
      <c r="A463" t="s">
        <v>10328</v>
      </c>
    </row>
    <row r="464" spans="1:1" x14ac:dyDescent="0.25">
      <c r="A464" t="s">
        <v>7919</v>
      </c>
    </row>
    <row r="465" spans="1:1" x14ac:dyDescent="0.25">
      <c r="A465" t="s">
        <v>9454</v>
      </c>
    </row>
    <row r="466" spans="1:1" x14ac:dyDescent="0.25">
      <c r="A466" t="s">
        <v>10329</v>
      </c>
    </row>
    <row r="467" spans="1:1" x14ac:dyDescent="0.25">
      <c r="A467" t="s">
        <v>10330</v>
      </c>
    </row>
    <row r="468" spans="1:1" x14ac:dyDescent="0.25">
      <c r="A468" t="s">
        <v>10331</v>
      </c>
    </row>
    <row r="469" spans="1:1" x14ac:dyDescent="0.25">
      <c r="A469" t="s">
        <v>10332</v>
      </c>
    </row>
    <row r="470" spans="1:1" x14ac:dyDescent="0.25">
      <c r="A470" t="s">
        <v>8576</v>
      </c>
    </row>
    <row r="471" spans="1:1" x14ac:dyDescent="0.25">
      <c r="A471" t="s">
        <v>8577</v>
      </c>
    </row>
    <row r="472" spans="1:1" x14ac:dyDescent="0.25">
      <c r="A472" t="s">
        <v>10333</v>
      </c>
    </row>
    <row r="473" spans="1:1" x14ac:dyDescent="0.25">
      <c r="A473" t="s">
        <v>10334</v>
      </c>
    </row>
    <row r="474" spans="1:1" x14ac:dyDescent="0.25">
      <c r="A474" t="s">
        <v>8020</v>
      </c>
    </row>
    <row r="475" spans="1:1" x14ac:dyDescent="0.25">
      <c r="A475" t="s">
        <v>8583</v>
      </c>
    </row>
    <row r="476" spans="1:1" x14ac:dyDescent="0.25">
      <c r="A476" t="s">
        <v>10335</v>
      </c>
    </row>
    <row r="477" spans="1:1" x14ac:dyDescent="0.25">
      <c r="A477" t="s">
        <v>8025</v>
      </c>
    </row>
    <row r="478" spans="1:1" x14ac:dyDescent="0.25">
      <c r="A478" t="s">
        <v>9468</v>
      </c>
    </row>
    <row r="479" spans="1:1" x14ac:dyDescent="0.25">
      <c r="A479" t="s">
        <v>8028</v>
      </c>
    </row>
    <row r="480" spans="1:1" x14ac:dyDescent="0.25">
      <c r="A480" t="s">
        <v>9469</v>
      </c>
    </row>
    <row r="481" spans="1:1" x14ac:dyDescent="0.25">
      <c r="A481" t="s">
        <v>10336</v>
      </c>
    </row>
    <row r="482" spans="1:1" x14ac:dyDescent="0.25">
      <c r="A482" t="s">
        <v>10337</v>
      </c>
    </row>
    <row r="483" spans="1:1" x14ac:dyDescent="0.25">
      <c r="A483" t="s">
        <v>10338</v>
      </c>
    </row>
    <row r="484" spans="1:1" x14ac:dyDescent="0.25">
      <c r="A484" t="s">
        <v>8034</v>
      </c>
    </row>
    <row r="485" spans="1:1" x14ac:dyDescent="0.25">
      <c r="A485" t="s">
        <v>10339</v>
      </c>
    </row>
    <row r="486" spans="1:1" x14ac:dyDescent="0.25">
      <c r="A486" t="s">
        <v>8035</v>
      </c>
    </row>
    <row r="487" spans="1:1" x14ac:dyDescent="0.25">
      <c r="A487" t="s">
        <v>10340</v>
      </c>
    </row>
    <row r="488" spans="1:1" x14ac:dyDescent="0.25">
      <c r="A488" t="s">
        <v>10341</v>
      </c>
    </row>
    <row r="489" spans="1:1" x14ac:dyDescent="0.25">
      <c r="A489" t="s">
        <v>10342</v>
      </c>
    </row>
    <row r="490" spans="1:1" x14ac:dyDescent="0.25">
      <c r="A490" t="s">
        <v>10343</v>
      </c>
    </row>
    <row r="491" spans="1:1" x14ac:dyDescent="0.25">
      <c r="A491" t="s">
        <v>10344</v>
      </c>
    </row>
    <row r="492" spans="1:1" x14ac:dyDescent="0.25">
      <c r="A492" t="s">
        <v>10345</v>
      </c>
    </row>
    <row r="493" spans="1:1" x14ac:dyDescent="0.25">
      <c r="A493" t="s">
        <v>9471</v>
      </c>
    </row>
    <row r="494" spans="1:1" x14ac:dyDescent="0.25">
      <c r="A494" t="s">
        <v>9472</v>
      </c>
    </row>
    <row r="495" spans="1:1" x14ac:dyDescent="0.25">
      <c r="A495" t="s">
        <v>10346</v>
      </c>
    </row>
    <row r="496" spans="1:1" x14ac:dyDescent="0.25">
      <c r="A496" t="s">
        <v>10347</v>
      </c>
    </row>
    <row r="497" spans="1:1" x14ac:dyDescent="0.25">
      <c r="A497" t="s">
        <v>10348</v>
      </c>
    </row>
    <row r="498" spans="1:1" x14ac:dyDescent="0.25">
      <c r="A498" t="s">
        <v>8038</v>
      </c>
    </row>
    <row r="499" spans="1:1" x14ac:dyDescent="0.25">
      <c r="A499" t="s">
        <v>10349</v>
      </c>
    </row>
    <row r="500" spans="1:1" x14ac:dyDescent="0.25">
      <c r="A500" t="s">
        <v>10350</v>
      </c>
    </row>
    <row r="501" spans="1:1" x14ac:dyDescent="0.25">
      <c r="A501" t="s">
        <v>9872</v>
      </c>
    </row>
    <row r="502" spans="1:1" x14ac:dyDescent="0.25">
      <c r="A502" t="s">
        <v>8040</v>
      </c>
    </row>
    <row r="503" spans="1:1" x14ac:dyDescent="0.25">
      <c r="A503" t="s">
        <v>8041</v>
      </c>
    </row>
    <row r="504" spans="1:1" x14ac:dyDescent="0.25">
      <c r="A504" t="s">
        <v>9479</v>
      </c>
    </row>
    <row r="505" spans="1:1" x14ac:dyDescent="0.25">
      <c r="A505" t="s">
        <v>10351</v>
      </c>
    </row>
    <row r="506" spans="1:1" x14ac:dyDescent="0.25">
      <c r="A506" t="s">
        <v>9483</v>
      </c>
    </row>
    <row r="507" spans="1:1" x14ac:dyDescent="0.25">
      <c r="A507" t="s">
        <v>10352</v>
      </c>
    </row>
    <row r="508" spans="1:1" x14ac:dyDescent="0.25">
      <c r="A508" t="s">
        <v>8052</v>
      </c>
    </row>
    <row r="509" spans="1:1" x14ac:dyDescent="0.25">
      <c r="A509" t="s">
        <v>10353</v>
      </c>
    </row>
    <row r="510" spans="1:1" x14ac:dyDescent="0.25">
      <c r="A510" t="s">
        <v>10354</v>
      </c>
    </row>
    <row r="511" spans="1:1" x14ac:dyDescent="0.25">
      <c r="A511" t="s">
        <v>10355</v>
      </c>
    </row>
    <row r="512" spans="1:1" x14ac:dyDescent="0.25">
      <c r="A512" t="s">
        <v>8613</v>
      </c>
    </row>
    <row r="513" spans="1:1" x14ac:dyDescent="0.25">
      <c r="A513" t="s">
        <v>10356</v>
      </c>
    </row>
    <row r="514" spans="1:1" x14ac:dyDescent="0.25">
      <c r="A514" t="s">
        <v>8614</v>
      </c>
    </row>
    <row r="515" spans="1:1" x14ac:dyDescent="0.25">
      <c r="A515" t="s">
        <v>8060</v>
      </c>
    </row>
    <row r="516" spans="1:1" x14ac:dyDescent="0.25">
      <c r="A516" t="s">
        <v>8062</v>
      </c>
    </row>
    <row r="517" spans="1:1" x14ac:dyDescent="0.25">
      <c r="A517" t="s">
        <v>8617</v>
      </c>
    </row>
    <row r="518" spans="1:1" x14ac:dyDescent="0.25">
      <c r="A518" t="s">
        <v>10357</v>
      </c>
    </row>
    <row r="519" spans="1:1" x14ac:dyDescent="0.25">
      <c r="A519" t="s">
        <v>10358</v>
      </c>
    </row>
    <row r="520" spans="1:1" x14ac:dyDescent="0.25">
      <c r="A520" t="s">
        <v>10359</v>
      </c>
    </row>
    <row r="521" spans="1:1" x14ac:dyDescent="0.25">
      <c r="A521" t="s">
        <v>8069</v>
      </c>
    </row>
    <row r="522" spans="1:1" x14ac:dyDescent="0.25">
      <c r="A522" t="s">
        <v>10360</v>
      </c>
    </row>
    <row r="523" spans="1:1" x14ac:dyDescent="0.25">
      <c r="A523" t="s">
        <v>8078</v>
      </c>
    </row>
    <row r="524" spans="1:1" x14ac:dyDescent="0.25">
      <c r="A524" t="s">
        <v>10361</v>
      </c>
    </row>
    <row r="525" spans="1:1" x14ac:dyDescent="0.25">
      <c r="A525" t="s">
        <v>10362</v>
      </c>
    </row>
    <row r="526" spans="1:1" x14ac:dyDescent="0.25">
      <c r="A526" t="s">
        <v>10363</v>
      </c>
    </row>
    <row r="527" spans="1:1" x14ac:dyDescent="0.25">
      <c r="A527" t="s">
        <v>8081</v>
      </c>
    </row>
    <row r="528" spans="1:1" x14ac:dyDescent="0.25">
      <c r="A528" t="s">
        <v>9502</v>
      </c>
    </row>
    <row r="529" spans="1:1" x14ac:dyDescent="0.25">
      <c r="A529" t="s">
        <v>10364</v>
      </c>
    </row>
    <row r="530" spans="1:1" x14ac:dyDescent="0.25">
      <c r="A530" t="s">
        <v>9504</v>
      </c>
    </row>
    <row r="531" spans="1:1" x14ac:dyDescent="0.25">
      <c r="A531" t="s">
        <v>9505</v>
      </c>
    </row>
    <row r="532" spans="1:1" x14ac:dyDescent="0.25">
      <c r="A532" t="s">
        <v>8085</v>
      </c>
    </row>
    <row r="533" spans="1:1" x14ac:dyDescent="0.25">
      <c r="A533" t="s">
        <v>10365</v>
      </c>
    </row>
    <row r="534" spans="1:1" x14ac:dyDescent="0.25">
      <c r="A534" t="s">
        <v>8089</v>
      </c>
    </row>
    <row r="535" spans="1:1" x14ac:dyDescent="0.25">
      <c r="A535" t="s">
        <v>9507</v>
      </c>
    </row>
    <row r="536" spans="1:1" x14ac:dyDescent="0.25">
      <c r="A536" t="s">
        <v>8635</v>
      </c>
    </row>
    <row r="537" spans="1:1" x14ac:dyDescent="0.25">
      <c r="A537" t="s">
        <v>10366</v>
      </c>
    </row>
    <row r="538" spans="1:1" x14ac:dyDescent="0.25">
      <c r="A538" t="s">
        <v>10367</v>
      </c>
    </row>
    <row r="539" spans="1:1" x14ac:dyDescent="0.25">
      <c r="A539" t="s">
        <v>8637</v>
      </c>
    </row>
    <row r="540" spans="1:1" x14ac:dyDescent="0.25">
      <c r="A540" t="s">
        <v>10368</v>
      </c>
    </row>
    <row r="541" spans="1:1" x14ac:dyDescent="0.25">
      <c r="A541" t="s">
        <v>8092</v>
      </c>
    </row>
    <row r="542" spans="1:1" x14ac:dyDescent="0.25">
      <c r="A542" t="s">
        <v>10369</v>
      </c>
    </row>
    <row r="543" spans="1:1" x14ac:dyDescent="0.25">
      <c r="A543" t="s">
        <v>9511</v>
      </c>
    </row>
    <row r="544" spans="1:1" x14ac:dyDescent="0.25">
      <c r="A544" t="s">
        <v>10370</v>
      </c>
    </row>
    <row r="545" spans="1:1" x14ac:dyDescent="0.25">
      <c r="A545" t="s">
        <v>8639</v>
      </c>
    </row>
    <row r="546" spans="1:1" x14ac:dyDescent="0.25">
      <c r="A546" t="s">
        <v>8098</v>
      </c>
    </row>
    <row r="547" spans="1:1" x14ac:dyDescent="0.25">
      <c r="A547" t="s">
        <v>8099</v>
      </c>
    </row>
    <row r="548" spans="1:1" x14ac:dyDescent="0.25">
      <c r="A548" t="s">
        <v>8100</v>
      </c>
    </row>
    <row r="549" spans="1:1" x14ac:dyDescent="0.25">
      <c r="A549" t="s">
        <v>8101</v>
      </c>
    </row>
    <row r="550" spans="1:1" x14ac:dyDescent="0.25">
      <c r="A550" t="s">
        <v>8102</v>
      </c>
    </row>
    <row r="551" spans="1:1" x14ac:dyDescent="0.25">
      <c r="A551" t="s">
        <v>10371</v>
      </c>
    </row>
    <row r="552" spans="1:1" x14ac:dyDescent="0.25">
      <c r="A552" t="s">
        <v>8105</v>
      </c>
    </row>
    <row r="553" spans="1:1" x14ac:dyDescent="0.25">
      <c r="A553" t="s">
        <v>10372</v>
      </c>
    </row>
    <row r="554" spans="1:1" x14ac:dyDescent="0.25">
      <c r="A554" t="s">
        <v>10373</v>
      </c>
    </row>
    <row r="555" spans="1:1" x14ac:dyDescent="0.25">
      <c r="A555" t="s">
        <v>8109</v>
      </c>
    </row>
    <row r="556" spans="1:1" x14ac:dyDescent="0.25">
      <c r="A556" t="s">
        <v>8111</v>
      </c>
    </row>
    <row r="557" spans="1:1" x14ac:dyDescent="0.25">
      <c r="A557" t="s">
        <v>9519</v>
      </c>
    </row>
    <row r="558" spans="1:1" x14ac:dyDescent="0.25">
      <c r="A558" t="s">
        <v>10374</v>
      </c>
    </row>
    <row r="559" spans="1:1" x14ac:dyDescent="0.25">
      <c r="A559" t="s">
        <v>9521</v>
      </c>
    </row>
    <row r="560" spans="1:1" x14ac:dyDescent="0.25">
      <c r="A560" t="s">
        <v>9877</v>
      </c>
    </row>
    <row r="561" spans="1:1" x14ac:dyDescent="0.25">
      <c r="A561" t="s">
        <v>10375</v>
      </c>
    </row>
    <row r="562" spans="1:1" x14ac:dyDescent="0.25">
      <c r="A562" t="s">
        <v>9525</v>
      </c>
    </row>
    <row r="563" spans="1:1" x14ac:dyDescent="0.25">
      <c r="A563" t="s">
        <v>9526</v>
      </c>
    </row>
    <row r="564" spans="1:1" x14ac:dyDescent="0.25">
      <c r="A564" t="s">
        <v>9527</v>
      </c>
    </row>
    <row r="565" spans="1:1" x14ac:dyDescent="0.25">
      <c r="A565" t="s">
        <v>8649</v>
      </c>
    </row>
    <row r="566" spans="1:1" x14ac:dyDescent="0.25">
      <c r="A566" t="s">
        <v>10376</v>
      </c>
    </row>
    <row r="567" spans="1:1" x14ac:dyDescent="0.25">
      <c r="A567" t="s">
        <v>10377</v>
      </c>
    </row>
    <row r="568" spans="1:1" x14ac:dyDescent="0.25">
      <c r="A568" t="s">
        <v>10378</v>
      </c>
    </row>
    <row r="569" spans="1:1" x14ac:dyDescent="0.25">
      <c r="A569" t="s">
        <v>8121</v>
      </c>
    </row>
    <row r="570" spans="1:1" x14ac:dyDescent="0.25">
      <c r="A570" t="s">
        <v>9878</v>
      </c>
    </row>
    <row r="571" spans="1:1" x14ac:dyDescent="0.25">
      <c r="A571" t="s">
        <v>8122</v>
      </c>
    </row>
    <row r="572" spans="1:1" x14ac:dyDescent="0.25">
      <c r="A572" t="s">
        <v>8125</v>
      </c>
    </row>
    <row r="573" spans="1:1" x14ac:dyDescent="0.25">
      <c r="A573" t="s">
        <v>8126</v>
      </c>
    </row>
    <row r="574" spans="1:1" x14ac:dyDescent="0.25">
      <c r="A574" t="s">
        <v>8127</v>
      </c>
    </row>
    <row r="575" spans="1:1" x14ac:dyDescent="0.25">
      <c r="A575" t="s">
        <v>8128</v>
      </c>
    </row>
    <row r="576" spans="1:1" x14ac:dyDescent="0.25">
      <c r="A576" t="s">
        <v>10379</v>
      </c>
    </row>
    <row r="577" spans="1:1" x14ac:dyDescent="0.25">
      <c r="A577" t="s">
        <v>10380</v>
      </c>
    </row>
    <row r="578" spans="1:1" x14ac:dyDescent="0.25">
      <c r="A578" t="s">
        <v>9529</v>
      </c>
    </row>
    <row r="579" spans="1:1" x14ac:dyDescent="0.25">
      <c r="A579" t="s">
        <v>10381</v>
      </c>
    </row>
    <row r="580" spans="1:1" x14ac:dyDescent="0.25">
      <c r="A580" t="s">
        <v>10382</v>
      </c>
    </row>
    <row r="581" spans="1:1" x14ac:dyDescent="0.25">
      <c r="A581" t="s">
        <v>9532</v>
      </c>
    </row>
    <row r="582" spans="1:1" x14ac:dyDescent="0.25">
      <c r="A582" t="s">
        <v>9533</v>
      </c>
    </row>
    <row r="583" spans="1:1" x14ac:dyDescent="0.25">
      <c r="A583" t="s">
        <v>8659</v>
      </c>
    </row>
    <row r="584" spans="1:1" x14ac:dyDescent="0.25">
      <c r="A584" t="s">
        <v>10383</v>
      </c>
    </row>
    <row r="585" spans="1:1" x14ac:dyDescent="0.25">
      <c r="A585" t="s">
        <v>8660</v>
      </c>
    </row>
    <row r="586" spans="1:1" x14ac:dyDescent="0.25">
      <c r="A586" t="s">
        <v>10384</v>
      </c>
    </row>
    <row r="587" spans="1:1" x14ac:dyDescent="0.25">
      <c r="A587" t="s">
        <v>8664</v>
      </c>
    </row>
    <row r="588" spans="1:1" x14ac:dyDescent="0.25">
      <c r="A588" t="s">
        <v>8137</v>
      </c>
    </row>
    <row r="589" spans="1:1" x14ac:dyDescent="0.25">
      <c r="A589" t="s">
        <v>10385</v>
      </c>
    </row>
    <row r="590" spans="1:1" x14ac:dyDescent="0.25">
      <c r="A590" t="s">
        <v>8140</v>
      </c>
    </row>
    <row r="591" spans="1:1" x14ac:dyDescent="0.25">
      <c r="A591" t="s">
        <v>8141</v>
      </c>
    </row>
    <row r="592" spans="1:1" x14ac:dyDescent="0.25">
      <c r="A592" t="s">
        <v>10386</v>
      </c>
    </row>
    <row r="593" spans="1:1" x14ac:dyDescent="0.25">
      <c r="A593" t="s">
        <v>9542</v>
      </c>
    </row>
    <row r="594" spans="1:1" x14ac:dyDescent="0.25">
      <c r="A594" t="s">
        <v>8143</v>
      </c>
    </row>
    <row r="595" spans="1:1" x14ac:dyDescent="0.25">
      <c r="A595" t="s">
        <v>10387</v>
      </c>
    </row>
    <row r="596" spans="1:1" x14ac:dyDescent="0.25">
      <c r="A596" t="s">
        <v>10388</v>
      </c>
    </row>
    <row r="597" spans="1:1" x14ac:dyDescent="0.25">
      <c r="A597" t="s">
        <v>10389</v>
      </c>
    </row>
    <row r="598" spans="1:1" x14ac:dyDescent="0.25">
      <c r="A598" t="s">
        <v>8150</v>
      </c>
    </row>
    <row r="599" spans="1:1" x14ac:dyDescent="0.25">
      <c r="A599" t="s">
        <v>8674</v>
      </c>
    </row>
    <row r="600" spans="1:1" x14ac:dyDescent="0.25">
      <c r="A600" t="s">
        <v>8154</v>
      </c>
    </row>
    <row r="601" spans="1:1" x14ac:dyDescent="0.25">
      <c r="A601" t="s">
        <v>10390</v>
      </c>
    </row>
    <row r="602" spans="1:1" x14ac:dyDescent="0.25">
      <c r="A602" t="s">
        <v>8159</v>
      </c>
    </row>
    <row r="603" spans="1:1" x14ac:dyDescent="0.25">
      <c r="A603" t="s">
        <v>8681</v>
      </c>
    </row>
    <row r="604" spans="1:1" x14ac:dyDescent="0.25">
      <c r="A604" t="s">
        <v>9554</v>
      </c>
    </row>
    <row r="605" spans="1:1" x14ac:dyDescent="0.25">
      <c r="A605" t="s">
        <v>8164</v>
      </c>
    </row>
    <row r="606" spans="1:1" x14ac:dyDescent="0.25">
      <c r="A606" t="s">
        <v>8168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7"/>
  <sheetViews>
    <sheetView workbookViewId="0">
      <pane xSplit="4" ySplit="11" topLeftCell="E12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23.140625" customWidth="1"/>
    <col min="3" max="3" width="13.85546875" customWidth="1"/>
    <col min="4" max="4" width="34.7109375" customWidth="1"/>
  </cols>
  <sheetData>
    <row r="1" spans="1:9" ht="20.25" x14ac:dyDescent="0.3">
      <c r="A1" s="12" t="s">
        <v>10391</v>
      </c>
    </row>
    <row r="2" spans="1:9" x14ac:dyDescent="0.25">
      <c r="A2" s="6" t="s">
        <v>10392</v>
      </c>
      <c r="B2" s="7">
        <f>2685/6855</f>
        <v>0.39168490153172869</v>
      </c>
      <c r="C2" t="s">
        <v>2</v>
      </c>
      <c r="D2">
        <v>1897</v>
      </c>
    </row>
    <row r="3" spans="1:9" x14ac:dyDescent="0.25">
      <c r="A3" t="s">
        <v>10393</v>
      </c>
      <c r="C3" t="s">
        <v>4</v>
      </c>
      <c r="D3">
        <v>77079</v>
      </c>
    </row>
    <row r="4" spans="1:9" x14ac:dyDescent="0.25">
      <c r="A4" t="s">
        <v>8852</v>
      </c>
      <c r="C4" t="s">
        <v>6</v>
      </c>
      <c r="D4" t="s">
        <v>7</v>
      </c>
    </row>
    <row r="5" spans="1:9" x14ac:dyDescent="0.25">
      <c r="A5" t="s">
        <v>10394</v>
      </c>
      <c r="C5" t="s">
        <v>9</v>
      </c>
      <c r="D5" t="s">
        <v>10</v>
      </c>
    </row>
    <row r="6" spans="1:9" x14ac:dyDescent="0.25">
      <c r="A6" t="s">
        <v>10395</v>
      </c>
      <c r="C6" t="s">
        <v>12</v>
      </c>
      <c r="D6" t="s">
        <v>13</v>
      </c>
    </row>
    <row r="7" spans="1:9" x14ac:dyDescent="0.25">
      <c r="A7" t="s">
        <v>10396</v>
      </c>
      <c r="C7" t="s">
        <v>15</v>
      </c>
      <c r="D7" t="s">
        <v>16</v>
      </c>
    </row>
    <row r="8" spans="1:9" x14ac:dyDescent="0.25">
      <c r="A8" t="s">
        <v>10397</v>
      </c>
      <c r="C8" t="s">
        <v>18</v>
      </c>
      <c r="D8" t="s">
        <v>19</v>
      </c>
    </row>
    <row r="9" spans="1:9" x14ac:dyDescent="0.25">
      <c r="A9" t="s">
        <v>9557</v>
      </c>
      <c r="C9" t="s">
        <v>21</v>
      </c>
      <c r="D9">
        <v>3</v>
      </c>
    </row>
    <row r="10" spans="1:9" x14ac:dyDescent="0.25">
      <c r="A10" t="s">
        <v>10398</v>
      </c>
    </row>
    <row r="11" spans="1:9" x14ac:dyDescent="0.25">
      <c r="A11" t="s">
        <v>10399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10400</v>
      </c>
      <c r="C12" s="3" t="str">
        <f>HYPERLINK("http://amigo.geneontology.org/amigo/term/GO:0004857","GO:0004857")</f>
        <v>GO:0004857</v>
      </c>
      <c r="D12" t="s">
        <v>347</v>
      </c>
      <c r="E12">
        <v>860</v>
      </c>
      <c r="F12">
        <v>169</v>
      </c>
      <c r="G12" s="4">
        <v>4.3016384218176598E-99</v>
      </c>
      <c r="H12" s="4">
        <v>1.94218974745067E-95</v>
      </c>
      <c r="I12" t="s">
        <v>10401</v>
      </c>
    </row>
    <row r="13" spans="1:9" x14ac:dyDescent="0.25">
      <c r="A13" t="s">
        <v>10402</v>
      </c>
      <c r="C13" s="3" t="str">
        <f>HYPERLINK("http://amigo.geneontology.org/amigo/term/GO:0030234","GO:0030234")</f>
        <v>GO:0030234</v>
      </c>
      <c r="D13" t="s">
        <v>353</v>
      </c>
      <c r="E13">
        <v>1103</v>
      </c>
      <c r="F13">
        <v>169</v>
      </c>
      <c r="G13" s="4">
        <v>1.9144608541335801E-81</v>
      </c>
      <c r="H13" s="4">
        <v>4.3209381477795104E-78</v>
      </c>
      <c r="I13" t="s">
        <v>10401</v>
      </c>
    </row>
    <row r="14" spans="1:9" x14ac:dyDescent="0.25">
      <c r="A14" t="s">
        <v>10403</v>
      </c>
      <c r="C14" s="3" t="str">
        <f>HYPERLINK("http://amigo.geneontology.org/amigo/term/GO:0000160","GO:0000160")</f>
        <v>GO:0000160</v>
      </c>
      <c r="D14" t="s">
        <v>10404</v>
      </c>
      <c r="E14">
        <v>346</v>
      </c>
      <c r="F14">
        <v>87</v>
      </c>
      <c r="G14" s="4">
        <v>9.1697734351558799E-61</v>
      </c>
      <c r="H14" s="4">
        <v>1.38005090199096E-57</v>
      </c>
      <c r="I14" t="s">
        <v>10405</v>
      </c>
    </row>
    <row r="15" spans="1:9" x14ac:dyDescent="0.25">
      <c r="A15" t="s">
        <v>10406</v>
      </c>
      <c r="C15" s="3" t="str">
        <f>HYPERLINK("http://amigo.geneontology.org/amigo/term/GO:0035556","GO:0035556")</f>
        <v>GO:0035556</v>
      </c>
      <c r="D15" t="s">
        <v>10407</v>
      </c>
      <c r="E15">
        <v>742</v>
      </c>
      <c r="F15">
        <v>93</v>
      </c>
      <c r="G15" s="4">
        <v>1.0969264270315899E-37</v>
      </c>
      <c r="H15" s="4">
        <v>1.23733300969163E-34</v>
      </c>
      <c r="I15" t="s">
        <v>10408</v>
      </c>
    </row>
    <row r="16" spans="1:9" x14ac:dyDescent="0.25">
      <c r="A16" t="s">
        <v>10409</v>
      </c>
      <c r="C16" s="3" t="str">
        <f>HYPERLINK("http://amigo.geneontology.org/amigo/term/GO:0004869","GO:0004869")</f>
        <v>GO:0004869</v>
      </c>
      <c r="D16" t="s">
        <v>10410</v>
      </c>
      <c r="E16">
        <v>95</v>
      </c>
      <c r="F16">
        <v>31</v>
      </c>
      <c r="G16" s="4">
        <v>2.27338850767655E-26</v>
      </c>
      <c r="H16" s="4">
        <v>2.05286982243193E-23</v>
      </c>
      <c r="I16" t="s">
        <v>10411</v>
      </c>
    </row>
    <row r="17" spans="1:9" x14ac:dyDescent="0.25">
      <c r="A17" t="s">
        <v>10412</v>
      </c>
      <c r="C17" s="3" t="str">
        <f>HYPERLINK("http://amigo.geneontology.org/amigo/term/GO:0004553","GO:0004553")</f>
        <v>GO:0004553</v>
      </c>
      <c r="D17" t="s">
        <v>174</v>
      </c>
      <c r="E17">
        <v>1509</v>
      </c>
      <c r="F17">
        <v>114</v>
      </c>
      <c r="G17" s="4">
        <v>1.00319716105689E-25</v>
      </c>
      <c r="H17" s="4">
        <v>7.5440426511478604E-23</v>
      </c>
      <c r="I17" t="s">
        <v>10413</v>
      </c>
    </row>
    <row r="18" spans="1:9" x14ac:dyDescent="0.25">
      <c r="A18" t="s">
        <v>10414</v>
      </c>
      <c r="C18" s="3" t="str">
        <f>HYPERLINK("http://amigo.geneontology.org/amigo/term/GO:0061134","GO:0061134")</f>
        <v>GO:0061134</v>
      </c>
      <c r="D18" t="s">
        <v>7169</v>
      </c>
      <c r="E18">
        <v>445</v>
      </c>
      <c r="F18">
        <v>55</v>
      </c>
      <c r="G18" s="4">
        <v>1.5564976178408301E-22</v>
      </c>
      <c r="H18" s="4">
        <v>7.0198042564621401E-20</v>
      </c>
      <c r="I18" t="s">
        <v>10415</v>
      </c>
    </row>
    <row r="19" spans="1:9" x14ac:dyDescent="0.25">
      <c r="A19" t="s">
        <v>10416</v>
      </c>
      <c r="C19" s="3" t="str">
        <f>HYPERLINK("http://amigo.geneontology.org/amigo/term/GO:0030414","GO:0030414")</f>
        <v>GO:0030414</v>
      </c>
      <c r="D19" t="s">
        <v>7171</v>
      </c>
      <c r="E19">
        <v>445</v>
      </c>
      <c r="F19">
        <v>55</v>
      </c>
      <c r="G19" s="4">
        <v>1.5564976178408301E-22</v>
      </c>
      <c r="H19" s="4">
        <v>7.7980530653825602E-20</v>
      </c>
      <c r="I19" t="s">
        <v>10415</v>
      </c>
    </row>
    <row r="20" spans="1:9" x14ac:dyDescent="0.25">
      <c r="A20" t="s">
        <v>10417</v>
      </c>
      <c r="C20" s="3" t="str">
        <f>HYPERLINK("http://amigo.geneontology.org/amigo/term/GO:0061135","GO:0061135")</f>
        <v>GO:0061135</v>
      </c>
      <c r="D20" t="s">
        <v>7173</v>
      </c>
      <c r="E20">
        <v>445</v>
      </c>
      <c r="F20">
        <v>55</v>
      </c>
      <c r="G20" s="4">
        <v>1.5564976178408301E-22</v>
      </c>
      <c r="H20" s="4">
        <v>8.7786465646222795E-20</v>
      </c>
      <c r="I20" t="s">
        <v>10415</v>
      </c>
    </row>
    <row r="21" spans="1:9" x14ac:dyDescent="0.25">
      <c r="A21" t="s">
        <v>10418</v>
      </c>
      <c r="C21" s="3" t="str">
        <f>HYPERLINK("http://amigo.geneontology.org/amigo/term/GO:0004866","GO:0004866")</f>
        <v>GO:0004866</v>
      </c>
      <c r="D21" t="s">
        <v>7175</v>
      </c>
      <c r="E21">
        <v>445</v>
      </c>
      <c r="F21">
        <v>55</v>
      </c>
      <c r="G21" s="4">
        <v>1.5564976178408301E-22</v>
      </c>
      <c r="H21" s="4">
        <v>1.00394096350733E-19</v>
      </c>
      <c r="I21" t="s">
        <v>10415</v>
      </c>
    </row>
    <row r="22" spans="1:9" x14ac:dyDescent="0.25">
      <c r="A22" t="s">
        <v>10419</v>
      </c>
      <c r="C22" s="3" t="str">
        <f>HYPERLINK("http://amigo.geneontology.org/amigo/term/GO:0016798","GO:0016798")</f>
        <v>GO:0016798</v>
      </c>
      <c r="D22" t="s">
        <v>177</v>
      </c>
      <c r="E22">
        <v>1691</v>
      </c>
      <c r="F22">
        <v>115</v>
      </c>
      <c r="G22" s="4">
        <v>3.1829093120402998E-22</v>
      </c>
      <c r="H22" s="4">
        <v>1.30499281793652E-19</v>
      </c>
      <c r="I22" t="s">
        <v>10420</v>
      </c>
    </row>
    <row r="23" spans="1:9" x14ac:dyDescent="0.25">
      <c r="A23" t="s">
        <v>10421</v>
      </c>
      <c r="C23" s="3" t="str">
        <f>HYPERLINK("http://amigo.geneontology.org/amigo/term/GO:0006952","GO:0006952")</f>
        <v>GO:0006952</v>
      </c>
      <c r="D23" t="s">
        <v>155</v>
      </c>
      <c r="E23">
        <v>1416</v>
      </c>
      <c r="F23">
        <v>102</v>
      </c>
      <c r="G23" s="4">
        <v>1.28245002960844E-21</v>
      </c>
      <c r="H23" s="4">
        <v>4.82201211132776E-19</v>
      </c>
      <c r="I23" t="s">
        <v>10422</v>
      </c>
    </row>
    <row r="24" spans="1:9" x14ac:dyDescent="0.25">
      <c r="A24" t="s">
        <v>10423</v>
      </c>
      <c r="C24" s="3" t="str">
        <f>HYPERLINK("http://amigo.geneontology.org/amigo/term/GO:0007165","GO:0007165")</f>
        <v>GO:0007165</v>
      </c>
      <c r="D24" t="s">
        <v>5347</v>
      </c>
      <c r="E24">
        <v>1544</v>
      </c>
      <c r="F24">
        <v>106</v>
      </c>
      <c r="G24" s="4">
        <v>7.1621683976566701E-21</v>
      </c>
      <c r="H24" s="4">
        <v>2.48527243398686E-18</v>
      </c>
      <c r="I24" t="s">
        <v>10424</v>
      </c>
    </row>
    <row r="25" spans="1:9" x14ac:dyDescent="0.25">
      <c r="A25" t="s">
        <v>10425</v>
      </c>
      <c r="C25" s="3" t="str">
        <f>HYPERLINK("http://amigo.geneontology.org/amigo/term/GO:0003677","GO:0003677")</f>
        <v>GO:0003677</v>
      </c>
      <c r="D25" t="s">
        <v>6850</v>
      </c>
      <c r="E25">
        <v>6799</v>
      </c>
      <c r="F25">
        <v>273</v>
      </c>
      <c r="G25" s="4">
        <v>6.3538929176556802E-16</v>
      </c>
      <c r="H25" s="4">
        <v>2.0459535194851299E-13</v>
      </c>
      <c r="I25" t="s">
        <v>10426</v>
      </c>
    </row>
    <row r="26" spans="1:9" x14ac:dyDescent="0.25">
      <c r="A26" t="s">
        <v>8171</v>
      </c>
      <c r="C26" s="3" t="str">
        <f>HYPERLINK("http://amigo.geneontology.org/amigo/term/GO:0005975","GO:0005975")</f>
        <v>GO:0005975</v>
      </c>
      <c r="D26" t="s">
        <v>171</v>
      </c>
      <c r="E26">
        <v>2990</v>
      </c>
      <c r="F26">
        <v>142</v>
      </c>
      <c r="G26" s="4">
        <v>1.19701883362729E-13</v>
      </c>
      <c r="H26" s="4">
        <v>3.6030266892181501E-11</v>
      </c>
      <c r="I26" t="s">
        <v>10427</v>
      </c>
    </row>
    <row r="27" spans="1:9" x14ac:dyDescent="0.25">
      <c r="A27" t="s">
        <v>10428</v>
      </c>
      <c r="C27" s="3" t="str">
        <f>HYPERLINK("http://amigo.geneontology.org/amigo/term/GO:0051716","GO:0051716")</f>
        <v>GO:0051716</v>
      </c>
      <c r="D27" t="s">
        <v>6687</v>
      </c>
      <c r="E27">
        <v>2438</v>
      </c>
      <c r="F27">
        <v>120</v>
      </c>
      <c r="G27" s="4">
        <v>1.0444705927956301E-12</v>
      </c>
      <c r="H27" s="4">
        <v>2.9454070716836799E-10</v>
      </c>
      <c r="I27" t="s">
        <v>10429</v>
      </c>
    </row>
    <row r="28" spans="1:9" x14ac:dyDescent="0.25">
      <c r="A28" t="s">
        <v>6890</v>
      </c>
      <c r="C28" s="3" t="str">
        <f>HYPERLINK("http://amigo.geneontology.org/amigo/term/GO:0016787","GO:0016787")</f>
        <v>GO:0016787</v>
      </c>
      <c r="D28" t="s">
        <v>98</v>
      </c>
      <c r="E28">
        <v>9814</v>
      </c>
      <c r="F28">
        <v>347</v>
      </c>
      <c r="G28" s="4">
        <v>1.7542501677555199E-12</v>
      </c>
      <c r="H28" s="4">
        <v>4.6487629445521501E-10</v>
      </c>
      <c r="I28" t="s">
        <v>10430</v>
      </c>
    </row>
    <row r="29" spans="1:9" x14ac:dyDescent="0.25">
      <c r="A29" t="s">
        <v>8172</v>
      </c>
      <c r="C29" s="3" t="str">
        <f>HYPERLINK("http://amigo.geneontology.org/amigo/term/GO:0007154","GO:0007154")</f>
        <v>GO:0007154</v>
      </c>
      <c r="D29" t="s">
        <v>6677</v>
      </c>
      <c r="E29">
        <v>2132</v>
      </c>
      <c r="F29">
        <v>108</v>
      </c>
      <c r="G29" s="4">
        <v>2.6566629151365701E-12</v>
      </c>
      <c r="H29" s="4">
        <v>6.6416572878414303E-10</v>
      </c>
      <c r="I29" t="s">
        <v>10431</v>
      </c>
    </row>
    <row r="30" spans="1:9" x14ac:dyDescent="0.25">
      <c r="A30" t="s">
        <v>10432</v>
      </c>
      <c r="C30" s="3" t="str">
        <f>HYPERLINK("http://amigo.geneontology.org/amigo/term/GO:0043086","GO:0043086")</f>
        <v>GO:0043086</v>
      </c>
      <c r="D30" t="s">
        <v>510</v>
      </c>
      <c r="E30">
        <v>209</v>
      </c>
      <c r="F30">
        <v>23</v>
      </c>
      <c r="G30" s="4">
        <v>2.79015455493357E-9</v>
      </c>
      <c r="H30" s="4">
        <v>6.6126662951925702E-7</v>
      </c>
      <c r="I30" t="s">
        <v>10433</v>
      </c>
    </row>
    <row r="31" spans="1:9" x14ac:dyDescent="0.25">
      <c r="A31" t="s">
        <v>10434</v>
      </c>
      <c r="C31" s="3" t="str">
        <f>HYPERLINK("http://amigo.geneontology.org/amigo/term/GO:0003682","GO:0003682")</f>
        <v>GO:0003682</v>
      </c>
      <c r="D31" t="s">
        <v>10435</v>
      </c>
      <c r="E31">
        <v>620</v>
      </c>
      <c r="F31">
        <v>42</v>
      </c>
      <c r="G31" s="4">
        <v>6.0520632026579899E-9</v>
      </c>
      <c r="H31" s="4">
        <v>1.3617142205980399E-6</v>
      </c>
      <c r="I31" t="s">
        <v>10436</v>
      </c>
    </row>
    <row r="32" spans="1:9" x14ac:dyDescent="0.25">
      <c r="A32" t="s">
        <v>10437</v>
      </c>
      <c r="C32" s="3" t="str">
        <f>HYPERLINK("http://amigo.geneontology.org/amigo/term/GO:0044092","GO:0044092")</f>
        <v>GO:0044092</v>
      </c>
      <c r="D32" t="s">
        <v>552</v>
      </c>
      <c r="E32">
        <v>221</v>
      </c>
      <c r="F32">
        <v>23</v>
      </c>
      <c r="G32" s="4">
        <v>8.1656163494731201E-9</v>
      </c>
      <c r="H32" s="4">
        <v>1.75560751513672E-6</v>
      </c>
      <c r="I32" t="s">
        <v>10433</v>
      </c>
    </row>
    <row r="33" spans="1:9" x14ac:dyDescent="0.25">
      <c r="A33" t="s">
        <v>10438</v>
      </c>
      <c r="C33" s="3" t="str">
        <f>HYPERLINK("http://amigo.geneontology.org/amigo/term/GO:0015066","GO:0015066")</f>
        <v>GO:0015066</v>
      </c>
      <c r="D33" t="s">
        <v>10439</v>
      </c>
      <c r="E33">
        <v>5</v>
      </c>
      <c r="F33">
        <v>5</v>
      </c>
      <c r="G33" s="4">
        <v>8.9830011218068703E-9</v>
      </c>
      <c r="H33" s="4">
        <v>1.8415152299704001E-6</v>
      </c>
      <c r="I33" t="s">
        <v>10440</v>
      </c>
    </row>
    <row r="34" spans="1:9" x14ac:dyDescent="0.25">
      <c r="A34" t="s">
        <v>10441</v>
      </c>
      <c r="C34" s="3" t="str">
        <f>HYPERLINK("http://amigo.geneontology.org/amigo/term/GO:0000156","GO:0000156")</f>
        <v>GO:0000156</v>
      </c>
      <c r="D34" t="s">
        <v>5125</v>
      </c>
      <c r="E34">
        <v>79</v>
      </c>
      <c r="F34">
        <v>13</v>
      </c>
      <c r="G34" s="4">
        <v>6.8082797239608104E-8</v>
      </c>
      <c r="H34" s="4">
        <v>1.33442282589631E-5</v>
      </c>
      <c r="I34" t="s">
        <v>10442</v>
      </c>
    </row>
    <row r="35" spans="1:9" x14ac:dyDescent="0.25">
      <c r="A35" t="s">
        <v>9558</v>
      </c>
      <c r="C35" s="3" t="str">
        <f>HYPERLINK("http://amigo.geneontology.org/amigo/term/GO:0006508","GO:0006508")</f>
        <v>GO:0006508</v>
      </c>
      <c r="D35" t="s">
        <v>10443</v>
      </c>
      <c r="E35">
        <v>2854</v>
      </c>
      <c r="F35">
        <v>117</v>
      </c>
      <c r="G35" s="4">
        <v>7.7479213944200696E-8</v>
      </c>
      <c r="H35" s="4">
        <v>1.4566092221509699E-5</v>
      </c>
      <c r="I35" t="s">
        <v>10444</v>
      </c>
    </row>
    <row r="36" spans="1:9" x14ac:dyDescent="0.25">
      <c r="A36" t="s">
        <v>10445</v>
      </c>
      <c r="C36" s="3" t="str">
        <f>HYPERLINK("http://amigo.geneontology.org/amigo/term/GO:0050794","GO:0050794")</f>
        <v>GO:0050794</v>
      </c>
      <c r="D36" t="s">
        <v>6855</v>
      </c>
      <c r="E36">
        <v>7609</v>
      </c>
      <c r="F36">
        <v>258</v>
      </c>
      <c r="G36" s="4">
        <v>8.6414587885073601E-8</v>
      </c>
      <c r="H36" s="4">
        <v>1.5554625819313201E-5</v>
      </c>
      <c r="I36" t="s">
        <v>10446</v>
      </c>
    </row>
    <row r="37" spans="1:9" x14ac:dyDescent="0.25">
      <c r="A37" t="s">
        <v>10447</v>
      </c>
      <c r="C37" s="3" t="str">
        <f>HYPERLINK("http://amigo.geneontology.org/amigo/term/GO:0030599","GO:0030599")</f>
        <v>GO:0030599</v>
      </c>
      <c r="D37" t="s">
        <v>185</v>
      </c>
      <c r="E37">
        <v>167</v>
      </c>
      <c r="F37">
        <v>18</v>
      </c>
      <c r="G37" s="4">
        <v>1.9529305044062799E-7</v>
      </c>
      <c r="H37" s="4">
        <v>3.3785697726228698E-5</v>
      </c>
      <c r="I37" t="s">
        <v>10448</v>
      </c>
    </row>
    <row r="38" spans="1:9" x14ac:dyDescent="0.25">
      <c r="A38" t="s">
        <v>10449</v>
      </c>
      <c r="C38" s="3" t="str">
        <f>HYPERLINK("http://amigo.geneontology.org/amigo/term/GO:0043062","GO:0043062")</f>
        <v>GO:0043062</v>
      </c>
      <c r="D38" t="s">
        <v>6351</v>
      </c>
      <c r="E38">
        <v>38</v>
      </c>
      <c r="F38">
        <v>9</v>
      </c>
      <c r="G38" s="4">
        <v>2.78259951561848E-7</v>
      </c>
      <c r="H38" s="4">
        <v>4.0347692976468003E-5</v>
      </c>
      <c r="I38" t="s">
        <v>10450</v>
      </c>
    </row>
    <row r="39" spans="1:9" x14ac:dyDescent="0.25">
      <c r="A39" t="s">
        <v>10451</v>
      </c>
      <c r="C39" s="3" t="str">
        <f>HYPERLINK("http://amigo.geneontology.org/amigo/term/GO:0030198","GO:0030198")</f>
        <v>GO:0030198</v>
      </c>
      <c r="D39" t="s">
        <v>6353</v>
      </c>
      <c r="E39">
        <v>38</v>
      </c>
      <c r="F39">
        <v>9</v>
      </c>
      <c r="G39" s="4">
        <v>2.78259951561848E-7</v>
      </c>
      <c r="H39" s="4">
        <v>4.1738992734277201E-5</v>
      </c>
      <c r="I39" t="s">
        <v>10450</v>
      </c>
    </row>
    <row r="40" spans="1:9" x14ac:dyDescent="0.25">
      <c r="A40" t="s">
        <v>10452</v>
      </c>
      <c r="C40" s="3" t="str">
        <f>HYPERLINK("http://amigo.geneontology.org/amigo/term/GO:0070726","GO:0070726")</f>
        <v>GO:0070726</v>
      </c>
      <c r="D40" t="s">
        <v>6355</v>
      </c>
      <c r="E40">
        <v>38</v>
      </c>
      <c r="F40">
        <v>9</v>
      </c>
      <c r="G40" s="4">
        <v>2.78259951561848E-7</v>
      </c>
      <c r="H40" s="4">
        <v>4.3130292492086502E-5</v>
      </c>
      <c r="I40" t="s">
        <v>10450</v>
      </c>
    </row>
    <row r="41" spans="1:9" x14ac:dyDescent="0.25">
      <c r="A41" t="s">
        <v>10453</v>
      </c>
      <c r="C41" s="3" t="str">
        <f>HYPERLINK("http://amigo.geneontology.org/amigo/term/GO:0071668","GO:0071668")</f>
        <v>GO:0071668</v>
      </c>
      <c r="D41" t="s">
        <v>6357</v>
      </c>
      <c r="E41">
        <v>38</v>
      </c>
      <c r="F41">
        <v>9</v>
      </c>
      <c r="G41" s="4">
        <v>2.78259951561848E-7</v>
      </c>
      <c r="H41" s="4">
        <v>4.4799852201457598E-5</v>
      </c>
      <c r="I41" t="s">
        <v>10450</v>
      </c>
    </row>
    <row r="42" spans="1:9" x14ac:dyDescent="0.25">
      <c r="A42" t="s">
        <v>9559</v>
      </c>
      <c r="C42" s="3" t="str">
        <f>HYPERLINK("http://amigo.geneontology.org/amigo/term/GO:0010215","GO:0010215")</f>
        <v>GO:0010215</v>
      </c>
      <c r="D42" t="s">
        <v>6358</v>
      </c>
      <c r="E42">
        <v>38</v>
      </c>
      <c r="F42">
        <v>9</v>
      </c>
      <c r="G42" s="4">
        <v>2.78259951561848E-7</v>
      </c>
      <c r="H42" s="4">
        <v>4.64694119108287E-5</v>
      </c>
      <c r="I42" t="s">
        <v>10450</v>
      </c>
    </row>
    <row r="43" spans="1:9" x14ac:dyDescent="0.25">
      <c r="A43" t="s">
        <v>9560</v>
      </c>
      <c r="C43" s="3" t="str">
        <f>HYPERLINK("http://amigo.geneontology.org/amigo/term/GO:0052547","GO:0052547")</f>
        <v>GO:0052547</v>
      </c>
      <c r="D43" t="s">
        <v>6982</v>
      </c>
      <c r="E43">
        <v>77</v>
      </c>
      <c r="F43">
        <v>12</v>
      </c>
      <c r="G43" s="4">
        <v>4.00130059926705E-7</v>
      </c>
      <c r="H43" s="4">
        <v>5.1616777730544999E-5</v>
      </c>
      <c r="I43" t="s">
        <v>10454</v>
      </c>
    </row>
    <row r="44" spans="1:9" x14ac:dyDescent="0.25">
      <c r="A44" t="s">
        <v>10455</v>
      </c>
      <c r="C44" s="3" t="str">
        <f>HYPERLINK("http://amigo.geneontology.org/amigo/term/GO:0010466","GO:0010466")</f>
        <v>GO:0010466</v>
      </c>
      <c r="D44" t="s">
        <v>6985</v>
      </c>
      <c r="E44">
        <v>77</v>
      </c>
      <c r="F44">
        <v>12</v>
      </c>
      <c r="G44" s="4">
        <v>4.00130059926705E-7</v>
      </c>
      <c r="H44" s="4">
        <v>5.2817167910325102E-5</v>
      </c>
      <c r="I44" t="s">
        <v>10454</v>
      </c>
    </row>
    <row r="45" spans="1:9" x14ac:dyDescent="0.25">
      <c r="A45" t="s">
        <v>9562</v>
      </c>
      <c r="C45" s="3" t="str">
        <f>HYPERLINK("http://amigo.geneontology.org/amigo/term/GO:0052548","GO:0052548")</f>
        <v>GO:0052548</v>
      </c>
      <c r="D45" t="s">
        <v>6987</v>
      </c>
      <c r="E45">
        <v>77</v>
      </c>
      <c r="F45">
        <v>12</v>
      </c>
      <c r="G45" s="4">
        <v>4.00130059926705E-7</v>
      </c>
      <c r="H45" s="4">
        <v>5.4417688150031903E-5</v>
      </c>
      <c r="I45" t="s">
        <v>10454</v>
      </c>
    </row>
    <row r="46" spans="1:9" x14ac:dyDescent="0.25">
      <c r="A46" t="s">
        <v>10456</v>
      </c>
      <c r="C46" s="3" t="str">
        <f>HYPERLINK("http://amigo.geneontology.org/amigo/term/GO:0010951","GO:0010951")</f>
        <v>GO:0010951</v>
      </c>
      <c r="D46" t="s">
        <v>6989</v>
      </c>
      <c r="E46">
        <v>77</v>
      </c>
      <c r="F46">
        <v>12</v>
      </c>
      <c r="G46" s="4">
        <v>4.00130059926705E-7</v>
      </c>
      <c r="H46" s="4">
        <v>5.6418338449665403E-5</v>
      </c>
      <c r="I46" t="s">
        <v>10454</v>
      </c>
    </row>
    <row r="47" spans="1:9" x14ac:dyDescent="0.25">
      <c r="A47" t="s">
        <v>10457</v>
      </c>
      <c r="C47" s="3" t="str">
        <f>HYPERLINK("http://amigo.geneontology.org/amigo/term/GO:0004650","GO:0004650")</f>
        <v>GO:0004650</v>
      </c>
      <c r="D47" t="s">
        <v>567</v>
      </c>
      <c r="E47">
        <v>140</v>
      </c>
      <c r="F47">
        <v>16</v>
      </c>
      <c r="G47" s="4">
        <v>4.1339170539562301E-7</v>
      </c>
      <c r="H47" s="4">
        <v>5.1673963174452899E-5</v>
      </c>
      <c r="I47" t="s">
        <v>10458</v>
      </c>
    </row>
    <row r="48" spans="1:9" x14ac:dyDescent="0.25">
      <c r="A48" t="s">
        <v>10459</v>
      </c>
      <c r="C48" s="3" t="str">
        <f>HYPERLINK("http://amigo.geneontology.org/amigo/term/GO:0045861","GO:0045861")</f>
        <v>GO:0045861</v>
      </c>
      <c r="D48" t="s">
        <v>6994</v>
      </c>
      <c r="E48">
        <v>78</v>
      </c>
      <c r="F48">
        <v>12</v>
      </c>
      <c r="G48" s="4">
        <v>4.6230096516269201E-7</v>
      </c>
      <c r="H48" s="4">
        <v>5.6400717749848402E-5</v>
      </c>
      <c r="I48" t="s">
        <v>10454</v>
      </c>
    </row>
    <row r="49" spans="1:9" x14ac:dyDescent="0.25">
      <c r="A49" t="s">
        <v>10460</v>
      </c>
      <c r="C49" s="3" t="str">
        <f>HYPERLINK("http://amigo.geneontology.org/amigo/term/GO:0030162","GO:0030162")</f>
        <v>GO:0030162</v>
      </c>
      <c r="D49" t="s">
        <v>7004</v>
      </c>
      <c r="E49">
        <v>82</v>
      </c>
      <c r="F49">
        <v>12</v>
      </c>
      <c r="G49" s="4">
        <v>8.0559591868892904E-7</v>
      </c>
      <c r="H49" s="4">
        <v>9.5060318405293601E-5</v>
      </c>
      <c r="I49" t="s">
        <v>10454</v>
      </c>
    </row>
    <row r="50" spans="1:9" x14ac:dyDescent="0.25">
      <c r="A50" t="s">
        <v>10461</v>
      </c>
      <c r="C50" s="3" t="str">
        <f>HYPERLINK("http://amigo.geneontology.org/amigo/term/GO:0048029","GO:0048029")</f>
        <v>GO:0048029</v>
      </c>
      <c r="D50" t="s">
        <v>1290</v>
      </c>
      <c r="E50">
        <v>70</v>
      </c>
      <c r="F50">
        <v>11</v>
      </c>
      <c r="G50" s="4">
        <v>1.11357658450344E-6</v>
      </c>
      <c r="H50" s="4">
        <v>1.2806130721789601E-4</v>
      </c>
      <c r="I50" t="s">
        <v>10462</v>
      </c>
    </row>
    <row r="51" spans="1:9" x14ac:dyDescent="0.25">
      <c r="A51" t="s">
        <v>10463</v>
      </c>
      <c r="C51" s="3" t="str">
        <f>HYPERLINK("http://amigo.geneontology.org/amigo/term/GO:0050789","GO:0050789")</f>
        <v>GO:0050789</v>
      </c>
      <c r="D51" t="s">
        <v>6858</v>
      </c>
      <c r="E51">
        <v>8240</v>
      </c>
      <c r="F51">
        <v>268</v>
      </c>
      <c r="G51" s="4">
        <v>1.4257135423293899E-6</v>
      </c>
      <c r="H51" s="4">
        <v>1.5967991674089199E-4</v>
      </c>
      <c r="I51" t="s">
        <v>10464</v>
      </c>
    </row>
    <row r="52" spans="1:9" x14ac:dyDescent="0.25">
      <c r="A52" t="s">
        <v>10465</v>
      </c>
      <c r="C52" s="3" t="str">
        <f>HYPERLINK("http://amigo.geneontology.org/amigo/term/GO:0051346","GO:0051346")</f>
        <v>GO:0051346</v>
      </c>
      <c r="D52" t="s">
        <v>7015</v>
      </c>
      <c r="E52">
        <v>87</v>
      </c>
      <c r="F52">
        <v>12</v>
      </c>
      <c r="G52" s="4">
        <v>1.5403666605411201E-6</v>
      </c>
      <c r="H52" s="4">
        <v>1.6944033265952401E-4</v>
      </c>
      <c r="I52" t="s">
        <v>10454</v>
      </c>
    </row>
    <row r="53" spans="1:9" x14ac:dyDescent="0.25">
      <c r="A53" t="s">
        <v>10466</v>
      </c>
      <c r="C53" s="3" t="str">
        <f>HYPERLINK("http://amigo.geneontology.org/amigo/term/GO:0008233","GO:0008233")</f>
        <v>GO:0008233</v>
      </c>
      <c r="D53" t="s">
        <v>154</v>
      </c>
      <c r="E53">
        <v>2332</v>
      </c>
      <c r="F53">
        <v>95</v>
      </c>
      <c r="G53" s="4">
        <v>1.6909532148983899E-6</v>
      </c>
      <c r="H53" s="4">
        <v>1.8093199399412801E-4</v>
      </c>
      <c r="I53" t="s">
        <v>10467</v>
      </c>
    </row>
    <row r="54" spans="1:9" x14ac:dyDescent="0.25">
      <c r="A54" t="s">
        <v>9886</v>
      </c>
      <c r="C54" s="3" t="str">
        <f>HYPERLINK("http://amigo.geneontology.org/amigo/term/GO:0003777","GO:0003777")</f>
        <v>GO:0003777</v>
      </c>
      <c r="D54" t="s">
        <v>5917</v>
      </c>
      <c r="E54">
        <v>163</v>
      </c>
      <c r="F54">
        <v>15</v>
      </c>
      <c r="G54" s="4">
        <v>1.38947646239585E-5</v>
      </c>
      <c r="H54">
        <v>1.4172659916437699E-3</v>
      </c>
      <c r="I54" t="s">
        <v>10468</v>
      </c>
    </row>
    <row r="55" spans="1:9" x14ac:dyDescent="0.25">
      <c r="A55" t="s">
        <v>10469</v>
      </c>
      <c r="C55" s="3" t="str">
        <f>HYPERLINK("http://amigo.geneontology.org/amigo/term/GO:0007018","GO:0007018")</f>
        <v>GO:0007018</v>
      </c>
      <c r="D55" t="s">
        <v>5919</v>
      </c>
      <c r="E55">
        <v>163</v>
      </c>
      <c r="F55">
        <v>15</v>
      </c>
      <c r="G55" s="4">
        <v>1.38947646239585E-5</v>
      </c>
      <c r="H55">
        <v>1.4589502855156501E-3</v>
      </c>
      <c r="I55" t="s">
        <v>10468</v>
      </c>
    </row>
    <row r="56" spans="1:9" x14ac:dyDescent="0.25">
      <c r="A56" t="s">
        <v>10470</v>
      </c>
      <c r="C56" s="3" t="str">
        <f>HYPERLINK("http://amigo.geneontology.org/amigo/term/GO:0005615","GO:0005615")</f>
        <v>GO:0005615</v>
      </c>
      <c r="D56" t="s">
        <v>9663</v>
      </c>
      <c r="E56">
        <v>110</v>
      </c>
      <c r="F56">
        <v>12</v>
      </c>
      <c r="G56" s="4">
        <v>1.81851933337698E-5</v>
      </c>
      <c r="H56">
        <v>1.8185193333769801E-3</v>
      </c>
      <c r="I56" t="s">
        <v>10471</v>
      </c>
    </row>
    <row r="57" spans="1:9" x14ac:dyDescent="0.25">
      <c r="A57" t="s">
        <v>10472</v>
      </c>
      <c r="C57" s="3" t="str">
        <f>HYPERLINK("http://amigo.geneontology.org/amigo/term/GO:0070001","GO:0070001")</f>
        <v>GO:0070001</v>
      </c>
      <c r="D57" t="s">
        <v>6232</v>
      </c>
      <c r="E57">
        <v>442</v>
      </c>
      <c r="F57">
        <v>27</v>
      </c>
      <c r="G57" s="4">
        <v>1.88414548858477E-5</v>
      </c>
      <c r="H57">
        <v>1.80877966904137E-3</v>
      </c>
      <c r="I57" t="s">
        <v>10473</v>
      </c>
    </row>
    <row r="58" spans="1:9" x14ac:dyDescent="0.25">
      <c r="A58" t="s">
        <v>10474</v>
      </c>
      <c r="C58" s="3" t="str">
        <f>HYPERLINK("http://amigo.geneontology.org/amigo/term/GO:0004190","GO:0004190")</f>
        <v>GO:0004190</v>
      </c>
      <c r="D58" t="s">
        <v>6234</v>
      </c>
      <c r="E58">
        <v>442</v>
      </c>
      <c r="F58">
        <v>27</v>
      </c>
      <c r="G58" s="4">
        <v>1.88414548858477E-5</v>
      </c>
      <c r="H58">
        <v>1.8464625788130701E-3</v>
      </c>
      <c r="I58" t="s">
        <v>10473</v>
      </c>
    </row>
    <row r="59" spans="1:9" x14ac:dyDescent="0.25">
      <c r="A59" t="s">
        <v>10475</v>
      </c>
      <c r="C59" s="3" t="str">
        <f>HYPERLINK("http://amigo.geneontology.org/amigo/term/GO:0005871","GO:0005871")</f>
        <v>GO:0005871</v>
      </c>
      <c r="D59" t="s">
        <v>1275</v>
      </c>
      <c r="E59">
        <v>130</v>
      </c>
      <c r="F59">
        <v>13</v>
      </c>
      <c r="G59" s="4">
        <v>2.1202950531314799E-5</v>
      </c>
      <c r="H59">
        <v>1.9930773499435899E-3</v>
      </c>
      <c r="I59" t="s">
        <v>10476</v>
      </c>
    </row>
    <row r="60" spans="1:9" x14ac:dyDescent="0.25">
      <c r="A60" t="s">
        <v>10477</v>
      </c>
      <c r="C60" s="3" t="str">
        <f>HYPERLINK("http://amigo.geneontology.org/amigo/term/GO:0006950","GO:0006950")</f>
        <v>GO:0006950</v>
      </c>
      <c r="D60" t="s">
        <v>7156</v>
      </c>
      <c r="E60">
        <v>4305</v>
      </c>
      <c r="F60">
        <v>148</v>
      </c>
      <c r="G60" s="4">
        <v>3.1373142853228798E-5</v>
      </c>
      <c r="H60">
        <v>2.8863291424970502E-3</v>
      </c>
      <c r="I60" t="s">
        <v>10478</v>
      </c>
    </row>
    <row r="61" spans="1:9" x14ac:dyDescent="0.25">
      <c r="A61" t="s">
        <v>10479</v>
      </c>
      <c r="C61" s="3" t="str">
        <f>HYPERLINK("http://amigo.geneontology.org/amigo/term/GO:0031225","GO:0031225")</f>
        <v>GO:0031225</v>
      </c>
      <c r="D61" t="s">
        <v>1532</v>
      </c>
      <c r="E61">
        <v>82</v>
      </c>
      <c r="F61">
        <v>10</v>
      </c>
      <c r="G61" s="4">
        <v>3.4081413529315101E-5</v>
      </c>
      <c r="H61">
        <v>3.0673272176383599E-3</v>
      </c>
      <c r="I61" t="s">
        <v>10480</v>
      </c>
    </row>
    <row r="62" spans="1:9" x14ac:dyDescent="0.25">
      <c r="A62" t="s">
        <v>6946</v>
      </c>
      <c r="C62" s="3" t="str">
        <f>HYPERLINK("http://amigo.geneontology.org/amigo/term/GO:0070011","GO:0070011")</f>
        <v>GO:0070011</v>
      </c>
      <c r="D62" t="s">
        <v>151</v>
      </c>
      <c r="E62">
        <v>2258</v>
      </c>
      <c r="F62">
        <v>87</v>
      </c>
      <c r="G62" s="4">
        <v>3.4978519911418702E-5</v>
      </c>
      <c r="H62">
        <v>3.0781097522048499E-3</v>
      </c>
      <c r="I62" t="s">
        <v>10481</v>
      </c>
    </row>
    <row r="63" spans="1:9" x14ac:dyDescent="0.25">
      <c r="A63" t="s">
        <v>10482</v>
      </c>
      <c r="C63" s="3" t="str">
        <f>HYPERLINK("http://amigo.geneontology.org/amigo/term/GO:0006928","GO:0006928")</f>
        <v>GO:0006928</v>
      </c>
      <c r="D63" t="s">
        <v>1350</v>
      </c>
      <c r="E63">
        <v>180</v>
      </c>
      <c r="F63">
        <v>15</v>
      </c>
      <c r="G63" s="4">
        <v>4.45516282141744E-5</v>
      </c>
      <c r="H63">
        <v>3.831440026419E-3</v>
      </c>
      <c r="I63" t="s">
        <v>10468</v>
      </c>
    </row>
    <row r="64" spans="1:9" x14ac:dyDescent="0.25">
      <c r="A64" t="s">
        <v>10483</v>
      </c>
      <c r="C64" s="3" t="str">
        <f>HYPERLINK("http://amigo.geneontology.org/amigo/term/GO:0033500","GO:0033500")</f>
        <v>GO:0033500</v>
      </c>
      <c r="D64" t="s">
        <v>695</v>
      </c>
      <c r="E64">
        <v>28</v>
      </c>
      <c r="F64">
        <v>6</v>
      </c>
      <c r="G64" s="4">
        <v>5.2163619389332801E-5</v>
      </c>
      <c r="H64">
        <v>4.1209259317572904E-3</v>
      </c>
      <c r="I64" t="s">
        <v>10484</v>
      </c>
    </row>
    <row r="65" spans="1:9" x14ac:dyDescent="0.25">
      <c r="A65" t="s">
        <v>10485</v>
      </c>
      <c r="C65" s="3" t="str">
        <f>HYPERLINK("http://amigo.geneontology.org/amigo/term/GO:0042593","GO:0042593")</f>
        <v>GO:0042593</v>
      </c>
      <c r="D65" t="s">
        <v>698</v>
      </c>
      <c r="E65">
        <v>28</v>
      </c>
      <c r="F65">
        <v>6</v>
      </c>
      <c r="G65" s="4">
        <v>5.2163619389332801E-5</v>
      </c>
      <c r="H65">
        <v>4.1730895511466201E-3</v>
      </c>
      <c r="I65" t="s">
        <v>10484</v>
      </c>
    </row>
    <row r="66" spans="1:9" x14ac:dyDescent="0.25">
      <c r="A66" t="s">
        <v>10486</v>
      </c>
      <c r="C66" s="3" t="str">
        <f>HYPERLINK("http://amigo.geneontology.org/amigo/term/GO:0001678","GO:0001678")</f>
        <v>GO:0001678</v>
      </c>
      <c r="D66" t="s">
        <v>700</v>
      </c>
      <c r="E66">
        <v>28</v>
      </c>
      <c r="F66">
        <v>6</v>
      </c>
      <c r="G66" s="4">
        <v>5.2163619389332801E-5</v>
      </c>
      <c r="H66">
        <v>4.2774167899252901E-3</v>
      </c>
      <c r="I66" t="s">
        <v>10484</v>
      </c>
    </row>
    <row r="67" spans="1:9" x14ac:dyDescent="0.25">
      <c r="A67" t="s">
        <v>10487</v>
      </c>
      <c r="C67" s="3" t="str">
        <f>HYPERLINK("http://amigo.geneontology.org/amigo/term/GO:0004396","GO:0004396")</f>
        <v>GO:0004396</v>
      </c>
      <c r="D67" t="s">
        <v>702</v>
      </c>
      <c r="E67">
        <v>28</v>
      </c>
      <c r="F67">
        <v>6</v>
      </c>
      <c r="G67" s="4">
        <v>5.2163619389332801E-5</v>
      </c>
      <c r="H67">
        <v>4.3295804093146199E-3</v>
      </c>
      <c r="I67" t="s">
        <v>10484</v>
      </c>
    </row>
    <row r="68" spans="1:9" x14ac:dyDescent="0.25">
      <c r="A68" t="s">
        <v>10488</v>
      </c>
      <c r="C68" s="3" t="str">
        <f>HYPERLINK("http://amigo.geneontology.org/amigo/term/GO:0005536","GO:0005536")</f>
        <v>GO:0005536</v>
      </c>
      <c r="D68" t="s">
        <v>704</v>
      </c>
      <c r="E68">
        <v>28</v>
      </c>
      <c r="F68">
        <v>6</v>
      </c>
      <c r="G68" s="4">
        <v>5.2163619389332801E-5</v>
      </c>
      <c r="H68">
        <v>4.4339076480932899E-3</v>
      </c>
      <c r="I68" t="s">
        <v>10484</v>
      </c>
    </row>
    <row r="69" spans="1:9" x14ac:dyDescent="0.25">
      <c r="A69" t="s">
        <v>10489</v>
      </c>
      <c r="C69" s="3" t="str">
        <f>HYPERLINK("http://amigo.geneontology.org/amigo/term/GO:0016781","GO:0016781")</f>
        <v>GO:0016781</v>
      </c>
      <c r="D69" t="s">
        <v>10490</v>
      </c>
      <c r="E69">
        <v>4</v>
      </c>
      <c r="F69">
        <v>3</v>
      </c>
      <c r="G69" s="4">
        <v>5.8439285280385097E-5</v>
      </c>
      <c r="H69">
        <v>4.4413856813092598E-3</v>
      </c>
      <c r="I69" t="s">
        <v>10491</v>
      </c>
    </row>
    <row r="70" spans="1:9" x14ac:dyDescent="0.25">
      <c r="A70" t="s">
        <v>10492</v>
      </c>
      <c r="C70" s="3" t="str">
        <f>HYPERLINK("http://amigo.geneontology.org/amigo/term/GO:0050242","GO:0050242")</f>
        <v>GO:0050242</v>
      </c>
      <c r="D70" t="s">
        <v>10493</v>
      </c>
      <c r="E70">
        <v>4</v>
      </c>
      <c r="F70">
        <v>3</v>
      </c>
      <c r="G70" s="4">
        <v>5.8439285280385097E-5</v>
      </c>
      <c r="H70">
        <v>4.4998249665896498E-3</v>
      </c>
      <c r="I70" t="s">
        <v>10491</v>
      </c>
    </row>
    <row r="71" spans="1:9" x14ac:dyDescent="0.25">
      <c r="A71" t="s">
        <v>10494</v>
      </c>
      <c r="C71" s="3" t="str">
        <f>HYPERLINK("http://amigo.geneontology.org/amigo/term/GO:0030014","GO:0030014")</f>
        <v>GO:0030014</v>
      </c>
      <c r="D71" t="s">
        <v>10495</v>
      </c>
      <c r="E71">
        <v>18</v>
      </c>
      <c r="F71">
        <v>5</v>
      </c>
      <c r="G71" s="4">
        <v>5.8888435293521798E-5</v>
      </c>
      <c r="H71">
        <v>4.41663264701413E-3</v>
      </c>
      <c r="I71" t="s">
        <v>10496</v>
      </c>
    </row>
    <row r="72" spans="1:9" x14ac:dyDescent="0.25">
      <c r="A72" t="s">
        <v>10497</v>
      </c>
      <c r="C72" s="3" t="str">
        <f>HYPERLINK("http://amigo.geneontology.org/amigo/term/GO:0010143","GO:0010143")</f>
        <v>GO:0010143</v>
      </c>
      <c r="D72" t="s">
        <v>9666</v>
      </c>
      <c r="E72">
        <v>10</v>
      </c>
      <c r="F72">
        <v>4</v>
      </c>
      <c r="G72" s="4">
        <v>6.8202941865553495E-5</v>
      </c>
      <c r="H72">
        <v>5.0470176980509599E-3</v>
      </c>
      <c r="I72" t="s">
        <v>10498</v>
      </c>
    </row>
    <row r="73" spans="1:9" x14ac:dyDescent="0.25">
      <c r="A73" t="s">
        <v>10499</v>
      </c>
      <c r="C73" s="3" t="str">
        <f>HYPERLINK("http://amigo.geneontology.org/amigo/term/GO:0003700","GO:0003700")</f>
        <v>GO:0003700</v>
      </c>
      <c r="D73" t="s">
        <v>5173</v>
      </c>
      <c r="E73">
        <v>2075</v>
      </c>
      <c r="F73">
        <v>80</v>
      </c>
      <c r="G73" s="4">
        <v>6.9641646014256798E-5</v>
      </c>
      <c r="H73">
        <v>5.0141985130264903E-3</v>
      </c>
      <c r="I73" t="s">
        <v>10500</v>
      </c>
    </row>
    <row r="74" spans="1:9" x14ac:dyDescent="0.25">
      <c r="A74" t="s">
        <v>10501</v>
      </c>
      <c r="C74" s="3" t="str">
        <f>HYPERLINK("http://amigo.geneontology.org/amigo/term/GO:0044421","GO:0044421")</f>
        <v>GO:0044421</v>
      </c>
      <c r="D74" t="s">
        <v>9677</v>
      </c>
      <c r="E74">
        <v>126</v>
      </c>
      <c r="F74">
        <v>12</v>
      </c>
      <c r="G74" s="4">
        <v>7.0260662785032201E-5</v>
      </c>
      <c r="H74">
        <v>4.9885070577372799E-3</v>
      </c>
      <c r="I74" t="s">
        <v>10471</v>
      </c>
    </row>
    <row r="75" spans="1:9" x14ac:dyDescent="0.25">
      <c r="A75" t="s">
        <v>10502</v>
      </c>
      <c r="C75" s="3" t="str">
        <f>HYPERLINK("http://amigo.geneontology.org/amigo/term/GO:0043565","GO:0043565")</f>
        <v>GO:0043565</v>
      </c>
      <c r="D75" t="s">
        <v>5129</v>
      </c>
      <c r="E75">
        <v>1091</v>
      </c>
      <c r="F75">
        <v>48</v>
      </c>
      <c r="G75" s="4">
        <v>1.05452926238989E-4</v>
      </c>
      <c r="H75">
        <v>7.3817048367292304E-3</v>
      </c>
      <c r="I75" t="s">
        <v>10503</v>
      </c>
    </row>
    <row r="76" spans="1:9" x14ac:dyDescent="0.25">
      <c r="A76" t="s">
        <v>10504</v>
      </c>
      <c r="C76" s="3" t="str">
        <f>HYPERLINK("http://amigo.geneontology.org/amigo/term/GO:0003774","GO:0003774")</f>
        <v>GO:0003774</v>
      </c>
      <c r="D76" t="s">
        <v>689</v>
      </c>
      <c r="E76">
        <v>198</v>
      </c>
      <c r="F76">
        <v>15</v>
      </c>
      <c r="G76" s="4">
        <v>1.30700142655709E-4</v>
      </c>
      <c r="H76">
        <v>9.0183098432439508E-3</v>
      </c>
      <c r="I76" t="s">
        <v>10468</v>
      </c>
    </row>
    <row r="77" spans="1:9" x14ac:dyDescent="0.25">
      <c r="A77" t="s">
        <v>10505</v>
      </c>
      <c r="C77" s="3" t="str">
        <f>HYPERLINK("http://amigo.geneontology.org/amigo/term/GO:0031957","GO:0031957")</f>
        <v>GO:0031957</v>
      </c>
      <c r="D77" t="s">
        <v>10506</v>
      </c>
      <c r="E77">
        <v>5</v>
      </c>
      <c r="F77">
        <v>3</v>
      </c>
      <c r="G77" s="4">
        <v>1.4340898597057201E-4</v>
      </c>
      <c r="H77">
        <v>9.7518110459989295E-3</v>
      </c>
      <c r="I77" t="s">
        <v>10507</v>
      </c>
    </row>
    <row r="78" spans="1:9" x14ac:dyDescent="0.25">
      <c r="A78" t="s">
        <v>10508</v>
      </c>
      <c r="C78" s="3" t="str">
        <f>HYPERLINK("http://amigo.geneontology.org/amigo/term/GO:0017171","GO:0017171")</f>
        <v>GO:0017171</v>
      </c>
      <c r="D78" t="s">
        <v>1186</v>
      </c>
      <c r="E78">
        <v>759</v>
      </c>
      <c r="F78">
        <v>36</v>
      </c>
      <c r="G78" s="4">
        <v>1.81133299322174E-4</v>
      </c>
      <c r="H78">
        <v>1.1954797755263501E-2</v>
      </c>
      <c r="I78" t="s">
        <v>10509</v>
      </c>
    </row>
    <row r="79" spans="1:9" x14ac:dyDescent="0.25">
      <c r="A79" t="s">
        <v>10510</v>
      </c>
      <c r="C79" s="3" t="str">
        <f>HYPERLINK("http://amigo.geneontology.org/amigo/term/GO:0008236","GO:0008236")</f>
        <v>GO:0008236</v>
      </c>
      <c r="D79" t="s">
        <v>1189</v>
      </c>
      <c r="E79">
        <v>759</v>
      </c>
      <c r="F79">
        <v>36</v>
      </c>
      <c r="G79" s="4">
        <v>1.81133299322174E-4</v>
      </c>
      <c r="H79">
        <v>1.2135931054585601E-2</v>
      </c>
      <c r="I79" t="s">
        <v>10509</v>
      </c>
    </row>
    <row r="80" spans="1:9" x14ac:dyDescent="0.25">
      <c r="A80" t="s">
        <v>10511</v>
      </c>
      <c r="C80" s="3" t="str">
        <f>HYPERLINK("http://amigo.geneontology.org/amigo/term/GO:0033897","GO:0033897")</f>
        <v>GO:0033897</v>
      </c>
      <c r="D80" t="s">
        <v>9600</v>
      </c>
      <c r="E80">
        <v>24</v>
      </c>
      <c r="F80">
        <v>5</v>
      </c>
      <c r="G80" s="4">
        <v>2.5836420911357901E-4</v>
      </c>
      <c r="H80">
        <v>1.6535309383269001E-2</v>
      </c>
      <c r="I80" t="s">
        <v>10512</v>
      </c>
    </row>
    <row r="81" spans="1:9" x14ac:dyDescent="0.25">
      <c r="A81" t="s">
        <v>10513</v>
      </c>
      <c r="C81" s="3" t="str">
        <f>HYPERLINK("http://amigo.geneontology.org/amigo/term/GO:0016405","GO:0016405")</f>
        <v>GO:0016405</v>
      </c>
      <c r="D81" t="s">
        <v>10514</v>
      </c>
      <c r="E81">
        <v>24</v>
      </c>
      <c r="F81">
        <v>5</v>
      </c>
      <c r="G81" s="4">
        <v>2.5836420911357901E-4</v>
      </c>
      <c r="H81">
        <v>1.67936735923826E-2</v>
      </c>
      <c r="I81" t="s">
        <v>10515</v>
      </c>
    </row>
    <row r="82" spans="1:9" x14ac:dyDescent="0.25">
      <c r="A82" t="s">
        <v>10516</v>
      </c>
      <c r="C82" s="3" t="str">
        <f>HYPERLINK("http://amigo.geneontology.org/amigo/term/GO:0044364","GO:0044364")</f>
        <v>GO:0044364</v>
      </c>
      <c r="D82" t="s">
        <v>10517</v>
      </c>
      <c r="E82">
        <v>37</v>
      </c>
      <c r="F82">
        <v>6</v>
      </c>
      <c r="G82" s="4">
        <v>2.6646231866623898E-4</v>
      </c>
      <c r="H82">
        <v>1.6520663757306799E-2</v>
      </c>
      <c r="I82" t="s">
        <v>10518</v>
      </c>
    </row>
    <row r="83" spans="1:9" x14ac:dyDescent="0.25">
      <c r="A83" t="s">
        <v>10519</v>
      </c>
      <c r="C83" s="3" t="str">
        <f>HYPERLINK("http://amigo.geneontology.org/amigo/term/GO:0031640","GO:0031640")</f>
        <v>GO:0031640</v>
      </c>
      <c r="D83" t="s">
        <v>10520</v>
      </c>
      <c r="E83">
        <v>37</v>
      </c>
      <c r="F83">
        <v>6</v>
      </c>
      <c r="G83" s="4">
        <v>2.6646231866623898E-4</v>
      </c>
      <c r="H83">
        <v>1.6787126075973099E-2</v>
      </c>
      <c r="I83" t="s">
        <v>10518</v>
      </c>
    </row>
    <row r="84" spans="1:9" x14ac:dyDescent="0.25">
      <c r="A84" t="s">
        <v>10521</v>
      </c>
      <c r="C84" s="3" t="str">
        <f>HYPERLINK("http://amigo.geneontology.org/amigo/term/GO:0008863","GO:0008863")</f>
        <v>GO:0008863</v>
      </c>
      <c r="D84" t="s">
        <v>10522</v>
      </c>
      <c r="E84">
        <v>6</v>
      </c>
      <c r="F84">
        <v>3</v>
      </c>
      <c r="G84" s="4">
        <v>2.8154510835173201E-4</v>
      </c>
      <c r="H84">
        <v>1.7174251609455599E-2</v>
      </c>
      <c r="I84" t="s">
        <v>10523</v>
      </c>
    </row>
    <row r="85" spans="1:9" x14ac:dyDescent="0.25">
      <c r="A85" t="s">
        <v>10524</v>
      </c>
      <c r="C85" s="3" t="str">
        <f>HYPERLINK("http://amigo.geneontology.org/amigo/term/GO:0051336","GO:0051336")</f>
        <v>GO:0051336</v>
      </c>
      <c r="D85" t="s">
        <v>7071</v>
      </c>
      <c r="E85">
        <v>148</v>
      </c>
      <c r="F85">
        <v>12</v>
      </c>
      <c r="G85" s="4">
        <v>3.21585829396562E-4</v>
      </c>
      <c r="H85">
        <v>1.9616735593190299E-2</v>
      </c>
      <c r="I85" t="s">
        <v>10454</v>
      </c>
    </row>
    <row r="86" spans="1:9" x14ac:dyDescent="0.25">
      <c r="A86" t="s">
        <v>10525</v>
      </c>
      <c r="C86" s="3" t="str">
        <f>HYPERLINK("http://amigo.geneontology.org/amigo/term/GO:0009832","GO:0009832")</f>
        <v>GO:0009832</v>
      </c>
      <c r="D86" t="s">
        <v>10526</v>
      </c>
      <c r="E86">
        <v>109</v>
      </c>
      <c r="F86">
        <v>10</v>
      </c>
      <c r="G86" s="4">
        <v>3.7388889635174902E-4</v>
      </c>
      <c r="H86">
        <v>2.2433333781104899E-2</v>
      </c>
      <c r="I86" t="s">
        <v>10527</v>
      </c>
    </row>
    <row r="87" spans="1:9" x14ac:dyDescent="0.25">
      <c r="A87" t="s">
        <v>10528</v>
      </c>
      <c r="C87" s="3" t="str">
        <f>HYPERLINK("http://amigo.geneontology.org/amigo/term/GO:0042546","GO:0042546")</f>
        <v>GO:0042546</v>
      </c>
      <c r="D87" t="s">
        <v>648</v>
      </c>
      <c r="E87">
        <v>399</v>
      </c>
      <c r="F87">
        <v>22</v>
      </c>
      <c r="G87" s="4">
        <v>4.4260601441031101E-4</v>
      </c>
      <c r="H87">
        <v>2.6113754850208299E-2</v>
      </c>
      <c r="I87" t="s">
        <v>10529</v>
      </c>
    </row>
    <row r="88" spans="1:9" x14ac:dyDescent="0.25">
      <c r="A88" t="s">
        <v>8694</v>
      </c>
      <c r="C88" s="3" t="str">
        <f>HYPERLINK("http://amigo.geneontology.org/amigo/term/GO:0071555","GO:0071555")</f>
        <v>GO:0071555</v>
      </c>
      <c r="D88" t="s">
        <v>194</v>
      </c>
      <c r="E88">
        <v>577</v>
      </c>
      <c r="F88">
        <v>28</v>
      </c>
      <c r="G88" s="4">
        <v>6.2934654756434697E-4</v>
      </c>
      <c r="H88">
        <v>3.6502099758732101E-2</v>
      </c>
      <c r="I88" t="s">
        <v>10530</v>
      </c>
    </row>
    <row r="89" spans="1:9" x14ac:dyDescent="0.25">
      <c r="A89" t="s">
        <v>10531</v>
      </c>
      <c r="C89" s="3" t="str">
        <f>HYPERLINK("http://amigo.geneontology.org/amigo/term/GO:0045229","GO:0045229")</f>
        <v>GO:0045229</v>
      </c>
      <c r="D89" t="s">
        <v>197</v>
      </c>
      <c r="E89">
        <v>609</v>
      </c>
      <c r="F89">
        <v>29</v>
      </c>
      <c r="G89" s="4">
        <v>6.8450271315656497E-4</v>
      </c>
      <c r="H89">
        <v>3.9016654649924203E-2</v>
      </c>
      <c r="I89" t="s">
        <v>10532</v>
      </c>
    </row>
    <row r="90" spans="1:9" x14ac:dyDescent="0.25">
      <c r="A90" t="s">
        <v>10533</v>
      </c>
      <c r="C90" s="3" t="str">
        <f>HYPERLINK("http://amigo.geneontology.org/amigo/term/GO:0003676","GO:0003676")</f>
        <v>GO:0003676</v>
      </c>
      <c r="D90" t="s">
        <v>6865</v>
      </c>
      <c r="E90">
        <v>12098</v>
      </c>
      <c r="F90">
        <v>349</v>
      </c>
      <c r="G90" s="4">
        <v>7.3016722124553003E-4</v>
      </c>
      <c r="H90">
        <v>4.16195316109952E-2</v>
      </c>
      <c r="I90" t="s">
        <v>10534</v>
      </c>
    </row>
    <row r="91" spans="1:9" x14ac:dyDescent="0.25">
      <c r="A91" t="s">
        <v>10535</v>
      </c>
      <c r="C91" s="3" t="str">
        <f>HYPERLINK("http://amigo.geneontology.org/amigo/term/GO:0004867","GO:0004867")</f>
        <v>GO:0004867</v>
      </c>
      <c r="D91" t="s">
        <v>7084</v>
      </c>
      <c r="E91">
        <v>335</v>
      </c>
      <c r="F91">
        <v>19</v>
      </c>
      <c r="G91" s="4">
        <v>7.5162318090129599E-4</v>
      </c>
      <c r="H91">
        <v>4.20908981304726E-2</v>
      </c>
      <c r="I91" t="s">
        <v>10536</v>
      </c>
    </row>
    <row r="92" spans="1:9" x14ac:dyDescent="0.25">
      <c r="A92" t="s">
        <v>8883</v>
      </c>
      <c r="C92" s="3" t="str">
        <f>HYPERLINK("http://amigo.geneontology.org/amigo/term/GO:0015645","GO:0015645")</f>
        <v>GO:0015645</v>
      </c>
      <c r="D92" t="s">
        <v>10537</v>
      </c>
      <c r="E92">
        <v>8</v>
      </c>
      <c r="F92">
        <v>3</v>
      </c>
      <c r="G92" s="4">
        <v>7.5966117969662999E-4</v>
      </c>
      <c r="H92">
        <v>4.1781364883314701E-2</v>
      </c>
      <c r="I92" t="s">
        <v>10507</v>
      </c>
    </row>
    <row r="93" spans="1:9" x14ac:dyDescent="0.25">
      <c r="A93" t="s">
        <v>10538</v>
      </c>
      <c r="C93" s="3" t="str">
        <f>HYPERLINK("http://amigo.geneontology.org/amigo/term/GO:0004467","GO:0004467")</f>
        <v>GO:0004467</v>
      </c>
      <c r="D93" t="s">
        <v>10539</v>
      </c>
      <c r="E93">
        <v>8</v>
      </c>
      <c r="F93">
        <v>3</v>
      </c>
      <c r="G93" s="4">
        <v>7.5966117969662999E-4</v>
      </c>
      <c r="H93">
        <v>4.1781364883314701E-2</v>
      </c>
      <c r="I93" t="s">
        <v>10507</v>
      </c>
    </row>
    <row r="94" spans="1:9" x14ac:dyDescent="0.25">
      <c r="A94" t="s">
        <v>10540</v>
      </c>
      <c r="C94" s="3" t="str">
        <f>HYPERLINK("http://amigo.geneontology.org/amigo/term/GO:0016892","GO:0016892")</f>
        <v>GO:0016892</v>
      </c>
      <c r="D94" t="s">
        <v>9605</v>
      </c>
      <c r="E94">
        <v>30</v>
      </c>
      <c r="F94">
        <v>5</v>
      </c>
      <c r="G94" s="4">
        <v>7.6646805270413302E-4</v>
      </c>
      <c r="H94">
        <v>4.13892748460232E-2</v>
      </c>
      <c r="I94" t="s">
        <v>10512</v>
      </c>
    </row>
    <row r="95" spans="1:9" x14ac:dyDescent="0.25">
      <c r="A95" t="s">
        <v>10541</v>
      </c>
      <c r="C95" s="3" t="str">
        <f>HYPERLINK("http://amigo.geneontology.org/amigo/term/GO:0005875","GO:0005875")</f>
        <v>GO:0005875</v>
      </c>
      <c r="D95" t="s">
        <v>1470</v>
      </c>
      <c r="E95">
        <v>188</v>
      </c>
      <c r="F95">
        <v>13</v>
      </c>
      <c r="G95" s="4">
        <v>8.4599672473646605E-4</v>
      </c>
      <c r="H95">
        <v>4.4837826411032698E-2</v>
      </c>
      <c r="I95" t="s">
        <v>10476</v>
      </c>
    </row>
    <row r="96" spans="1:9" x14ac:dyDescent="0.25">
      <c r="A96" t="s">
        <v>10542</v>
      </c>
      <c r="C96" s="3" t="str">
        <f>HYPERLINK("http://amigo.geneontology.org/amigo/term/GO:0016160","GO:0016160")</f>
        <v>GO:0016160</v>
      </c>
      <c r="D96" t="s">
        <v>692</v>
      </c>
      <c r="E96">
        <v>65</v>
      </c>
      <c r="F96">
        <v>7</v>
      </c>
      <c r="G96">
        <v>1.0846513126867099E-3</v>
      </c>
      <c r="H96">
        <v>5.74865195723957E-2</v>
      </c>
      <c r="I96" t="s">
        <v>10543</v>
      </c>
    </row>
    <row r="97" spans="1:9" x14ac:dyDescent="0.25">
      <c r="A97" t="s">
        <v>10544</v>
      </c>
      <c r="C97" s="3" t="str">
        <f>HYPERLINK("http://amigo.geneontology.org/amigo/term/GO:0006511","GO:0006511")</f>
        <v>GO:0006511</v>
      </c>
      <c r="D97" t="s">
        <v>10545</v>
      </c>
      <c r="E97">
        <v>658</v>
      </c>
      <c r="F97">
        <v>30</v>
      </c>
      <c r="G97">
        <v>1.10803842995789E-3</v>
      </c>
      <c r="H97">
        <v>5.76179983578105E-2</v>
      </c>
      <c r="I97" t="s">
        <v>10546</v>
      </c>
    </row>
    <row r="98" spans="1:9" x14ac:dyDescent="0.25">
      <c r="A98" t="s">
        <v>10547</v>
      </c>
      <c r="C98" s="3" t="str">
        <f>HYPERLINK("http://amigo.geneontology.org/amigo/term/GO:0008017","GO:0008017")</f>
        <v>GO:0008017</v>
      </c>
      <c r="D98" t="s">
        <v>5862</v>
      </c>
      <c r="E98">
        <v>244</v>
      </c>
      <c r="F98">
        <v>15</v>
      </c>
      <c r="G98">
        <v>1.1760061117092799E-3</v>
      </c>
      <c r="H98">
        <v>5.99763116971734E-2</v>
      </c>
      <c r="I98" t="s">
        <v>10468</v>
      </c>
    </row>
    <row r="99" spans="1:9" x14ac:dyDescent="0.25">
      <c r="A99" t="s">
        <v>10548</v>
      </c>
      <c r="C99" s="3" t="str">
        <f>HYPERLINK("http://amigo.geneontology.org/amigo/term/GO:0043632","GO:0043632")</f>
        <v>GO:0043632</v>
      </c>
      <c r="D99" t="s">
        <v>10549</v>
      </c>
      <c r="E99">
        <v>663</v>
      </c>
      <c r="F99">
        <v>30</v>
      </c>
      <c r="G99">
        <v>1.2443215876298301E-3</v>
      </c>
      <c r="H99">
        <v>6.2216079381491797E-2</v>
      </c>
      <c r="I99" t="s">
        <v>10546</v>
      </c>
    </row>
    <row r="100" spans="1:9" x14ac:dyDescent="0.25">
      <c r="A100" t="s">
        <v>10550</v>
      </c>
      <c r="C100" s="3" t="str">
        <f>HYPERLINK("http://amigo.geneontology.org/amigo/term/GO:0019941","GO:0019941")</f>
        <v>GO:0019941</v>
      </c>
      <c r="D100" t="s">
        <v>10551</v>
      </c>
      <c r="E100">
        <v>663</v>
      </c>
      <c r="F100">
        <v>30</v>
      </c>
      <c r="G100">
        <v>1.2443215876298301E-3</v>
      </c>
      <c r="H100">
        <v>6.34604009691217E-2</v>
      </c>
      <c r="I100" t="s">
        <v>10546</v>
      </c>
    </row>
    <row r="101" spans="1:9" x14ac:dyDescent="0.25">
      <c r="A101" t="s">
        <v>10552</v>
      </c>
      <c r="C101" s="3" t="str">
        <f>HYPERLINK("http://amigo.geneontology.org/amigo/term/GO:0010214","GO:0010214")</f>
        <v>GO:0010214</v>
      </c>
      <c r="D101" t="s">
        <v>9982</v>
      </c>
      <c r="E101">
        <v>20</v>
      </c>
      <c r="F101">
        <v>4</v>
      </c>
      <c r="G101">
        <v>1.2926074349337E-3</v>
      </c>
      <c r="H101">
        <v>6.4630371746685303E-2</v>
      </c>
      <c r="I101" t="s">
        <v>10553</v>
      </c>
    </row>
    <row r="102" spans="1:9" x14ac:dyDescent="0.25">
      <c r="A102" t="s">
        <v>10554</v>
      </c>
      <c r="C102" s="3" t="str">
        <f>HYPERLINK("http://amigo.geneontology.org/amigo/term/GO:0044210","GO:0044210")</f>
        <v>GO:0044210</v>
      </c>
      <c r="D102" t="s">
        <v>8789</v>
      </c>
      <c r="E102">
        <v>10</v>
      </c>
      <c r="F102">
        <v>3</v>
      </c>
      <c r="G102">
        <v>1.5688023749981901E-3</v>
      </c>
      <c r="H102">
        <v>7.6871316374911694E-2</v>
      </c>
      <c r="I102" t="s">
        <v>10555</v>
      </c>
    </row>
    <row r="103" spans="1:9" x14ac:dyDescent="0.25">
      <c r="A103" t="s">
        <v>10556</v>
      </c>
      <c r="C103" s="3" t="str">
        <f>HYPERLINK("http://amigo.geneontology.org/amigo/term/GO:0009957","GO:0009957")</f>
        <v>GO:0009957</v>
      </c>
      <c r="D103" t="s">
        <v>10557</v>
      </c>
      <c r="E103">
        <v>10</v>
      </c>
      <c r="F103">
        <v>3</v>
      </c>
      <c r="G103">
        <v>1.5688023749981901E-3</v>
      </c>
      <c r="H103">
        <v>7.6871316374911694E-2</v>
      </c>
      <c r="I103" t="s">
        <v>10558</v>
      </c>
    </row>
    <row r="104" spans="1:9" x14ac:dyDescent="0.25">
      <c r="A104" t="s">
        <v>10559</v>
      </c>
      <c r="C104" s="3" t="str">
        <f>HYPERLINK("http://amigo.geneontology.org/amigo/term/GO:0051248","GO:0051248")</f>
        <v>GO:0051248</v>
      </c>
      <c r="D104" t="s">
        <v>6227</v>
      </c>
      <c r="E104">
        <v>228</v>
      </c>
      <c r="F104">
        <v>14</v>
      </c>
      <c r="G104">
        <v>1.70560014960042E-3</v>
      </c>
      <c r="H104">
        <v>8.1868807180820097E-2</v>
      </c>
      <c r="I104" t="s">
        <v>10560</v>
      </c>
    </row>
    <row r="105" spans="1:9" x14ac:dyDescent="0.25">
      <c r="A105" t="s">
        <v>10561</v>
      </c>
      <c r="C105" s="3" t="str">
        <f>HYPERLINK("http://amigo.geneontology.org/amigo/term/GO:0032269","GO:0032269")</f>
        <v>GO:0032269</v>
      </c>
      <c r="D105" t="s">
        <v>6230</v>
      </c>
      <c r="E105">
        <v>228</v>
      </c>
      <c r="F105">
        <v>14</v>
      </c>
      <c r="G105">
        <v>1.70560014960042E-3</v>
      </c>
      <c r="H105">
        <v>8.1868807180820097E-2</v>
      </c>
      <c r="I105" t="s">
        <v>10560</v>
      </c>
    </row>
    <row r="106" spans="1:9" x14ac:dyDescent="0.25">
      <c r="A106" t="s">
        <v>10562</v>
      </c>
      <c r="C106" s="3" t="str">
        <f>HYPERLINK("http://amigo.geneontology.org/amigo/term/GO:0050790","GO:0050790")</f>
        <v>GO:0050790</v>
      </c>
      <c r="D106" t="s">
        <v>1064</v>
      </c>
      <c r="E106">
        <v>622</v>
      </c>
      <c r="F106">
        <v>28</v>
      </c>
      <c r="G106">
        <v>1.90531657160374E-3</v>
      </c>
      <c r="H106">
        <v>8.9549878865376201E-2</v>
      </c>
      <c r="I106" t="s">
        <v>10563</v>
      </c>
    </row>
    <row r="107" spans="1:9" x14ac:dyDescent="0.25">
      <c r="A107" t="s">
        <v>10564</v>
      </c>
      <c r="C107" s="3" t="str">
        <f>HYPERLINK("http://amigo.geneontology.org/amigo/term/GO:0004175","GO:0004175")</f>
        <v>GO:0004175</v>
      </c>
      <c r="D107" t="s">
        <v>4314</v>
      </c>
      <c r="E107">
        <v>1198</v>
      </c>
      <c r="F107">
        <v>46</v>
      </c>
      <c r="G107">
        <v>2.39019438140503E-3</v>
      </c>
      <c r="H107">
        <v>0.112339135926036</v>
      </c>
      <c r="I107" t="s">
        <v>10565</v>
      </c>
    </row>
    <row r="108" spans="1:9" x14ac:dyDescent="0.25">
      <c r="A108" t="s">
        <v>10566</v>
      </c>
      <c r="C108" s="3" t="str">
        <f>HYPERLINK("http://amigo.geneontology.org/amigo/term/GO:0004097","GO:0004097")</f>
        <v>GO:0004097</v>
      </c>
      <c r="D108" t="s">
        <v>1507</v>
      </c>
      <c r="E108">
        <v>24</v>
      </c>
      <c r="F108">
        <v>4</v>
      </c>
      <c r="G108">
        <v>2.6217468954596299E-3</v>
      </c>
      <c r="H108">
        <v>0.120600357191143</v>
      </c>
      <c r="I108" t="s">
        <v>10567</v>
      </c>
    </row>
    <row r="109" spans="1:9" x14ac:dyDescent="0.25">
      <c r="A109" t="s">
        <v>10568</v>
      </c>
      <c r="C109" s="3" t="str">
        <f>HYPERLINK("http://amigo.geneontology.org/amigo/term/GO:0008083","GO:0008083")</f>
        <v>GO:0008083</v>
      </c>
      <c r="D109" t="s">
        <v>32</v>
      </c>
      <c r="E109">
        <v>12</v>
      </c>
      <c r="F109">
        <v>3</v>
      </c>
      <c r="G109">
        <v>2.7720832420501098E-3</v>
      </c>
      <c r="H109">
        <v>0.124743745892255</v>
      </c>
      <c r="I109" t="s">
        <v>9567</v>
      </c>
    </row>
    <row r="110" spans="1:9" x14ac:dyDescent="0.25">
      <c r="A110" t="s">
        <v>10569</v>
      </c>
      <c r="C110" s="3" t="str">
        <f>HYPERLINK("http://amigo.geneontology.org/amigo/term/GO:0030855","GO:0030855")</f>
        <v>GO:0030855</v>
      </c>
      <c r="D110" t="s">
        <v>10570</v>
      </c>
      <c r="E110">
        <v>12</v>
      </c>
      <c r="F110">
        <v>3</v>
      </c>
      <c r="G110">
        <v>2.7720832420501098E-3</v>
      </c>
      <c r="H110">
        <v>0.124743745892255</v>
      </c>
      <c r="I110" t="s">
        <v>10558</v>
      </c>
    </row>
    <row r="111" spans="1:9" x14ac:dyDescent="0.25">
      <c r="A111" t="s">
        <v>10571</v>
      </c>
      <c r="C111" s="3" t="str">
        <f>HYPERLINK("http://amigo.geneontology.org/amigo/term/GO:0009913","GO:0009913")</f>
        <v>GO:0009913</v>
      </c>
      <c r="D111" t="s">
        <v>10572</v>
      </c>
      <c r="E111">
        <v>12</v>
      </c>
      <c r="F111">
        <v>3</v>
      </c>
      <c r="G111">
        <v>2.7720832420501098E-3</v>
      </c>
      <c r="H111">
        <v>0.12751582913430501</v>
      </c>
      <c r="I111" t="s">
        <v>10558</v>
      </c>
    </row>
    <row r="112" spans="1:9" x14ac:dyDescent="0.25">
      <c r="A112" t="s">
        <v>10573</v>
      </c>
      <c r="C112" s="3" t="str">
        <f>HYPERLINK("http://amigo.geneontology.org/amigo/term/GO:0044265","GO:0044265")</f>
        <v>GO:0044265</v>
      </c>
      <c r="D112" t="s">
        <v>10574</v>
      </c>
      <c r="E112">
        <v>955</v>
      </c>
      <c r="F112">
        <v>38</v>
      </c>
      <c r="G112">
        <v>3.0381643442314102E-3</v>
      </c>
      <c r="H112">
        <v>0.13367923114618199</v>
      </c>
      <c r="I112" t="s">
        <v>10575</v>
      </c>
    </row>
    <row r="113" spans="1:9" x14ac:dyDescent="0.25">
      <c r="A113" t="s">
        <v>10576</v>
      </c>
      <c r="C113" s="3" t="str">
        <f>HYPERLINK("http://amigo.geneontology.org/amigo/term/GO:0065009","GO:0065009")</f>
        <v>GO:0065009</v>
      </c>
      <c r="D113" t="s">
        <v>879</v>
      </c>
      <c r="E113">
        <v>647</v>
      </c>
      <c r="F113">
        <v>28</v>
      </c>
      <c r="G113">
        <v>3.29946050526284E-3</v>
      </c>
      <c r="H113">
        <v>0.14517626223156499</v>
      </c>
      <c r="I113" t="s">
        <v>10563</v>
      </c>
    </row>
    <row r="114" spans="1:9" x14ac:dyDescent="0.25">
      <c r="A114" t="s">
        <v>10577</v>
      </c>
      <c r="C114" s="3" t="str">
        <f>HYPERLINK("http://amigo.geneontology.org/amigo/term/GO:0015942","GO:0015942")</f>
        <v>GO:0015942</v>
      </c>
      <c r="D114" t="s">
        <v>10578</v>
      </c>
      <c r="E114">
        <v>4</v>
      </c>
      <c r="F114">
        <v>2</v>
      </c>
      <c r="G114">
        <v>3.51439690016044E-3</v>
      </c>
      <c r="H114">
        <v>0.15111906670689901</v>
      </c>
      <c r="I114" t="s">
        <v>10579</v>
      </c>
    </row>
    <row r="115" spans="1:9" x14ac:dyDescent="0.25">
      <c r="A115" t="s">
        <v>10580</v>
      </c>
      <c r="C115" s="3" t="str">
        <f>HYPERLINK("http://amigo.geneontology.org/amigo/term/GO:0042183","GO:0042183")</f>
        <v>GO:0042183</v>
      </c>
      <c r="D115" t="s">
        <v>10581</v>
      </c>
      <c r="E115">
        <v>4</v>
      </c>
      <c r="F115">
        <v>2</v>
      </c>
      <c r="G115">
        <v>3.51439690016044E-3</v>
      </c>
      <c r="H115">
        <v>0.15111906670689901</v>
      </c>
      <c r="I115" t="s">
        <v>10579</v>
      </c>
    </row>
    <row r="116" spans="1:9" x14ac:dyDescent="0.25">
      <c r="A116" t="s">
        <v>10582</v>
      </c>
      <c r="C116" s="3" t="str">
        <f>HYPERLINK("http://amigo.geneontology.org/amigo/term/GO:0060429","GO:0060429")</f>
        <v>GO:0060429</v>
      </c>
      <c r="D116" t="s">
        <v>10583</v>
      </c>
      <c r="E116">
        <v>13</v>
      </c>
      <c r="F116">
        <v>3</v>
      </c>
      <c r="G116">
        <v>3.5380469278827298E-3</v>
      </c>
      <c r="H116">
        <v>0.14505992404319101</v>
      </c>
      <c r="I116" t="s">
        <v>10558</v>
      </c>
    </row>
    <row r="117" spans="1:9" x14ac:dyDescent="0.25">
      <c r="A117" t="s">
        <v>10584</v>
      </c>
      <c r="C117" s="3" t="str">
        <f>HYPERLINK("http://amigo.geneontology.org/amigo/term/GO:0008544","GO:0008544")</f>
        <v>GO:0008544</v>
      </c>
      <c r="D117" t="s">
        <v>10585</v>
      </c>
      <c r="E117">
        <v>13</v>
      </c>
      <c r="F117">
        <v>3</v>
      </c>
      <c r="G117">
        <v>3.5380469278827298E-3</v>
      </c>
      <c r="H117">
        <v>0.14505992404319101</v>
      </c>
      <c r="I117" t="s">
        <v>10558</v>
      </c>
    </row>
    <row r="118" spans="1:9" x14ac:dyDescent="0.25">
      <c r="A118" t="s">
        <v>8186</v>
      </c>
      <c r="C118" s="3" t="str">
        <f>HYPERLINK("http://amigo.geneontology.org/amigo/term/GO:0010166","GO:0010166")</f>
        <v>GO:0010166</v>
      </c>
      <c r="D118" t="s">
        <v>6788</v>
      </c>
      <c r="E118">
        <v>13</v>
      </c>
      <c r="F118">
        <v>3</v>
      </c>
      <c r="G118">
        <v>3.5380469278827298E-3</v>
      </c>
      <c r="H118">
        <v>0.14859797097107399</v>
      </c>
      <c r="I118" t="s">
        <v>10507</v>
      </c>
    </row>
    <row r="119" spans="1:9" x14ac:dyDescent="0.25">
      <c r="A119" t="s">
        <v>10586</v>
      </c>
      <c r="C119" s="3" t="str">
        <f>HYPERLINK("http://amigo.geneontology.org/amigo/term/GO:0010025","GO:0010025")</f>
        <v>GO:0010025</v>
      </c>
      <c r="D119" t="s">
        <v>6790</v>
      </c>
      <c r="E119">
        <v>13</v>
      </c>
      <c r="F119">
        <v>3</v>
      </c>
      <c r="G119">
        <v>3.5380469278827298E-3</v>
      </c>
      <c r="H119">
        <v>0.14859797097107399</v>
      </c>
      <c r="I119" t="s">
        <v>10507</v>
      </c>
    </row>
    <row r="120" spans="1:9" x14ac:dyDescent="0.25">
      <c r="A120" t="s">
        <v>10587</v>
      </c>
      <c r="C120" s="3" t="str">
        <f>HYPERLINK("http://amigo.geneontology.org/amigo/term/GO:0003830","GO:0003830")</f>
        <v>GO:0003830</v>
      </c>
      <c r="D120" t="s">
        <v>10588</v>
      </c>
      <c r="E120">
        <v>13</v>
      </c>
      <c r="F120">
        <v>3</v>
      </c>
      <c r="G120">
        <v>3.5380469278827298E-3</v>
      </c>
      <c r="H120">
        <v>0.152136017898957</v>
      </c>
      <c r="I120" t="s">
        <v>10589</v>
      </c>
    </row>
    <row r="121" spans="1:9" x14ac:dyDescent="0.25">
      <c r="A121" t="s">
        <v>10590</v>
      </c>
      <c r="C121" s="3" t="str">
        <f>HYPERLINK("http://amigo.geneontology.org/amigo/term/GO:0031418","GO:0031418")</f>
        <v>GO:0031418</v>
      </c>
      <c r="D121" t="s">
        <v>10591</v>
      </c>
      <c r="E121">
        <v>42</v>
      </c>
      <c r="F121">
        <v>5</v>
      </c>
      <c r="G121">
        <v>3.58738450154956E-3</v>
      </c>
      <c r="H121">
        <v>0.147082764563532</v>
      </c>
      <c r="I121" t="s">
        <v>10592</v>
      </c>
    </row>
    <row r="122" spans="1:9" x14ac:dyDescent="0.25">
      <c r="A122" t="s">
        <v>10593</v>
      </c>
      <c r="C122" s="3" t="str">
        <f>HYPERLINK("http://amigo.geneontology.org/amigo/term/GO:0015631","GO:0015631")</f>
        <v>GO:0015631</v>
      </c>
      <c r="D122" t="s">
        <v>5864</v>
      </c>
      <c r="E122">
        <v>275</v>
      </c>
      <c r="F122">
        <v>15</v>
      </c>
      <c r="G122">
        <v>3.70335069577478E-3</v>
      </c>
      <c r="H122">
        <v>0.148134027830991</v>
      </c>
      <c r="I122" t="s">
        <v>10468</v>
      </c>
    </row>
    <row r="123" spans="1:9" x14ac:dyDescent="0.25">
      <c r="A123" t="s">
        <v>10594</v>
      </c>
      <c r="C123" s="3" t="str">
        <f>HYPERLINK("http://amigo.geneontology.org/amigo/term/GO:0016894","GO:0016894")</f>
        <v>GO:0016894</v>
      </c>
      <c r="D123" t="s">
        <v>9616</v>
      </c>
      <c r="E123">
        <v>44</v>
      </c>
      <c r="F123">
        <v>5</v>
      </c>
      <c r="G123">
        <v>4.39874706401775E-3</v>
      </c>
      <c r="H123">
        <v>0.17594988256071001</v>
      </c>
      <c r="I123" t="s">
        <v>10512</v>
      </c>
    </row>
    <row r="124" spans="1:9" x14ac:dyDescent="0.25">
      <c r="A124" t="s">
        <v>10595</v>
      </c>
      <c r="C124" s="3" t="str">
        <f>HYPERLINK("http://amigo.geneontology.org/amigo/term/GO:0005507","GO:0005507")</f>
        <v>GO:0005507</v>
      </c>
      <c r="D124" t="s">
        <v>767</v>
      </c>
      <c r="E124">
        <v>451</v>
      </c>
      <c r="F124">
        <v>21</v>
      </c>
      <c r="G124">
        <v>4.4957690001787096E-3</v>
      </c>
      <c r="H124">
        <v>0.175334991006969</v>
      </c>
      <c r="I124" t="s">
        <v>10596</v>
      </c>
    </row>
    <row r="125" spans="1:9" x14ac:dyDescent="0.25">
      <c r="A125" t="s">
        <v>10597</v>
      </c>
      <c r="C125" s="3" t="str">
        <f>HYPERLINK("http://amigo.geneontology.org/amigo/term/GO:0016878","GO:0016878")</f>
        <v>GO:0016878</v>
      </c>
      <c r="D125" t="s">
        <v>10598</v>
      </c>
      <c r="E125">
        <v>28</v>
      </c>
      <c r="F125">
        <v>4</v>
      </c>
      <c r="G125">
        <v>4.67323324898853E-3</v>
      </c>
      <c r="H125">
        <v>0.18225609671055201</v>
      </c>
      <c r="I125" t="s">
        <v>10599</v>
      </c>
    </row>
    <row r="126" spans="1:9" x14ac:dyDescent="0.25">
      <c r="A126" t="s">
        <v>8901</v>
      </c>
      <c r="C126" s="3" t="str">
        <f>HYPERLINK("http://amigo.geneontology.org/amigo/term/GO:0051603","GO:0051603")</f>
        <v>GO:0051603</v>
      </c>
      <c r="D126" t="s">
        <v>10600</v>
      </c>
      <c r="E126">
        <v>727</v>
      </c>
      <c r="F126">
        <v>30</v>
      </c>
      <c r="G126">
        <v>4.7504157226675604E-3</v>
      </c>
      <c r="H126">
        <v>0.18526621318403499</v>
      </c>
      <c r="I126" t="s">
        <v>10546</v>
      </c>
    </row>
    <row r="127" spans="1:9" x14ac:dyDescent="0.25">
      <c r="A127" t="s">
        <v>10601</v>
      </c>
      <c r="C127" s="3" t="str">
        <f>HYPERLINK("http://amigo.geneontology.org/amigo/term/GO:0009678","GO:0009678")</f>
        <v>GO:0009678</v>
      </c>
      <c r="D127" t="s">
        <v>10602</v>
      </c>
      <c r="E127">
        <v>15</v>
      </c>
      <c r="F127">
        <v>3</v>
      </c>
      <c r="G127">
        <v>5.4258582936019201E-3</v>
      </c>
      <c r="H127">
        <v>0.206182615156873</v>
      </c>
      <c r="I127" t="s">
        <v>10603</v>
      </c>
    </row>
    <row r="128" spans="1:9" x14ac:dyDescent="0.25">
      <c r="A128" t="s">
        <v>10604</v>
      </c>
      <c r="C128" s="3" t="str">
        <f>HYPERLINK("http://amigo.geneontology.org/amigo/term/GO:0003883","GO:0003883")</f>
        <v>GO:0003883</v>
      </c>
      <c r="D128" t="s">
        <v>8800</v>
      </c>
      <c r="E128">
        <v>15</v>
      </c>
      <c r="F128">
        <v>3</v>
      </c>
      <c r="G128">
        <v>5.4258582936019201E-3</v>
      </c>
      <c r="H128">
        <v>0.206182615156873</v>
      </c>
      <c r="I128" t="s">
        <v>10555</v>
      </c>
    </row>
    <row r="129" spans="1:9" x14ac:dyDescent="0.25">
      <c r="A129" t="s">
        <v>6998</v>
      </c>
      <c r="C129" s="3" t="str">
        <f>HYPERLINK("http://amigo.geneontology.org/amigo/term/GO:0003844","GO:0003844")</f>
        <v>GO:0003844</v>
      </c>
      <c r="D129" t="s">
        <v>10605</v>
      </c>
      <c r="E129">
        <v>15</v>
      </c>
      <c r="F129">
        <v>3</v>
      </c>
      <c r="G129">
        <v>5.4258582936019201E-3</v>
      </c>
      <c r="H129">
        <v>0.206182615156873</v>
      </c>
      <c r="I129" t="s">
        <v>10606</v>
      </c>
    </row>
    <row r="130" spans="1:9" x14ac:dyDescent="0.25">
      <c r="A130" t="s">
        <v>10607</v>
      </c>
      <c r="C130" s="3" t="str">
        <f>HYPERLINK("http://amigo.geneontology.org/amigo/term/GO:0009620","GO:0009620")</f>
        <v>GO:0009620</v>
      </c>
      <c r="D130" t="s">
        <v>9055</v>
      </c>
      <c r="E130">
        <v>260</v>
      </c>
      <c r="F130">
        <v>14</v>
      </c>
      <c r="G130">
        <v>5.5190553737498402E-3</v>
      </c>
      <c r="H130">
        <v>0.20420504882874399</v>
      </c>
      <c r="I130" t="s">
        <v>10608</v>
      </c>
    </row>
    <row r="131" spans="1:9" x14ac:dyDescent="0.25">
      <c r="A131" t="s">
        <v>10609</v>
      </c>
      <c r="C131" s="3" t="str">
        <f>HYPERLINK("http://amigo.geneontology.org/amigo/term/GO:0044257","GO:0044257")</f>
        <v>GO:0044257</v>
      </c>
      <c r="D131" t="s">
        <v>10610</v>
      </c>
      <c r="E131">
        <v>742</v>
      </c>
      <c r="F131">
        <v>30</v>
      </c>
      <c r="G131">
        <v>6.2743407731819297E-3</v>
      </c>
      <c r="H131">
        <v>0.23215060860773101</v>
      </c>
      <c r="I131" t="s">
        <v>10546</v>
      </c>
    </row>
    <row r="132" spans="1:9" x14ac:dyDescent="0.25">
      <c r="A132" t="s">
        <v>7001</v>
      </c>
      <c r="C132" s="3" t="str">
        <f>HYPERLINK("http://amigo.geneontology.org/amigo/term/GO:0008762","GO:0008762")</f>
        <v>GO:0008762</v>
      </c>
      <c r="D132" t="s">
        <v>5623</v>
      </c>
      <c r="E132">
        <v>48</v>
      </c>
      <c r="F132">
        <v>5</v>
      </c>
      <c r="G132">
        <v>6.3989402306645297E-3</v>
      </c>
      <c r="H132">
        <v>0.23676078853458701</v>
      </c>
      <c r="I132" t="s">
        <v>10611</v>
      </c>
    </row>
    <row r="133" spans="1:9" x14ac:dyDescent="0.25">
      <c r="A133" t="s">
        <v>7003</v>
      </c>
      <c r="C133" s="3" t="str">
        <f>HYPERLINK("http://amigo.geneontology.org/amigo/term/GO:0030545","GO:0030545")</f>
        <v>GO:0030545</v>
      </c>
      <c r="D133" t="s">
        <v>35</v>
      </c>
      <c r="E133">
        <v>16</v>
      </c>
      <c r="F133">
        <v>3</v>
      </c>
      <c r="G133">
        <v>6.5567811432303801E-3</v>
      </c>
      <c r="H133">
        <v>0.236044121156293</v>
      </c>
      <c r="I133" t="s">
        <v>9567</v>
      </c>
    </row>
    <row r="134" spans="1:9" x14ac:dyDescent="0.25">
      <c r="A134" t="s">
        <v>10612</v>
      </c>
      <c r="C134" s="3" t="str">
        <f>HYPERLINK("http://amigo.geneontology.org/amigo/term/GO:0048018","GO:0048018")</f>
        <v>GO:0048018</v>
      </c>
      <c r="D134" t="s">
        <v>37</v>
      </c>
      <c r="E134">
        <v>16</v>
      </c>
      <c r="F134">
        <v>3</v>
      </c>
      <c r="G134">
        <v>6.5567811432303801E-3</v>
      </c>
      <c r="H134">
        <v>0.236044121156293</v>
      </c>
      <c r="I134" t="s">
        <v>9567</v>
      </c>
    </row>
    <row r="135" spans="1:9" x14ac:dyDescent="0.25">
      <c r="A135" t="s">
        <v>10613</v>
      </c>
      <c r="C135" s="3" t="str">
        <f>HYPERLINK("http://amigo.geneontology.org/amigo/term/GO:0001676","GO:0001676")</f>
        <v>GO:0001676</v>
      </c>
      <c r="D135" t="s">
        <v>10614</v>
      </c>
      <c r="E135">
        <v>16</v>
      </c>
      <c r="F135">
        <v>3</v>
      </c>
      <c r="G135">
        <v>6.5567811432303801E-3</v>
      </c>
      <c r="H135">
        <v>0.242600902299524</v>
      </c>
      <c r="I135" t="s">
        <v>10507</v>
      </c>
    </row>
    <row r="136" spans="1:9" x14ac:dyDescent="0.25">
      <c r="A136" t="s">
        <v>10615</v>
      </c>
      <c r="C136" s="3" t="str">
        <f>HYPERLINK("http://amigo.geneontology.org/amigo/term/GO:0004185","GO:0004185")</f>
        <v>GO:0004185</v>
      </c>
      <c r="D136" t="s">
        <v>5892</v>
      </c>
      <c r="E136">
        <v>214</v>
      </c>
      <c r="F136">
        <v>12</v>
      </c>
      <c r="G136">
        <v>7.1725219168425197E-3</v>
      </c>
      <c r="H136">
        <v>0.25821078900633099</v>
      </c>
      <c r="I136" t="s">
        <v>10616</v>
      </c>
    </row>
    <row r="137" spans="1:9" x14ac:dyDescent="0.25">
      <c r="A137" t="s">
        <v>10617</v>
      </c>
      <c r="C137" s="3" t="str">
        <f>HYPERLINK("http://amigo.geneontology.org/amigo/term/GO:0002213","GO:0002213")</f>
        <v>GO:0002213</v>
      </c>
      <c r="D137" t="s">
        <v>7422</v>
      </c>
      <c r="E137">
        <v>17</v>
      </c>
      <c r="F137">
        <v>3</v>
      </c>
      <c r="G137">
        <v>7.8174986586995697E-3</v>
      </c>
      <c r="H137">
        <v>0.27361245305448501</v>
      </c>
      <c r="I137" t="s">
        <v>10507</v>
      </c>
    </row>
    <row r="138" spans="1:9" x14ac:dyDescent="0.25">
      <c r="A138" t="s">
        <v>10618</v>
      </c>
      <c r="C138" s="3" t="str">
        <f>HYPERLINK("http://amigo.geneontology.org/amigo/term/GO:0005618","GO:0005618")</f>
        <v>GO:0005618</v>
      </c>
      <c r="D138" t="s">
        <v>218</v>
      </c>
      <c r="E138">
        <v>446</v>
      </c>
      <c r="F138">
        <v>20</v>
      </c>
      <c r="G138">
        <v>8.1137280145135108E-3</v>
      </c>
      <c r="H138">
        <v>0.28398048050797298</v>
      </c>
      <c r="I138" t="s">
        <v>10619</v>
      </c>
    </row>
    <row r="139" spans="1:9" x14ac:dyDescent="0.25">
      <c r="A139" t="s">
        <v>10620</v>
      </c>
      <c r="C139" s="3" t="str">
        <f>HYPERLINK("http://amigo.geneontology.org/amigo/term/GO:0080190","GO:0080190")</f>
        <v>GO:0080190</v>
      </c>
      <c r="D139" t="s">
        <v>10621</v>
      </c>
      <c r="E139">
        <v>6</v>
      </c>
      <c r="F139">
        <v>2</v>
      </c>
      <c r="G139">
        <v>8.5018107112219098E-3</v>
      </c>
      <c r="H139">
        <v>0.29756337489276702</v>
      </c>
      <c r="I139" t="s">
        <v>10622</v>
      </c>
    </row>
    <row r="140" spans="1:9" x14ac:dyDescent="0.25">
      <c r="A140" t="s">
        <v>10623</v>
      </c>
      <c r="C140" s="3" t="str">
        <f>HYPERLINK("http://amigo.geneontology.org/amigo/term/GO:0080117","GO:0080117")</f>
        <v>GO:0080117</v>
      </c>
      <c r="D140" t="s">
        <v>10624</v>
      </c>
      <c r="E140">
        <v>6</v>
      </c>
      <c r="F140">
        <v>2</v>
      </c>
      <c r="G140">
        <v>8.5018107112219098E-3</v>
      </c>
      <c r="H140">
        <v>0.29756337489276702</v>
      </c>
      <c r="I140" t="s">
        <v>10622</v>
      </c>
    </row>
    <row r="141" spans="1:9" x14ac:dyDescent="0.25">
      <c r="A141" t="s">
        <v>10625</v>
      </c>
      <c r="C141" s="3" t="str">
        <f>HYPERLINK("http://amigo.geneontology.org/amigo/term/GO:0009055","GO:0009055")</f>
        <v>GO:0009055</v>
      </c>
      <c r="D141" t="s">
        <v>1069</v>
      </c>
      <c r="E141">
        <v>856</v>
      </c>
      <c r="F141">
        <v>33</v>
      </c>
      <c r="G141">
        <v>8.5172910203447395E-3</v>
      </c>
      <c r="H141">
        <v>0.28958789469172103</v>
      </c>
      <c r="I141" t="s">
        <v>10626</v>
      </c>
    </row>
    <row r="142" spans="1:9" x14ac:dyDescent="0.25">
      <c r="A142" t="s">
        <v>10627</v>
      </c>
      <c r="C142" s="3" t="str">
        <f>HYPERLINK("http://amigo.geneontology.org/amigo/term/GO:0052689","GO:0052689")</f>
        <v>GO:0052689</v>
      </c>
      <c r="D142" t="s">
        <v>267</v>
      </c>
      <c r="E142">
        <v>389</v>
      </c>
      <c r="F142">
        <v>18</v>
      </c>
      <c r="G142">
        <v>8.5941333700569195E-3</v>
      </c>
      <c r="H142">
        <v>0.29220053458193501</v>
      </c>
      <c r="I142" t="s">
        <v>10448</v>
      </c>
    </row>
    <row r="143" spans="1:9" x14ac:dyDescent="0.25">
      <c r="A143" t="s">
        <v>10628</v>
      </c>
      <c r="C143" s="3" t="str">
        <f>HYPERLINK("http://amigo.geneontology.org/amigo/term/GO:0016762","GO:0016762")</f>
        <v>GO:0016762</v>
      </c>
      <c r="D143" t="s">
        <v>332</v>
      </c>
      <c r="E143">
        <v>142</v>
      </c>
      <c r="F143">
        <v>9</v>
      </c>
      <c r="G143">
        <v>8.8047082103596408E-3</v>
      </c>
      <c r="H143">
        <v>0.29936007915222701</v>
      </c>
      <c r="I143" t="s">
        <v>10629</v>
      </c>
    </row>
    <row r="144" spans="1:9" x14ac:dyDescent="0.25">
      <c r="A144" t="s">
        <v>10630</v>
      </c>
      <c r="C144" s="3" t="str">
        <f>HYPERLINK("http://amigo.geneontology.org/amigo/term/GO:0030312","GO:0030312")</f>
        <v>GO:0030312</v>
      </c>
      <c r="D144" t="s">
        <v>209</v>
      </c>
      <c r="E144">
        <v>450</v>
      </c>
      <c r="F144">
        <v>20</v>
      </c>
      <c r="G144">
        <v>8.8933855549881494E-3</v>
      </c>
      <c r="H144">
        <v>0.29348172331460898</v>
      </c>
      <c r="I144" t="s">
        <v>10619</v>
      </c>
    </row>
    <row r="145" spans="1:9" x14ac:dyDescent="0.25">
      <c r="A145" t="s">
        <v>10631</v>
      </c>
      <c r="C145" s="3" t="str">
        <f>HYPERLINK("http://amigo.geneontology.org/amigo/term/GO:0005665","GO:0005665")</f>
        <v>GO:0005665</v>
      </c>
      <c r="D145" t="s">
        <v>8706</v>
      </c>
      <c r="E145">
        <v>18</v>
      </c>
      <c r="F145">
        <v>3</v>
      </c>
      <c r="G145">
        <v>9.2111950252514296E-3</v>
      </c>
      <c r="H145">
        <v>0.29475824080804502</v>
      </c>
      <c r="I145" t="s">
        <v>8707</v>
      </c>
    </row>
    <row r="146" spans="1:9" x14ac:dyDescent="0.25">
      <c r="A146" t="s">
        <v>10632</v>
      </c>
      <c r="C146" s="3" t="str">
        <f>HYPERLINK("http://amigo.geneontology.org/amigo/term/GO:0016864","GO:0016864")</f>
        <v>GO:0016864</v>
      </c>
      <c r="D146" t="s">
        <v>10633</v>
      </c>
      <c r="E146">
        <v>18</v>
      </c>
      <c r="F146">
        <v>3</v>
      </c>
      <c r="G146">
        <v>9.2111950252514296E-3</v>
      </c>
      <c r="H146">
        <v>0.29475824080804502</v>
      </c>
      <c r="I146" t="s">
        <v>10634</v>
      </c>
    </row>
    <row r="147" spans="1:9" x14ac:dyDescent="0.25">
      <c r="A147" t="s">
        <v>10635</v>
      </c>
      <c r="C147" s="3" t="str">
        <f>HYPERLINK("http://amigo.geneontology.org/amigo/term/GO:0003756","GO:0003756")</f>
        <v>GO:0003756</v>
      </c>
      <c r="D147" t="s">
        <v>10636</v>
      </c>
      <c r="E147">
        <v>18</v>
      </c>
      <c r="F147">
        <v>3</v>
      </c>
      <c r="G147">
        <v>9.2111950252514296E-3</v>
      </c>
      <c r="H147">
        <v>0.303969435833297</v>
      </c>
      <c r="I147" t="s">
        <v>10634</v>
      </c>
    </row>
    <row r="148" spans="1:9" x14ac:dyDescent="0.25">
      <c r="A148" t="s">
        <v>10637</v>
      </c>
      <c r="C148" s="3" t="str">
        <f>HYPERLINK("http://amigo.geneontology.org/amigo/term/GO:1901568","GO:1901568")</f>
        <v>GO:1901568</v>
      </c>
      <c r="D148" t="s">
        <v>10638</v>
      </c>
      <c r="E148">
        <v>18</v>
      </c>
      <c r="F148">
        <v>3</v>
      </c>
      <c r="G148">
        <v>9.2111950252514296E-3</v>
      </c>
      <c r="H148">
        <v>0.303969435833297</v>
      </c>
      <c r="I148" t="s">
        <v>10507</v>
      </c>
    </row>
    <row r="149" spans="1:9" x14ac:dyDescent="0.25">
      <c r="A149" t="s">
        <v>10639</v>
      </c>
      <c r="C149" s="3" t="str">
        <f>HYPERLINK("http://amigo.geneontology.org/amigo/term/GO:1901570","GO:1901570")</f>
        <v>GO:1901570</v>
      </c>
      <c r="D149" t="s">
        <v>10640</v>
      </c>
      <c r="E149">
        <v>18</v>
      </c>
      <c r="F149">
        <v>3</v>
      </c>
      <c r="G149">
        <v>9.2111950252514296E-3</v>
      </c>
      <c r="H149">
        <v>0.303969435833297</v>
      </c>
      <c r="I149" t="s">
        <v>10507</v>
      </c>
    </row>
    <row r="150" spans="1:9" x14ac:dyDescent="0.25">
      <c r="A150" t="s">
        <v>10641</v>
      </c>
      <c r="C150" s="3" t="str">
        <f>HYPERLINK("http://amigo.geneontology.org/amigo/term/GO:0007017","GO:0007017")</f>
        <v>GO:0007017</v>
      </c>
      <c r="D150" t="s">
        <v>5877</v>
      </c>
      <c r="E150">
        <v>452</v>
      </c>
      <c r="F150">
        <v>20</v>
      </c>
      <c r="G150">
        <v>9.3052737071119898E-3</v>
      </c>
      <c r="H150">
        <v>0.29776875862758301</v>
      </c>
      <c r="I150" t="s">
        <v>10642</v>
      </c>
    </row>
    <row r="151" spans="1:9" x14ac:dyDescent="0.25">
      <c r="A151" t="s">
        <v>10643</v>
      </c>
      <c r="C151" s="3" t="str">
        <f>HYPERLINK("http://amigo.geneontology.org/amigo/term/GO:0006465","GO:0006465")</f>
        <v>GO:0006465</v>
      </c>
      <c r="D151" t="s">
        <v>10644</v>
      </c>
      <c r="E151">
        <v>34</v>
      </c>
      <c r="F151">
        <v>4</v>
      </c>
      <c r="G151">
        <v>9.4228825784626307E-3</v>
      </c>
      <c r="H151">
        <v>0.30153224251080402</v>
      </c>
      <c r="I151" t="s">
        <v>10645</v>
      </c>
    </row>
    <row r="152" spans="1:9" x14ac:dyDescent="0.25">
      <c r="A152" t="s">
        <v>10646</v>
      </c>
      <c r="C152" s="3" t="str">
        <f>HYPERLINK("http://amigo.geneontology.org/amigo/term/GO:0005874","GO:0005874")</f>
        <v>GO:0005874</v>
      </c>
      <c r="D152" t="s">
        <v>5884</v>
      </c>
      <c r="E152">
        <v>251</v>
      </c>
      <c r="F152">
        <v>13</v>
      </c>
      <c r="G152">
        <v>9.9444127788413193E-3</v>
      </c>
      <c r="H152">
        <v>0.31822120892292199</v>
      </c>
      <c r="I152" t="s">
        <v>10476</v>
      </c>
    </row>
    <row r="153" spans="1:9" x14ac:dyDescent="0.25">
      <c r="A153" t="s">
        <v>10647</v>
      </c>
      <c r="C153" s="3" t="str">
        <f>HYPERLINK("http://amigo.geneontology.org/amigo/term/GO:0071554","GO:0071554")</f>
        <v>GO:0071554</v>
      </c>
      <c r="D153" t="s">
        <v>206</v>
      </c>
      <c r="E153">
        <v>1000</v>
      </c>
      <c r="F153">
        <v>37</v>
      </c>
      <c r="G153">
        <v>1.03537300189494E-2</v>
      </c>
      <c r="H153">
        <v>0.32096563058743299</v>
      </c>
      <c r="I153" t="s">
        <v>10648</v>
      </c>
    </row>
    <row r="154" spans="1:9" x14ac:dyDescent="0.25">
      <c r="A154" t="s">
        <v>10649</v>
      </c>
      <c r="C154" s="3" t="str">
        <f>HYPERLINK("http://amigo.geneontology.org/amigo/term/GO:0030410","GO:0030410")</f>
        <v>GO:0030410</v>
      </c>
      <c r="D154" t="s">
        <v>10650</v>
      </c>
      <c r="E154">
        <v>35</v>
      </c>
      <c r="F154">
        <v>4</v>
      </c>
      <c r="G154">
        <v>1.0435208945248501E-2</v>
      </c>
      <c r="H154">
        <v>0.31305626835745698</v>
      </c>
      <c r="I154" t="s">
        <v>10651</v>
      </c>
    </row>
    <row r="155" spans="1:9" x14ac:dyDescent="0.25">
      <c r="A155" t="s">
        <v>10652</v>
      </c>
      <c r="C155" s="3" t="str">
        <f>HYPERLINK("http://amigo.geneontology.org/amigo/term/GO:0030417","GO:0030417")</f>
        <v>GO:0030417</v>
      </c>
      <c r="D155" t="s">
        <v>10653</v>
      </c>
      <c r="E155">
        <v>35</v>
      </c>
      <c r="F155">
        <v>4</v>
      </c>
      <c r="G155">
        <v>1.0435208945248501E-2</v>
      </c>
      <c r="H155">
        <v>0.323491477302706</v>
      </c>
      <c r="I155" t="s">
        <v>10651</v>
      </c>
    </row>
    <row r="156" spans="1:9" x14ac:dyDescent="0.25">
      <c r="A156" t="s">
        <v>10654</v>
      </c>
      <c r="C156" s="3" t="str">
        <f>HYPERLINK("http://amigo.geneontology.org/amigo/term/GO:0072351","GO:0072351")</f>
        <v>GO:0072351</v>
      </c>
      <c r="D156" t="s">
        <v>10655</v>
      </c>
      <c r="E156">
        <v>35</v>
      </c>
      <c r="F156">
        <v>4</v>
      </c>
      <c r="G156">
        <v>1.0435208945248501E-2</v>
      </c>
      <c r="H156">
        <v>0.323491477302706</v>
      </c>
      <c r="I156" t="s">
        <v>10651</v>
      </c>
    </row>
    <row r="157" spans="1:9" x14ac:dyDescent="0.25">
      <c r="A157" t="s">
        <v>7013</v>
      </c>
      <c r="C157" s="3" t="str">
        <f>HYPERLINK("http://amigo.geneontology.org/amigo/term/GO:0030418","GO:0030418")</f>
        <v>GO:0030418</v>
      </c>
      <c r="D157" t="s">
        <v>10656</v>
      </c>
      <c r="E157">
        <v>35</v>
      </c>
      <c r="F157">
        <v>4</v>
      </c>
      <c r="G157">
        <v>1.0435208945248501E-2</v>
      </c>
      <c r="H157">
        <v>0.323491477302706</v>
      </c>
      <c r="I157" t="s">
        <v>10651</v>
      </c>
    </row>
    <row r="158" spans="1:9" x14ac:dyDescent="0.25">
      <c r="A158" t="s">
        <v>8194</v>
      </c>
      <c r="C158" s="3" t="str">
        <f>HYPERLINK("http://amigo.geneontology.org/amigo/term/GO:0004180","GO:0004180")</f>
        <v>GO:0004180</v>
      </c>
      <c r="D158" t="s">
        <v>5894</v>
      </c>
      <c r="E158">
        <v>225</v>
      </c>
      <c r="F158">
        <v>12</v>
      </c>
      <c r="G158">
        <v>1.04390303457837E-2</v>
      </c>
      <c r="H158">
        <v>0.31317091037351102</v>
      </c>
      <c r="I158" t="s">
        <v>10616</v>
      </c>
    </row>
    <row r="159" spans="1:9" x14ac:dyDescent="0.25">
      <c r="A159" t="s">
        <v>10657</v>
      </c>
      <c r="C159" s="3" t="str">
        <f>HYPERLINK("http://amigo.geneontology.org/amigo/term/GO:0019566","GO:0019566")</f>
        <v>GO:0019566</v>
      </c>
      <c r="D159" t="s">
        <v>1278</v>
      </c>
      <c r="E159">
        <v>19</v>
      </c>
      <c r="F159">
        <v>3</v>
      </c>
      <c r="G159">
        <v>1.07405674923055E-2</v>
      </c>
      <c r="H159">
        <v>0.32221702476916497</v>
      </c>
      <c r="I159" t="s">
        <v>10658</v>
      </c>
    </row>
    <row r="160" spans="1:9" x14ac:dyDescent="0.25">
      <c r="A160" t="s">
        <v>10659</v>
      </c>
      <c r="C160" s="3" t="str">
        <f>HYPERLINK("http://amigo.geneontology.org/amigo/term/GO:0046373","GO:0046373")</f>
        <v>GO:0046373</v>
      </c>
      <c r="D160" t="s">
        <v>1281</v>
      </c>
      <c r="E160">
        <v>19</v>
      </c>
      <c r="F160">
        <v>3</v>
      </c>
      <c r="G160">
        <v>1.07405674923055E-2</v>
      </c>
      <c r="H160">
        <v>0.32221702476916497</v>
      </c>
      <c r="I160" t="s">
        <v>10658</v>
      </c>
    </row>
    <row r="161" spans="1:9" x14ac:dyDescent="0.25">
      <c r="A161" t="s">
        <v>10660</v>
      </c>
      <c r="C161" s="3" t="str">
        <f>HYPERLINK("http://amigo.geneontology.org/amigo/term/GO:0046556","GO:0046556")</f>
        <v>GO:0046556</v>
      </c>
      <c r="D161" t="s">
        <v>1283</v>
      </c>
      <c r="E161">
        <v>19</v>
      </c>
      <c r="F161">
        <v>3</v>
      </c>
      <c r="G161">
        <v>1.07405674923055E-2</v>
      </c>
      <c r="H161">
        <v>0.32221702476916497</v>
      </c>
      <c r="I161" t="s">
        <v>10658</v>
      </c>
    </row>
    <row r="162" spans="1:9" x14ac:dyDescent="0.25">
      <c r="A162" t="s">
        <v>10661</v>
      </c>
      <c r="C162" s="3" t="str">
        <f>HYPERLINK("http://amigo.geneontology.org/amigo/term/GO:0010411","GO:0010411")</f>
        <v>GO:0010411</v>
      </c>
      <c r="D162" t="s">
        <v>416</v>
      </c>
      <c r="E162">
        <v>147</v>
      </c>
      <c r="F162">
        <v>9</v>
      </c>
      <c r="G162">
        <v>1.08967815000597E-2</v>
      </c>
      <c r="H162">
        <v>0.31600666350173201</v>
      </c>
      <c r="I162" t="s">
        <v>10629</v>
      </c>
    </row>
    <row r="163" spans="1:9" x14ac:dyDescent="0.25">
      <c r="A163" t="s">
        <v>10662</v>
      </c>
      <c r="C163" s="3" t="str">
        <f>HYPERLINK("http://amigo.geneontology.org/amigo/term/GO:0008289","GO:0008289")</f>
        <v>GO:0008289</v>
      </c>
      <c r="D163" t="s">
        <v>745</v>
      </c>
      <c r="E163">
        <v>400</v>
      </c>
      <c r="F163">
        <v>18</v>
      </c>
      <c r="G163">
        <v>1.1203967076541701E-2</v>
      </c>
      <c r="H163">
        <v>0.32491504521970999</v>
      </c>
      <c r="I163" t="s">
        <v>10663</v>
      </c>
    </row>
    <row r="164" spans="1:9" x14ac:dyDescent="0.25">
      <c r="A164" t="s">
        <v>10664</v>
      </c>
      <c r="C164" s="3" t="str">
        <f>HYPERLINK("http://amigo.geneontology.org/amigo/term/GO:0004556","GO:0004556")</f>
        <v>GO:0004556</v>
      </c>
      <c r="D164" t="s">
        <v>7131</v>
      </c>
      <c r="E164">
        <v>36</v>
      </c>
      <c r="F164">
        <v>4</v>
      </c>
      <c r="G164">
        <v>1.15152358033806E-2</v>
      </c>
      <c r="H164">
        <v>0.33394183829803697</v>
      </c>
      <c r="I164" t="s">
        <v>10665</v>
      </c>
    </row>
    <row r="165" spans="1:9" x14ac:dyDescent="0.25">
      <c r="A165" t="s">
        <v>10666</v>
      </c>
      <c r="C165" s="3" t="str">
        <f>HYPERLINK("http://amigo.geneontology.org/amigo/term/GO:0016630","GO:0016630")</f>
        <v>GO:0016630</v>
      </c>
      <c r="D165" t="s">
        <v>8712</v>
      </c>
      <c r="E165">
        <v>7</v>
      </c>
      <c r="F165">
        <v>2</v>
      </c>
      <c r="G165">
        <v>1.17090720224684E-2</v>
      </c>
      <c r="H165">
        <v>0.33956308865158602</v>
      </c>
      <c r="I165" t="s">
        <v>10667</v>
      </c>
    </row>
    <row r="166" spans="1:9" x14ac:dyDescent="0.25">
      <c r="A166" t="s">
        <v>10668</v>
      </c>
      <c r="C166" s="3" t="str">
        <f>HYPERLINK("http://amigo.geneontology.org/amigo/term/GO:0008553","GO:0008553")</f>
        <v>GO:0008553</v>
      </c>
      <c r="D166" t="s">
        <v>10669</v>
      </c>
      <c r="E166">
        <v>7</v>
      </c>
      <c r="F166">
        <v>2</v>
      </c>
      <c r="G166">
        <v>1.17090720224684E-2</v>
      </c>
      <c r="H166">
        <v>0.33956308865158602</v>
      </c>
      <c r="I166" t="s">
        <v>10670</v>
      </c>
    </row>
    <row r="167" spans="1:9" x14ac:dyDescent="0.25">
      <c r="A167" t="s">
        <v>10671</v>
      </c>
      <c r="C167" s="3" t="str">
        <f>HYPERLINK("http://amigo.geneontology.org/amigo/term/GO:0050832","GO:0050832")</f>
        <v>GO:0050832</v>
      </c>
      <c r="D167" t="s">
        <v>6776</v>
      </c>
      <c r="E167">
        <v>202</v>
      </c>
      <c r="F167">
        <v>11</v>
      </c>
      <c r="G167">
        <v>1.19957980616743E-2</v>
      </c>
      <c r="H167">
        <v>0.33588234572688203</v>
      </c>
      <c r="I167" t="s">
        <v>10672</v>
      </c>
    </row>
    <row r="168" spans="1:9" x14ac:dyDescent="0.25">
      <c r="A168" t="s">
        <v>10673</v>
      </c>
      <c r="C168" s="3" t="str">
        <f>HYPERLINK("http://amigo.geneontology.org/amigo/term/GO:0035821","GO:0035821")</f>
        <v>GO:0035821</v>
      </c>
      <c r="D168" t="s">
        <v>10674</v>
      </c>
      <c r="E168">
        <v>101</v>
      </c>
      <c r="F168">
        <v>7</v>
      </c>
      <c r="G168">
        <v>1.25632477224285E-2</v>
      </c>
      <c r="H168">
        <v>0.35177093622799899</v>
      </c>
      <c r="I168" t="s">
        <v>10675</v>
      </c>
    </row>
    <row r="169" spans="1:9" x14ac:dyDescent="0.25">
      <c r="A169" t="s">
        <v>10676</v>
      </c>
      <c r="C169" s="3" t="str">
        <f>HYPERLINK("http://amigo.geneontology.org/amigo/term/GO:0090502","GO:0090502")</f>
        <v>GO:0090502</v>
      </c>
      <c r="D169" t="s">
        <v>9647</v>
      </c>
      <c r="E169">
        <v>78</v>
      </c>
      <c r="F169">
        <v>6</v>
      </c>
      <c r="G169">
        <v>1.2588549577555799E-2</v>
      </c>
      <c r="H169">
        <v>0.35247938817156299</v>
      </c>
      <c r="I169" t="s">
        <v>10677</v>
      </c>
    </row>
    <row r="170" spans="1:9" x14ac:dyDescent="0.25">
      <c r="A170" t="s">
        <v>10678</v>
      </c>
      <c r="C170" s="3" t="str">
        <f>HYPERLINK("http://amigo.geneontology.org/amigo/term/GO:0046835","GO:0046835")</f>
        <v>GO:0046835</v>
      </c>
      <c r="D170" t="s">
        <v>891</v>
      </c>
      <c r="E170">
        <v>78</v>
      </c>
      <c r="F170">
        <v>6</v>
      </c>
      <c r="G170">
        <v>1.2588549577555799E-2</v>
      </c>
      <c r="H170">
        <v>0.35247938817156299</v>
      </c>
      <c r="I170" t="s">
        <v>10484</v>
      </c>
    </row>
    <row r="171" spans="1:9" x14ac:dyDescent="0.25">
      <c r="A171" t="s">
        <v>10679</v>
      </c>
      <c r="C171" s="3" t="str">
        <f>HYPERLINK("http://amigo.geneontology.org/amigo/term/GO:0099081","GO:0099081")</f>
        <v>GO:0099081</v>
      </c>
      <c r="D171" t="s">
        <v>5886</v>
      </c>
      <c r="E171">
        <v>259</v>
      </c>
      <c r="F171">
        <v>13</v>
      </c>
      <c r="G171">
        <v>1.26579284993103E-2</v>
      </c>
      <c r="H171">
        <v>0.341764069481378</v>
      </c>
      <c r="I171" t="s">
        <v>10476</v>
      </c>
    </row>
    <row r="172" spans="1:9" x14ac:dyDescent="0.25">
      <c r="A172" t="s">
        <v>10680</v>
      </c>
      <c r="C172" s="3" t="str">
        <f>HYPERLINK("http://amigo.geneontology.org/amigo/term/GO:0099512","GO:0099512")</f>
        <v>GO:0099512</v>
      </c>
      <c r="D172" t="s">
        <v>5887</v>
      </c>
      <c r="E172">
        <v>259</v>
      </c>
      <c r="F172">
        <v>13</v>
      </c>
      <c r="G172">
        <v>1.26579284993103E-2</v>
      </c>
      <c r="H172">
        <v>0.35442199798068802</v>
      </c>
      <c r="I172" t="s">
        <v>10476</v>
      </c>
    </row>
    <row r="173" spans="1:9" x14ac:dyDescent="0.25">
      <c r="A173" t="s">
        <v>10681</v>
      </c>
      <c r="C173" s="3" t="str">
        <f>HYPERLINK("http://amigo.geneontology.org/amigo/term/GO:0099513","GO:0099513")</f>
        <v>GO:0099513</v>
      </c>
      <c r="D173" t="s">
        <v>5888</v>
      </c>
      <c r="E173">
        <v>259</v>
      </c>
      <c r="F173">
        <v>13</v>
      </c>
      <c r="G173">
        <v>1.26579284993103E-2</v>
      </c>
      <c r="H173">
        <v>0.35442199798068802</v>
      </c>
      <c r="I173" t="s">
        <v>10476</v>
      </c>
    </row>
    <row r="174" spans="1:9" x14ac:dyDescent="0.25">
      <c r="A174" t="s">
        <v>10682</v>
      </c>
      <c r="C174" s="3" t="str">
        <f>HYPERLINK("http://amigo.geneontology.org/amigo/term/GO:0045165","GO:0045165")</f>
        <v>GO:0045165</v>
      </c>
      <c r="D174" t="s">
        <v>10683</v>
      </c>
      <c r="E174">
        <v>37</v>
      </c>
      <c r="F174">
        <v>4</v>
      </c>
      <c r="G174">
        <v>1.26644974552964E-2</v>
      </c>
      <c r="H174">
        <v>0.34194143129300503</v>
      </c>
      <c r="I174" t="s">
        <v>10684</v>
      </c>
    </row>
    <row r="175" spans="1:9" x14ac:dyDescent="0.25">
      <c r="A175" t="s">
        <v>10685</v>
      </c>
      <c r="C175" s="3" t="str">
        <f>HYPERLINK("http://amigo.geneontology.org/amigo/term/GO:0070008","GO:0070008")</f>
        <v>GO:0070008</v>
      </c>
      <c r="D175" t="s">
        <v>5896</v>
      </c>
      <c r="E175">
        <v>232</v>
      </c>
      <c r="F175">
        <v>12</v>
      </c>
      <c r="G175">
        <v>1.30505272741776E-2</v>
      </c>
      <c r="H175">
        <v>0.35236423640279702</v>
      </c>
      <c r="I175" t="s">
        <v>10616</v>
      </c>
    </row>
    <row r="176" spans="1:9" x14ac:dyDescent="0.25">
      <c r="A176" t="s">
        <v>10686</v>
      </c>
      <c r="C176" s="3" t="str">
        <f>HYPERLINK("http://amigo.geneontology.org/amigo/term/GO:0005102","GO:0005102")</f>
        <v>GO:0005102</v>
      </c>
      <c r="D176" t="s">
        <v>39</v>
      </c>
      <c r="E176">
        <v>21</v>
      </c>
      <c r="F176">
        <v>3</v>
      </c>
      <c r="G176">
        <v>1.4214862935851899E-2</v>
      </c>
      <c r="H176">
        <v>0.38380129926800299</v>
      </c>
      <c r="I176" t="s">
        <v>9567</v>
      </c>
    </row>
    <row r="177" spans="1:9" x14ac:dyDescent="0.25">
      <c r="A177" t="s">
        <v>9566</v>
      </c>
      <c r="C177" s="3" t="str">
        <f>HYPERLINK("http://amigo.geneontology.org/amigo/term/GO:0004805","GO:0004805")</f>
        <v>GO:0004805</v>
      </c>
      <c r="D177" t="s">
        <v>967</v>
      </c>
      <c r="E177">
        <v>21</v>
      </c>
      <c r="F177">
        <v>3</v>
      </c>
      <c r="G177">
        <v>1.4214862935851899E-2</v>
      </c>
      <c r="H177">
        <v>0.38380129926800299</v>
      </c>
      <c r="I177" t="s">
        <v>10687</v>
      </c>
    </row>
    <row r="178" spans="1:9" x14ac:dyDescent="0.25">
      <c r="A178" t="s">
        <v>10688</v>
      </c>
      <c r="C178" s="3" t="str">
        <f>HYPERLINK("http://amigo.geneontology.org/amigo/term/GO:0009057","GO:0009057")</f>
        <v>GO:0009057</v>
      </c>
      <c r="D178" t="s">
        <v>9098</v>
      </c>
      <c r="E178">
        <v>1228</v>
      </c>
      <c r="F178">
        <v>43</v>
      </c>
      <c r="G178">
        <v>1.4664550096646901E-2</v>
      </c>
      <c r="H178">
        <v>0.39594285260946599</v>
      </c>
      <c r="I178" t="s">
        <v>10689</v>
      </c>
    </row>
    <row r="179" spans="1:9" x14ac:dyDescent="0.25">
      <c r="A179" t="s">
        <v>8921</v>
      </c>
      <c r="C179" s="3" t="str">
        <f>HYPERLINK("http://amigo.geneontology.org/amigo/term/GO:0010311","GO:0010311")</f>
        <v>GO:0010311</v>
      </c>
      <c r="D179" t="s">
        <v>10690</v>
      </c>
      <c r="E179">
        <v>22</v>
      </c>
      <c r="F179">
        <v>3</v>
      </c>
      <c r="G179">
        <v>1.6162993275594499E-2</v>
      </c>
      <c r="H179">
        <v>0.42023782516545799</v>
      </c>
      <c r="I179" t="s">
        <v>10507</v>
      </c>
    </row>
    <row r="180" spans="1:9" x14ac:dyDescent="0.25">
      <c r="A180" t="s">
        <v>10691</v>
      </c>
      <c r="C180" s="3" t="str">
        <f>HYPERLINK("http://amigo.geneontology.org/amigo/term/GO:0051172","GO:0051172")</f>
        <v>GO:0051172</v>
      </c>
      <c r="D180" t="s">
        <v>7163</v>
      </c>
      <c r="E180">
        <v>479</v>
      </c>
      <c r="F180">
        <v>20</v>
      </c>
      <c r="G180">
        <v>1.6518521690930599E-2</v>
      </c>
      <c r="H180">
        <v>0.42948156396419601</v>
      </c>
      <c r="I180" t="s">
        <v>10692</v>
      </c>
    </row>
    <row r="181" spans="1:9" x14ac:dyDescent="0.25">
      <c r="A181" t="s">
        <v>10693</v>
      </c>
      <c r="C181" s="3" t="str">
        <f>HYPERLINK("http://amigo.geneontology.org/amigo/term/GO:0090501","GO:0090501")</f>
        <v>GO:0090501</v>
      </c>
      <c r="D181" t="s">
        <v>9661</v>
      </c>
      <c r="E181">
        <v>107</v>
      </c>
      <c r="F181">
        <v>7</v>
      </c>
      <c r="G181">
        <v>1.6809404985336798E-2</v>
      </c>
      <c r="H181">
        <v>0.437044529618758</v>
      </c>
      <c r="I181" t="s">
        <v>10694</v>
      </c>
    </row>
    <row r="182" spans="1:9" x14ac:dyDescent="0.25">
      <c r="A182" t="s">
        <v>10695</v>
      </c>
      <c r="C182" s="3" t="str">
        <f>HYPERLINK("http://amigo.geneontology.org/amigo/term/GO:0060255","GO:0060255")</f>
        <v>GO:0060255</v>
      </c>
      <c r="D182" t="s">
        <v>6847</v>
      </c>
      <c r="E182">
        <v>5585</v>
      </c>
      <c r="F182">
        <v>162</v>
      </c>
      <c r="G182">
        <v>1.7193275736120901E-2</v>
      </c>
      <c r="H182">
        <v>0.44702516913914497</v>
      </c>
      <c r="I182" t="s">
        <v>10696</v>
      </c>
    </row>
    <row r="183" spans="1:9" x14ac:dyDescent="0.25">
      <c r="A183" t="s">
        <v>10697</v>
      </c>
      <c r="C183" s="3" t="str">
        <f>HYPERLINK("http://amigo.geneontology.org/amigo/term/GO:0030163","GO:0030163")</f>
        <v>GO:0030163</v>
      </c>
      <c r="D183" t="s">
        <v>10698</v>
      </c>
      <c r="E183">
        <v>807</v>
      </c>
      <c r="F183">
        <v>30</v>
      </c>
      <c r="G183">
        <v>1.8284688798691301E-2</v>
      </c>
      <c r="H183">
        <v>0.47540190876597499</v>
      </c>
      <c r="I183" t="s">
        <v>10546</v>
      </c>
    </row>
    <row r="184" spans="1:9" x14ac:dyDescent="0.25">
      <c r="A184" t="s">
        <v>10699</v>
      </c>
      <c r="C184" s="3" t="str">
        <f>HYPERLINK("http://amigo.geneontology.org/amigo/term/GO:0051171","GO:0051171")</f>
        <v>GO:0051171</v>
      </c>
      <c r="D184" t="s">
        <v>6843</v>
      </c>
      <c r="E184">
        <v>5333</v>
      </c>
      <c r="F184">
        <v>155</v>
      </c>
      <c r="G184">
        <v>1.8351418934320601E-2</v>
      </c>
      <c r="H184">
        <v>0.47713689229233602</v>
      </c>
      <c r="I184" t="s">
        <v>10700</v>
      </c>
    </row>
    <row r="185" spans="1:9" x14ac:dyDescent="0.25">
      <c r="A185" t="s">
        <v>10701</v>
      </c>
      <c r="C185" s="3" t="str">
        <f>HYPERLINK("http://amigo.geneontology.org/amigo/term/GO:0080090","GO:0080090")</f>
        <v>GO:0080090</v>
      </c>
      <c r="D185" t="s">
        <v>6844</v>
      </c>
      <c r="E185">
        <v>5373</v>
      </c>
      <c r="F185">
        <v>156</v>
      </c>
      <c r="G185">
        <v>1.8599000019444901E-2</v>
      </c>
      <c r="H185">
        <v>0.464975000486123</v>
      </c>
      <c r="I185" t="s">
        <v>10702</v>
      </c>
    </row>
    <row r="186" spans="1:9" x14ac:dyDescent="0.25">
      <c r="A186" t="s">
        <v>10703</v>
      </c>
      <c r="C186" s="3" t="str">
        <f>HYPERLINK("http://amigo.geneontology.org/amigo/term/GO:0031324","GO:0031324")</f>
        <v>GO:0031324</v>
      </c>
      <c r="D186" t="s">
        <v>7179</v>
      </c>
      <c r="E186">
        <v>488</v>
      </c>
      <c r="F186">
        <v>20</v>
      </c>
      <c r="G186">
        <v>1.9712024050927899E-2</v>
      </c>
      <c r="H186">
        <v>0.49280060127319902</v>
      </c>
      <c r="I186" t="s">
        <v>10692</v>
      </c>
    </row>
    <row r="187" spans="1:9" x14ac:dyDescent="0.25">
      <c r="A187" t="s">
        <v>10704</v>
      </c>
      <c r="C187" s="3" t="str">
        <f>HYPERLINK("http://amigo.geneontology.org/amigo/term/GO:0051213","GO:0051213")</f>
        <v>GO:0051213</v>
      </c>
      <c r="D187" t="s">
        <v>5728</v>
      </c>
      <c r="E187">
        <v>396</v>
      </c>
      <c r="F187">
        <v>17</v>
      </c>
      <c r="G187">
        <v>2.0232658133848998E-2</v>
      </c>
      <c r="H187">
        <v>0.50581645334622505</v>
      </c>
      <c r="I187" t="s">
        <v>10705</v>
      </c>
    </row>
    <row r="188" spans="1:9" x14ac:dyDescent="0.25">
      <c r="A188" t="s">
        <v>10706</v>
      </c>
      <c r="C188" s="3" t="str">
        <f>HYPERLINK("http://amigo.geneontology.org/amigo/term/GO:0031323","GO:0031323")</f>
        <v>GO:0031323</v>
      </c>
      <c r="D188" t="s">
        <v>6845</v>
      </c>
      <c r="E188">
        <v>5403</v>
      </c>
      <c r="F188">
        <v>156</v>
      </c>
      <c r="G188">
        <v>2.1982100878121798E-2</v>
      </c>
      <c r="H188">
        <v>0.54955252195304605</v>
      </c>
      <c r="I188" t="s">
        <v>10702</v>
      </c>
    </row>
    <row r="189" spans="1:9" x14ac:dyDescent="0.25">
      <c r="A189" t="s">
        <v>10707</v>
      </c>
      <c r="C189" s="3" t="str">
        <f>HYPERLINK("http://amigo.geneontology.org/amigo/term/GO:0016706","GO:0016706")</f>
        <v>GO:0016706</v>
      </c>
      <c r="D189" t="s">
        <v>5638</v>
      </c>
      <c r="E189">
        <v>251</v>
      </c>
      <c r="F189">
        <v>12</v>
      </c>
      <c r="G189">
        <v>2.2656035613804502E-2</v>
      </c>
      <c r="H189">
        <v>0.56640089034511298</v>
      </c>
      <c r="I189" t="s">
        <v>10708</v>
      </c>
    </row>
    <row r="190" spans="1:9" x14ac:dyDescent="0.25">
      <c r="A190" t="s">
        <v>10709</v>
      </c>
      <c r="C190" s="3" t="str">
        <f>HYPERLINK("http://amigo.geneontology.org/amigo/term/GO:0045552","GO:0045552")</f>
        <v>GO:0045552</v>
      </c>
      <c r="D190" t="s">
        <v>10710</v>
      </c>
      <c r="E190">
        <v>1</v>
      </c>
      <c r="F190">
        <v>1</v>
      </c>
      <c r="G190">
        <v>2.4611113273354999E-2</v>
      </c>
      <c r="H190">
        <v>0.590666718560521</v>
      </c>
      <c r="I190" t="s">
        <v>10711</v>
      </c>
    </row>
    <row r="191" spans="1:9" x14ac:dyDescent="0.25">
      <c r="A191" t="s">
        <v>10712</v>
      </c>
      <c r="C191" s="3" t="str">
        <f>HYPERLINK("http://amigo.geneontology.org/amigo/term/GO:0034975","GO:0034975")</f>
        <v>GO:0034975</v>
      </c>
      <c r="D191" t="s">
        <v>10713</v>
      </c>
      <c r="E191">
        <v>1</v>
      </c>
      <c r="F191">
        <v>1</v>
      </c>
      <c r="G191">
        <v>2.4611113273354999E-2</v>
      </c>
      <c r="H191">
        <v>0.590666718560521</v>
      </c>
      <c r="I191" t="s">
        <v>10714</v>
      </c>
    </row>
    <row r="192" spans="1:9" x14ac:dyDescent="0.25">
      <c r="A192" t="s">
        <v>10715</v>
      </c>
      <c r="C192" s="3" t="str">
        <f>HYPERLINK("http://amigo.geneontology.org/amigo/term/GO:0010436","GO:0010436")</f>
        <v>GO:0010436</v>
      </c>
      <c r="D192" t="s">
        <v>10716</v>
      </c>
      <c r="E192">
        <v>1</v>
      </c>
      <c r="F192">
        <v>1</v>
      </c>
      <c r="G192">
        <v>2.4611113273354999E-2</v>
      </c>
      <c r="H192">
        <v>0.590666718560521</v>
      </c>
      <c r="I192" t="s">
        <v>10717</v>
      </c>
    </row>
    <row r="193" spans="1:9" x14ac:dyDescent="0.25">
      <c r="A193" t="s">
        <v>10718</v>
      </c>
      <c r="C193" s="3" t="str">
        <f>HYPERLINK("http://amigo.geneontology.org/amigo/term/GO:0045549","GO:0045549")</f>
        <v>GO:0045549</v>
      </c>
      <c r="D193" t="s">
        <v>10719</v>
      </c>
      <c r="E193">
        <v>1</v>
      </c>
      <c r="F193">
        <v>1</v>
      </c>
      <c r="G193">
        <v>2.4611113273354999E-2</v>
      </c>
      <c r="H193">
        <v>0.590666718560521</v>
      </c>
      <c r="I193" t="s">
        <v>10717</v>
      </c>
    </row>
    <row r="194" spans="1:9" x14ac:dyDescent="0.25">
      <c r="A194" t="s">
        <v>10720</v>
      </c>
      <c r="C194" s="3" t="str">
        <f>HYPERLINK("http://amigo.geneontology.org/amigo/term/GO:0010654","GO:0010654")</f>
        <v>GO:0010654</v>
      </c>
      <c r="D194" t="s">
        <v>10721</v>
      </c>
      <c r="E194">
        <v>1</v>
      </c>
      <c r="F194">
        <v>1</v>
      </c>
      <c r="G194">
        <v>2.4611113273354999E-2</v>
      </c>
      <c r="H194">
        <v>0.590666718560521</v>
      </c>
      <c r="I194" t="s">
        <v>10722</v>
      </c>
    </row>
    <row r="195" spans="1:9" x14ac:dyDescent="0.25">
      <c r="A195" t="s">
        <v>10723</v>
      </c>
      <c r="C195" s="3" t="str">
        <f>HYPERLINK("http://amigo.geneontology.org/amigo/term/GO:0090451","GO:0090451")</f>
        <v>GO:0090451</v>
      </c>
      <c r="D195" t="s">
        <v>10724</v>
      </c>
      <c r="E195">
        <v>1</v>
      </c>
      <c r="F195">
        <v>1</v>
      </c>
      <c r="G195">
        <v>2.4611113273354999E-2</v>
      </c>
      <c r="H195">
        <v>0.590666718560521</v>
      </c>
      <c r="I195" t="s">
        <v>10722</v>
      </c>
    </row>
    <row r="196" spans="1:9" x14ac:dyDescent="0.25">
      <c r="A196" t="s">
        <v>10725</v>
      </c>
      <c r="C196" s="3" t="str">
        <f>HYPERLINK("http://amigo.geneontology.org/amigo/term/GO:1900370","GO:1900370")</f>
        <v>GO:1900370</v>
      </c>
      <c r="D196" t="s">
        <v>10726</v>
      </c>
      <c r="E196">
        <v>1</v>
      </c>
      <c r="F196">
        <v>1</v>
      </c>
      <c r="G196">
        <v>2.4611113273354999E-2</v>
      </c>
      <c r="H196">
        <v>0.61527783183387597</v>
      </c>
      <c r="I196" t="s">
        <v>10727</v>
      </c>
    </row>
    <row r="197" spans="1:9" x14ac:dyDescent="0.25">
      <c r="A197" t="s">
        <v>10728</v>
      </c>
      <c r="C197" s="3" t="str">
        <f>HYPERLINK("http://amigo.geneontology.org/amigo/term/GO:1903705","GO:1903705")</f>
        <v>GO:1903705</v>
      </c>
      <c r="D197" t="s">
        <v>10729</v>
      </c>
      <c r="E197">
        <v>1</v>
      </c>
      <c r="F197">
        <v>1</v>
      </c>
      <c r="G197">
        <v>2.4611113273354999E-2</v>
      </c>
      <c r="H197">
        <v>0.61527783183387597</v>
      </c>
      <c r="I197" t="s">
        <v>10727</v>
      </c>
    </row>
    <row r="198" spans="1:9" x14ac:dyDescent="0.25">
      <c r="A198" t="s">
        <v>10730</v>
      </c>
      <c r="C198" s="3" t="str">
        <f>HYPERLINK("http://amigo.geneontology.org/amigo/term/GO:0005978","GO:0005978")</f>
        <v>GO:0005978</v>
      </c>
      <c r="D198" t="s">
        <v>10731</v>
      </c>
      <c r="E198">
        <v>26</v>
      </c>
      <c r="F198">
        <v>3</v>
      </c>
      <c r="G198">
        <v>2.5381883169472701E-2</v>
      </c>
      <c r="H198">
        <v>0.583783312897872</v>
      </c>
      <c r="I198" t="s">
        <v>10606</v>
      </c>
    </row>
    <row r="199" spans="1:9" x14ac:dyDescent="0.25">
      <c r="A199" t="s">
        <v>10732</v>
      </c>
      <c r="C199" s="3" t="str">
        <f>HYPERLINK("http://amigo.geneontology.org/amigo/term/GO:0010101","GO:0010101")</f>
        <v>GO:0010101</v>
      </c>
      <c r="D199" t="s">
        <v>10733</v>
      </c>
      <c r="E199">
        <v>26</v>
      </c>
      <c r="F199">
        <v>3</v>
      </c>
      <c r="G199">
        <v>2.5381883169472701E-2</v>
      </c>
      <c r="H199">
        <v>0.60916519606734498</v>
      </c>
      <c r="I199" t="s">
        <v>10507</v>
      </c>
    </row>
    <row r="200" spans="1:9" x14ac:dyDescent="0.25">
      <c r="A200" t="s">
        <v>10734</v>
      </c>
      <c r="C200" s="3" t="str">
        <f>HYPERLINK("http://amigo.geneontology.org/amigo/term/GO:0010102","GO:0010102")</f>
        <v>GO:0010102</v>
      </c>
      <c r="D200" t="s">
        <v>10735</v>
      </c>
      <c r="E200">
        <v>26</v>
      </c>
      <c r="F200">
        <v>3</v>
      </c>
      <c r="G200">
        <v>2.5381883169472701E-2</v>
      </c>
      <c r="H200">
        <v>0.60916519606734498</v>
      </c>
      <c r="I200" t="s">
        <v>10507</v>
      </c>
    </row>
    <row r="201" spans="1:9" x14ac:dyDescent="0.25">
      <c r="A201" t="s">
        <v>10736</v>
      </c>
      <c r="C201" s="3" t="str">
        <f>HYPERLINK("http://amigo.geneontology.org/amigo/term/GO:0010023","GO:0010023")</f>
        <v>GO:0010023</v>
      </c>
      <c r="D201" t="s">
        <v>10737</v>
      </c>
      <c r="E201">
        <v>11</v>
      </c>
      <c r="F201">
        <v>2</v>
      </c>
      <c r="G201">
        <v>2.87309765454558E-2</v>
      </c>
      <c r="H201">
        <v>0.66081246054548504</v>
      </c>
      <c r="I201" t="s">
        <v>10738</v>
      </c>
    </row>
    <row r="202" spans="1:9" x14ac:dyDescent="0.25">
      <c r="A202" t="s">
        <v>10739</v>
      </c>
      <c r="C202" s="3" t="str">
        <f>HYPERLINK("http://amigo.geneontology.org/amigo/term/GO:0016788","GO:0016788")</f>
        <v>GO:0016788</v>
      </c>
      <c r="D202" t="s">
        <v>115</v>
      </c>
      <c r="E202">
        <v>2434</v>
      </c>
      <c r="F202">
        <v>75</v>
      </c>
      <c r="G202">
        <v>2.9255849065201199E-2</v>
      </c>
      <c r="H202">
        <v>0.67288452849962799</v>
      </c>
      <c r="I202" t="s">
        <v>10740</v>
      </c>
    </row>
    <row r="203" spans="1:9" x14ac:dyDescent="0.25">
      <c r="A203" t="s">
        <v>10741</v>
      </c>
      <c r="C203" s="3" t="str">
        <f>HYPERLINK("http://amigo.geneontology.org/amigo/term/GO:0019222","GO:0019222")</f>
        <v>GO:0019222</v>
      </c>
      <c r="D203" t="s">
        <v>6848</v>
      </c>
      <c r="E203">
        <v>5726</v>
      </c>
      <c r="F203">
        <v>163</v>
      </c>
      <c r="G203">
        <v>2.9829782302438101E-2</v>
      </c>
      <c r="H203">
        <v>0.68608499295607805</v>
      </c>
      <c r="I203" t="s">
        <v>10742</v>
      </c>
    </row>
    <row r="204" spans="1:9" x14ac:dyDescent="0.25">
      <c r="A204" t="s">
        <v>10743</v>
      </c>
      <c r="C204" s="3" t="str">
        <f>HYPERLINK("http://amigo.geneontology.org/amigo/term/GO:0009664","GO:0009664")</f>
        <v>GO:0009664</v>
      </c>
      <c r="D204" t="s">
        <v>538</v>
      </c>
      <c r="E204">
        <v>234</v>
      </c>
      <c r="F204">
        <v>11</v>
      </c>
      <c r="G204">
        <v>3.1407268643668898E-2</v>
      </c>
      <c r="H204">
        <v>0.72236717880438395</v>
      </c>
      <c r="I204" t="s">
        <v>10744</v>
      </c>
    </row>
    <row r="205" spans="1:9" x14ac:dyDescent="0.25">
      <c r="A205" t="s">
        <v>10745</v>
      </c>
      <c r="C205" s="3" t="str">
        <f>HYPERLINK("http://amigo.geneontology.org/amigo/term/GO:0016161","GO:0016161")</f>
        <v>GO:0016161</v>
      </c>
      <c r="D205" t="s">
        <v>713</v>
      </c>
      <c r="E205">
        <v>29</v>
      </c>
      <c r="F205">
        <v>3</v>
      </c>
      <c r="G205">
        <v>3.3794577521881898E-2</v>
      </c>
      <c r="H205">
        <v>0.77727528300328497</v>
      </c>
      <c r="I205" t="s">
        <v>10746</v>
      </c>
    </row>
    <row r="206" spans="1:9" x14ac:dyDescent="0.25">
      <c r="A206" t="s">
        <v>10747</v>
      </c>
      <c r="C206" s="3" t="str">
        <f>HYPERLINK("http://amigo.geneontology.org/amigo/term/GO:0004629","GO:0004629")</f>
        <v>GO:0004629</v>
      </c>
      <c r="D206" t="s">
        <v>10748</v>
      </c>
      <c r="E206">
        <v>12</v>
      </c>
      <c r="F206">
        <v>2</v>
      </c>
      <c r="G206">
        <v>3.3922755206420803E-2</v>
      </c>
      <c r="H206">
        <v>0.78022336974767803</v>
      </c>
      <c r="I206" t="s">
        <v>10749</v>
      </c>
    </row>
    <row r="207" spans="1:9" x14ac:dyDescent="0.25">
      <c r="A207" t="s">
        <v>10750</v>
      </c>
      <c r="C207" s="3" t="str">
        <f>HYPERLINK("http://amigo.geneontology.org/amigo/term/GO:0004435","GO:0004435")</f>
        <v>GO:0004435</v>
      </c>
      <c r="D207" t="s">
        <v>10751</v>
      </c>
      <c r="E207">
        <v>12</v>
      </c>
      <c r="F207">
        <v>2</v>
      </c>
      <c r="G207">
        <v>3.3922755206420803E-2</v>
      </c>
      <c r="H207">
        <v>0.78022336974767803</v>
      </c>
      <c r="I207" t="s">
        <v>10749</v>
      </c>
    </row>
    <row r="208" spans="1:9" x14ac:dyDescent="0.25">
      <c r="A208" t="s">
        <v>10752</v>
      </c>
      <c r="C208" s="3" t="str">
        <f>HYPERLINK("http://amigo.geneontology.org/amigo/term/GO:0016614","GO:0016614")</f>
        <v>GO:0016614</v>
      </c>
      <c r="D208" t="s">
        <v>5631</v>
      </c>
      <c r="E208">
        <v>617</v>
      </c>
      <c r="F208">
        <v>23</v>
      </c>
      <c r="G208">
        <v>3.4229106049678999E-2</v>
      </c>
      <c r="H208">
        <v>0.75304033309293805</v>
      </c>
      <c r="I208" t="s">
        <v>10753</v>
      </c>
    </row>
    <row r="209" spans="1:9" x14ac:dyDescent="0.25">
      <c r="A209" t="s">
        <v>10754</v>
      </c>
      <c r="C209" s="3" t="str">
        <f>HYPERLINK("http://amigo.geneontology.org/amigo/term/GO:0016682","GO:0016682")</f>
        <v>GO:0016682</v>
      </c>
      <c r="D209" t="s">
        <v>864</v>
      </c>
      <c r="E209">
        <v>126</v>
      </c>
      <c r="F209">
        <v>7</v>
      </c>
      <c r="G209">
        <v>3.6736035661479399E-2</v>
      </c>
      <c r="H209">
        <v>0.80819278455254795</v>
      </c>
      <c r="I209" t="s">
        <v>10755</v>
      </c>
    </row>
    <row r="210" spans="1:9" x14ac:dyDescent="0.25">
      <c r="A210" t="s">
        <v>10756</v>
      </c>
      <c r="C210" s="3" t="str">
        <f>HYPERLINK("http://amigo.geneontology.org/amigo/term/GO:0019953","GO:0019953")</f>
        <v>GO:0019953</v>
      </c>
      <c r="D210" t="s">
        <v>831</v>
      </c>
      <c r="E210">
        <v>301</v>
      </c>
      <c r="F210">
        <v>13</v>
      </c>
      <c r="G210">
        <v>3.7128237691028097E-2</v>
      </c>
      <c r="H210">
        <v>0.81682122920261901</v>
      </c>
      <c r="I210" t="s">
        <v>10757</v>
      </c>
    </row>
    <row r="211" spans="1:9" x14ac:dyDescent="0.25">
      <c r="A211" t="s">
        <v>10758</v>
      </c>
      <c r="C211" s="3" t="str">
        <f>HYPERLINK("http://amigo.geneontology.org/amigo/term/GO:1903506","GO:1903506")</f>
        <v>GO:1903506</v>
      </c>
      <c r="D211" t="s">
        <v>6825</v>
      </c>
      <c r="E211">
        <v>4671</v>
      </c>
      <c r="F211">
        <v>134</v>
      </c>
      <c r="G211">
        <v>3.7678963651337397E-2</v>
      </c>
      <c r="H211">
        <v>0.82893720032942197</v>
      </c>
      <c r="I211" t="s">
        <v>10759</v>
      </c>
    </row>
    <row r="212" spans="1:9" x14ac:dyDescent="0.25">
      <c r="A212" t="s">
        <v>10760</v>
      </c>
      <c r="C212" s="3" t="str">
        <f>HYPERLINK("http://amigo.geneontology.org/amigo/term/GO:0006355","GO:0006355")</f>
        <v>GO:0006355</v>
      </c>
      <c r="D212" t="s">
        <v>6824</v>
      </c>
      <c r="E212">
        <v>4671</v>
      </c>
      <c r="F212">
        <v>134</v>
      </c>
      <c r="G212">
        <v>3.7678963651337397E-2</v>
      </c>
      <c r="H212">
        <v>0.82893720032942197</v>
      </c>
      <c r="I212" t="s">
        <v>10759</v>
      </c>
    </row>
    <row r="213" spans="1:9" x14ac:dyDescent="0.25">
      <c r="A213" t="s">
        <v>10761</v>
      </c>
      <c r="C213" s="3" t="str">
        <f>HYPERLINK("http://amigo.geneontology.org/amigo/term/GO:0044703","GO:0044703")</f>
        <v>GO:0044703</v>
      </c>
      <c r="D213" t="s">
        <v>834</v>
      </c>
      <c r="E213">
        <v>302</v>
      </c>
      <c r="F213">
        <v>13</v>
      </c>
      <c r="G213">
        <v>3.7961746403062199E-2</v>
      </c>
      <c r="H213">
        <v>0.83515842086736802</v>
      </c>
      <c r="I213" t="s">
        <v>10757</v>
      </c>
    </row>
    <row r="214" spans="1:9" x14ac:dyDescent="0.25">
      <c r="A214" t="s">
        <v>10762</v>
      </c>
      <c r="C214" s="3" t="str">
        <f>HYPERLINK("http://amigo.geneontology.org/amigo/term/GO:0004557","GO:0004557")</f>
        <v>GO:0004557</v>
      </c>
      <c r="D214" t="s">
        <v>5324</v>
      </c>
      <c r="E214">
        <v>13</v>
      </c>
      <c r="F214">
        <v>2</v>
      </c>
      <c r="G214">
        <v>3.94472476202E-2</v>
      </c>
      <c r="H214">
        <v>0.86783944764440102</v>
      </c>
      <c r="I214" t="s">
        <v>10763</v>
      </c>
    </row>
    <row r="215" spans="1:9" x14ac:dyDescent="0.25">
      <c r="A215" t="s">
        <v>10764</v>
      </c>
      <c r="C215" s="3" t="str">
        <f>HYPERLINK("http://amigo.geneontology.org/amigo/term/GO:0052692","GO:0052692")</f>
        <v>GO:0052692</v>
      </c>
      <c r="D215" t="s">
        <v>5326</v>
      </c>
      <c r="E215">
        <v>13</v>
      </c>
      <c r="F215">
        <v>2</v>
      </c>
      <c r="G215">
        <v>3.94472476202E-2</v>
      </c>
      <c r="H215">
        <v>0.86783944764440102</v>
      </c>
      <c r="I215" t="s">
        <v>10763</v>
      </c>
    </row>
    <row r="216" spans="1:9" x14ac:dyDescent="0.25">
      <c r="A216" t="s">
        <v>10765</v>
      </c>
      <c r="C216" s="3" t="str">
        <f>HYPERLINK("http://amigo.geneontology.org/amigo/term/GO:0047800","GO:0047800")</f>
        <v>GO:0047800</v>
      </c>
      <c r="D216" t="s">
        <v>10766</v>
      </c>
      <c r="E216">
        <v>13</v>
      </c>
      <c r="F216">
        <v>2</v>
      </c>
      <c r="G216">
        <v>3.94472476202E-2</v>
      </c>
      <c r="H216">
        <v>0.86783944764440102</v>
      </c>
      <c r="I216" t="s">
        <v>10767</v>
      </c>
    </row>
    <row r="217" spans="1:9" x14ac:dyDescent="0.25">
      <c r="A217" t="s">
        <v>10768</v>
      </c>
      <c r="C217" s="3" t="str">
        <f>HYPERLINK("http://amigo.geneontology.org/amigo/term/GO:2001141","GO:2001141")</f>
        <v>GO:2001141</v>
      </c>
      <c r="D217" t="s">
        <v>6826</v>
      </c>
      <c r="E217">
        <v>4680</v>
      </c>
      <c r="F217">
        <v>134</v>
      </c>
      <c r="G217">
        <v>3.9531233004814099E-2</v>
      </c>
      <c r="H217">
        <v>0.83015589310109605</v>
      </c>
      <c r="I217" t="s">
        <v>10759</v>
      </c>
    </row>
    <row r="218" spans="1:9" x14ac:dyDescent="0.25">
      <c r="A218" t="s">
        <v>10769</v>
      </c>
      <c r="C218" s="3" t="str">
        <f>HYPERLINK("http://amigo.geneontology.org/amigo/term/GO:0051252","GO:0051252")</f>
        <v>GO:0051252</v>
      </c>
      <c r="D218" t="s">
        <v>6827</v>
      </c>
      <c r="E218">
        <v>4719</v>
      </c>
      <c r="F218">
        <v>135</v>
      </c>
      <c r="G218">
        <v>3.9766638946576102E-2</v>
      </c>
      <c r="H218">
        <v>0.83509941787809905</v>
      </c>
      <c r="I218" t="s">
        <v>10770</v>
      </c>
    </row>
    <row r="219" spans="1:9" x14ac:dyDescent="0.25">
      <c r="A219" t="s">
        <v>10771</v>
      </c>
      <c r="C219" s="3" t="str">
        <f>HYPERLINK("http://amigo.geneontology.org/amigo/term/GO:0001708","GO:0001708")</f>
        <v>GO:0001708</v>
      </c>
      <c r="D219" t="s">
        <v>10772</v>
      </c>
      <c r="E219">
        <v>31</v>
      </c>
      <c r="F219">
        <v>3</v>
      </c>
      <c r="G219">
        <v>4.0106613635074603E-2</v>
      </c>
      <c r="H219">
        <v>0.84223888633656696</v>
      </c>
      <c r="I219" t="s">
        <v>10558</v>
      </c>
    </row>
    <row r="220" spans="1:9" x14ac:dyDescent="0.25">
      <c r="A220" t="s">
        <v>10773</v>
      </c>
      <c r="C220" s="3" t="str">
        <f>HYPERLINK("http://amigo.geneontology.org/amigo/term/GO:0055082","GO:0055082")</f>
        <v>GO:0055082</v>
      </c>
      <c r="D220" t="s">
        <v>10774</v>
      </c>
      <c r="E220">
        <v>157</v>
      </c>
      <c r="F220">
        <v>8</v>
      </c>
      <c r="G220">
        <v>4.1195294667205201E-2</v>
      </c>
      <c r="H220">
        <v>0.86510118801130897</v>
      </c>
      <c r="I220" t="s">
        <v>10775</v>
      </c>
    </row>
    <row r="221" spans="1:9" x14ac:dyDescent="0.25">
      <c r="A221" t="s">
        <v>10776</v>
      </c>
      <c r="C221" s="3" t="str">
        <f>HYPERLINK("http://amigo.geneontology.org/amigo/term/GO:0019200","GO:0019200")</f>
        <v>GO:0019200</v>
      </c>
      <c r="D221" t="s">
        <v>994</v>
      </c>
      <c r="E221">
        <v>103</v>
      </c>
      <c r="F221">
        <v>6</v>
      </c>
      <c r="G221">
        <v>4.2168542934946901E-2</v>
      </c>
      <c r="H221">
        <v>0.885539401633885</v>
      </c>
      <c r="I221" t="s">
        <v>10484</v>
      </c>
    </row>
    <row r="222" spans="1:9" x14ac:dyDescent="0.25">
      <c r="A222" t="s">
        <v>10777</v>
      </c>
      <c r="C222" s="3" t="str">
        <f>HYPERLINK("http://amigo.geneontology.org/amigo/term/GO:0044419","GO:0044419")</f>
        <v>GO:0044419</v>
      </c>
      <c r="D222" t="s">
        <v>10778</v>
      </c>
      <c r="E222">
        <v>130</v>
      </c>
      <c r="F222">
        <v>7</v>
      </c>
      <c r="G222">
        <v>4.2334469265109899E-2</v>
      </c>
      <c r="H222">
        <v>0.88902385456730804</v>
      </c>
      <c r="I222" t="s">
        <v>10675</v>
      </c>
    </row>
    <row r="223" spans="1:9" x14ac:dyDescent="0.25">
      <c r="A223" t="s">
        <v>10779</v>
      </c>
      <c r="C223" s="3" t="str">
        <f>HYPERLINK("http://amigo.geneontology.org/amigo/term/GO:0016049","GO:0016049")</f>
        <v>GO:0016049</v>
      </c>
      <c r="D223" t="s">
        <v>772</v>
      </c>
      <c r="E223">
        <v>217</v>
      </c>
      <c r="F223">
        <v>10</v>
      </c>
      <c r="G223">
        <v>4.35750842246777E-2</v>
      </c>
      <c r="H223">
        <v>0.91507676871823296</v>
      </c>
      <c r="I223" t="s">
        <v>10780</v>
      </c>
    </row>
    <row r="224" spans="1:9" x14ac:dyDescent="0.25">
      <c r="A224" t="s">
        <v>10781</v>
      </c>
      <c r="C224" s="3" t="str">
        <f>HYPERLINK("http://amigo.geneontology.org/amigo/term/GO:0004722","GO:0004722")</f>
        <v>GO:0004722</v>
      </c>
      <c r="D224" t="s">
        <v>5298</v>
      </c>
      <c r="E224">
        <v>221</v>
      </c>
      <c r="F224">
        <v>10</v>
      </c>
      <c r="G224">
        <v>4.8226575967977699E-2</v>
      </c>
      <c r="H224">
        <v>1</v>
      </c>
      <c r="I224" t="s">
        <v>10782</v>
      </c>
    </row>
    <row r="225" spans="1:9" x14ac:dyDescent="0.25">
      <c r="A225" t="s">
        <v>10783</v>
      </c>
      <c r="C225" s="3" t="str">
        <f>HYPERLINK("http://amigo.geneontology.org/amigo/term/GO:0005044","GO:0005044")</f>
        <v>GO:0005044</v>
      </c>
      <c r="D225" t="s">
        <v>10784</v>
      </c>
      <c r="E225">
        <v>2</v>
      </c>
      <c r="F225">
        <v>1</v>
      </c>
      <c r="G225">
        <v>4.8616831093361401E-2</v>
      </c>
      <c r="H225">
        <v>0.97233662186722802</v>
      </c>
      <c r="I225" t="s">
        <v>10785</v>
      </c>
    </row>
    <row r="226" spans="1:9" x14ac:dyDescent="0.25">
      <c r="A226" t="s">
        <v>10786</v>
      </c>
      <c r="C226" s="3" t="str">
        <f>HYPERLINK("http://amigo.geneontology.org/amigo/term/GO:0090447","GO:0090447")</f>
        <v>GO:0090447</v>
      </c>
      <c r="D226" t="s">
        <v>9620</v>
      </c>
      <c r="E226">
        <v>2</v>
      </c>
      <c r="F226">
        <v>1</v>
      </c>
      <c r="G226">
        <v>4.8616831093361401E-2</v>
      </c>
      <c r="H226">
        <v>0.97233662186722802</v>
      </c>
      <c r="I226" t="s">
        <v>9621</v>
      </c>
    </row>
    <row r="227" spans="1:9" x14ac:dyDescent="0.25">
      <c r="A227" t="s">
        <v>9568</v>
      </c>
      <c r="C227" s="3" t="str">
        <f>HYPERLINK("http://amigo.geneontology.org/amigo/term/GO:0016110","GO:0016110")</f>
        <v>GO:0016110</v>
      </c>
      <c r="D227" t="s">
        <v>10787</v>
      </c>
      <c r="E227">
        <v>2</v>
      </c>
      <c r="F227">
        <v>1</v>
      </c>
      <c r="G227">
        <v>4.8616831093361401E-2</v>
      </c>
      <c r="H227">
        <v>0.97233662186722802</v>
      </c>
      <c r="I227" t="s">
        <v>10717</v>
      </c>
    </row>
    <row r="228" spans="1:9" x14ac:dyDescent="0.25">
      <c r="A228" t="s">
        <v>10788</v>
      </c>
      <c r="C228" s="3" t="str">
        <f>HYPERLINK("http://amigo.geneontology.org/amigo/term/GO:0016118","GO:0016118")</f>
        <v>GO:0016118</v>
      </c>
      <c r="D228" t="s">
        <v>10789</v>
      </c>
      <c r="E228">
        <v>2</v>
      </c>
      <c r="F228">
        <v>1</v>
      </c>
      <c r="G228">
        <v>4.8616831093361401E-2</v>
      </c>
      <c r="H228">
        <v>0.97233662186722802</v>
      </c>
      <c r="I228" t="s">
        <v>10717</v>
      </c>
    </row>
    <row r="229" spans="1:9" x14ac:dyDescent="0.25">
      <c r="A229" t="s">
        <v>10790</v>
      </c>
      <c r="C229" s="3" t="str">
        <f>HYPERLINK("http://amigo.geneontology.org/amigo/term/GO:0016124","GO:0016124")</f>
        <v>GO:0016124</v>
      </c>
      <c r="D229" t="s">
        <v>10791</v>
      </c>
      <c r="E229">
        <v>2</v>
      </c>
      <c r="F229">
        <v>1</v>
      </c>
      <c r="G229">
        <v>4.8616831093361401E-2</v>
      </c>
      <c r="H229">
        <v>0.97233662186722802</v>
      </c>
      <c r="I229" t="s">
        <v>10717</v>
      </c>
    </row>
    <row r="230" spans="1:9" x14ac:dyDescent="0.25">
      <c r="A230" t="s">
        <v>10792</v>
      </c>
      <c r="C230" s="3" t="str">
        <f>HYPERLINK("http://amigo.geneontology.org/amigo/term/GO:0010301","GO:0010301")</f>
        <v>GO:0010301</v>
      </c>
      <c r="D230" t="s">
        <v>10793</v>
      </c>
      <c r="E230">
        <v>2</v>
      </c>
      <c r="F230">
        <v>1</v>
      </c>
      <c r="G230">
        <v>4.8616831093361401E-2</v>
      </c>
      <c r="H230">
        <v>0.97233662186722802</v>
      </c>
      <c r="I230" t="s">
        <v>10794</v>
      </c>
    </row>
    <row r="231" spans="1:9" x14ac:dyDescent="0.25">
      <c r="A231" t="s">
        <v>10795</v>
      </c>
      <c r="C231" s="3" t="str">
        <f>HYPERLINK("http://amigo.geneontology.org/amigo/term/GO:0016207","GO:0016207")</f>
        <v>GO:0016207</v>
      </c>
      <c r="D231" t="s">
        <v>10796</v>
      </c>
      <c r="E231">
        <v>2</v>
      </c>
      <c r="F231">
        <v>1</v>
      </c>
      <c r="G231">
        <v>4.8616831093361401E-2</v>
      </c>
      <c r="H231">
        <v>0.97233662186722802</v>
      </c>
      <c r="I231" t="s">
        <v>10797</v>
      </c>
    </row>
    <row r="232" spans="1:9" x14ac:dyDescent="0.25">
      <c r="A232" t="s">
        <v>10798</v>
      </c>
      <c r="C232" s="3" t="str">
        <f>HYPERLINK("http://amigo.geneontology.org/amigo/term/GO:0016714","GO:0016714")</f>
        <v>GO:0016714</v>
      </c>
      <c r="D232" t="s">
        <v>10799</v>
      </c>
      <c r="E232">
        <v>2</v>
      </c>
      <c r="F232">
        <v>1</v>
      </c>
      <c r="G232">
        <v>4.8616831093361401E-2</v>
      </c>
      <c r="H232">
        <v>0.97233662186722802</v>
      </c>
      <c r="I232" t="s">
        <v>10800</v>
      </c>
    </row>
    <row r="233" spans="1:9" x14ac:dyDescent="0.25">
      <c r="A233" t="s">
        <v>10801</v>
      </c>
      <c r="C233" s="3" t="str">
        <f>HYPERLINK("http://amigo.geneontology.org/amigo/term/GO:0050265","GO:0050265")</f>
        <v>GO:0050265</v>
      </c>
      <c r="D233" t="s">
        <v>10802</v>
      </c>
      <c r="E233">
        <v>2</v>
      </c>
      <c r="F233">
        <v>1</v>
      </c>
      <c r="G233">
        <v>4.8616831093361401E-2</v>
      </c>
      <c r="H233">
        <v>0.97233662186722802</v>
      </c>
      <c r="I233" t="s">
        <v>10727</v>
      </c>
    </row>
    <row r="234" spans="1:9" x14ac:dyDescent="0.25">
      <c r="A234" t="s">
        <v>10803</v>
      </c>
      <c r="C234" s="3" t="str">
        <f>HYPERLINK("http://amigo.geneontology.org/amigo/term/GO:0071076","GO:0071076")</f>
        <v>GO:0071076</v>
      </c>
      <c r="D234" t="s">
        <v>10804</v>
      </c>
      <c r="E234">
        <v>2</v>
      </c>
      <c r="F234">
        <v>1</v>
      </c>
      <c r="G234">
        <v>4.8616831093361401E-2</v>
      </c>
      <c r="H234">
        <v>0.97233662186722802</v>
      </c>
      <c r="I234" t="s">
        <v>10727</v>
      </c>
    </row>
    <row r="235" spans="1:9" x14ac:dyDescent="0.25">
      <c r="A235" t="s">
        <v>10805</v>
      </c>
      <c r="C235" s="3" t="str">
        <f>HYPERLINK("http://amigo.geneontology.org/amigo/term/GO:1900368","GO:1900368")</f>
        <v>GO:1900368</v>
      </c>
      <c r="D235" t="s">
        <v>10806</v>
      </c>
      <c r="E235">
        <v>2</v>
      </c>
      <c r="F235">
        <v>1</v>
      </c>
      <c r="G235">
        <v>4.8616831093361401E-2</v>
      </c>
      <c r="H235">
        <v>1</v>
      </c>
      <c r="I235" t="s">
        <v>10727</v>
      </c>
    </row>
    <row r="236" spans="1:9" x14ac:dyDescent="0.25">
      <c r="A236" t="s">
        <v>10807</v>
      </c>
      <c r="C236" s="3" t="str">
        <f>HYPERLINK("http://amigo.geneontology.org/amigo/term/GO:0090065","GO:0090065")</f>
        <v>GO:0090065</v>
      </c>
      <c r="D236" t="s">
        <v>10808</v>
      </c>
      <c r="E236">
        <v>2</v>
      </c>
      <c r="F236">
        <v>1</v>
      </c>
      <c r="G236">
        <v>4.8616831093361401E-2</v>
      </c>
      <c r="H236">
        <v>1</v>
      </c>
      <c r="I236" t="s">
        <v>10727</v>
      </c>
    </row>
    <row r="237" spans="1:9" x14ac:dyDescent="0.25">
      <c r="A237" t="s">
        <v>10809</v>
      </c>
      <c r="C237" s="3" t="str">
        <f>HYPERLINK("http://amigo.geneontology.org/amigo/term/GO:0005992","GO:0005992")</f>
        <v>GO:0005992</v>
      </c>
      <c r="D237" t="s">
        <v>6217</v>
      </c>
      <c r="E237">
        <v>56</v>
      </c>
      <c r="F237">
        <v>4</v>
      </c>
      <c r="G237">
        <v>4.90088848295906E-2</v>
      </c>
      <c r="H237">
        <v>0.93116881176222099</v>
      </c>
      <c r="I237" t="s">
        <v>10810</v>
      </c>
    </row>
    <row r="238" spans="1:9" x14ac:dyDescent="0.25">
      <c r="A238" t="s">
        <v>10811</v>
      </c>
      <c r="C238" s="3" t="str">
        <f>HYPERLINK("http://amigo.geneontology.org/amigo/term/GO:0010605","GO:0010605")</f>
        <v>GO:0010605</v>
      </c>
      <c r="D238" t="s">
        <v>7497</v>
      </c>
      <c r="E238">
        <v>779</v>
      </c>
      <c r="F238">
        <v>27</v>
      </c>
      <c r="G238">
        <v>4.9824935694530698E-2</v>
      </c>
      <c r="H238">
        <v>0.946673778196084</v>
      </c>
      <c r="I238" t="s">
        <v>10812</v>
      </c>
    </row>
    <row r="239" spans="1:9" x14ac:dyDescent="0.25">
      <c r="A239" t="s">
        <v>10813</v>
      </c>
    </row>
    <row r="240" spans="1:9" x14ac:dyDescent="0.25">
      <c r="A240" t="s">
        <v>10814</v>
      </c>
    </row>
    <row r="241" spans="1:1" x14ac:dyDescent="0.25">
      <c r="A241" t="s">
        <v>10815</v>
      </c>
    </row>
    <row r="242" spans="1:1" x14ac:dyDescent="0.25">
      <c r="A242" t="s">
        <v>10816</v>
      </c>
    </row>
    <row r="243" spans="1:1" x14ac:dyDescent="0.25">
      <c r="A243" t="s">
        <v>10817</v>
      </c>
    </row>
    <row r="244" spans="1:1" x14ac:dyDescent="0.25">
      <c r="A244" t="s">
        <v>9891</v>
      </c>
    </row>
    <row r="245" spans="1:1" x14ac:dyDescent="0.25">
      <c r="A245" t="s">
        <v>10818</v>
      </c>
    </row>
    <row r="246" spans="1:1" x14ac:dyDescent="0.25">
      <c r="A246" t="s">
        <v>10819</v>
      </c>
    </row>
    <row r="247" spans="1:1" x14ac:dyDescent="0.25">
      <c r="A247" t="s">
        <v>7081</v>
      </c>
    </row>
    <row r="248" spans="1:1" x14ac:dyDescent="0.25">
      <c r="A248" t="s">
        <v>10820</v>
      </c>
    </row>
    <row r="249" spans="1:1" x14ac:dyDescent="0.25">
      <c r="A249" t="s">
        <v>10821</v>
      </c>
    </row>
    <row r="250" spans="1:1" x14ac:dyDescent="0.25">
      <c r="A250" t="s">
        <v>10822</v>
      </c>
    </row>
    <row r="251" spans="1:1" x14ac:dyDescent="0.25">
      <c r="A251" t="s">
        <v>10823</v>
      </c>
    </row>
    <row r="252" spans="1:1" x14ac:dyDescent="0.25">
      <c r="A252" t="s">
        <v>10824</v>
      </c>
    </row>
    <row r="253" spans="1:1" x14ac:dyDescent="0.25">
      <c r="A253" t="s">
        <v>10825</v>
      </c>
    </row>
    <row r="254" spans="1:1" x14ac:dyDescent="0.25">
      <c r="A254" t="s">
        <v>10826</v>
      </c>
    </row>
    <row r="255" spans="1:1" x14ac:dyDescent="0.25">
      <c r="A255" t="s">
        <v>10827</v>
      </c>
    </row>
    <row r="256" spans="1:1" x14ac:dyDescent="0.25">
      <c r="A256" t="s">
        <v>10828</v>
      </c>
    </row>
    <row r="257" spans="1:1" x14ac:dyDescent="0.25">
      <c r="A257" t="s">
        <v>8953</v>
      </c>
    </row>
    <row r="258" spans="1:1" x14ac:dyDescent="0.25">
      <c r="A258" t="s">
        <v>10829</v>
      </c>
    </row>
    <row r="259" spans="1:1" x14ac:dyDescent="0.25">
      <c r="A259" t="s">
        <v>10830</v>
      </c>
    </row>
    <row r="260" spans="1:1" x14ac:dyDescent="0.25">
      <c r="A260" t="s">
        <v>10831</v>
      </c>
    </row>
    <row r="261" spans="1:1" x14ac:dyDescent="0.25">
      <c r="A261" t="s">
        <v>10832</v>
      </c>
    </row>
    <row r="262" spans="1:1" x14ac:dyDescent="0.25">
      <c r="A262" t="s">
        <v>10833</v>
      </c>
    </row>
    <row r="263" spans="1:1" x14ac:dyDescent="0.25">
      <c r="A263" t="s">
        <v>10834</v>
      </c>
    </row>
    <row r="264" spans="1:1" x14ac:dyDescent="0.25">
      <c r="A264" t="s">
        <v>10835</v>
      </c>
    </row>
    <row r="265" spans="1:1" x14ac:dyDescent="0.25">
      <c r="A265" t="s">
        <v>8212</v>
      </c>
    </row>
    <row r="266" spans="1:1" x14ac:dyDescent="0.25">
      <c r="A266" t="s">
        <v>10836</v>
      </c>
    </row>
    <row r="267" spans="1:1" x14ac:dyDescent="0.25">
      <c r="A267" t="s">
        <v>10837</v>
      </c>
    </row>
    <row r="268" spans="1:1" x14ac:dyDescent="0.25">
      <c r="A268" t="s">
        <v>10838</v>
      </c>
    </row>
    <row r="269" spans="1:1" x14ac:dyDescent="0.25">
      <c r="A269" t="s">
        <v>8957</v>
      </c>
    </row>
    <row r="270" spans="1:1" x14ac:dyDescent="0.25">
      <c r="A270" t="s">
        <v>10839</v>
      </c>
    </row>
    <row r="271" spans="1:1" x14ac:dyDescent="0.25">
      <c r="A271" t="s">
        <v>10840</v>
      </c>
    </row>
    <row r="272" spans="1:1" x14ac:dyDescent="0.25">
      <c r="A272" t="s">
        <v>10841</v>
      </c>
    </row>
    <row r="273" spans="1:1" x14ac:dyDescent="0.25">
      <c r="A273" t="s">
        <v>10842</v>
      </c>
    </row>
    <row r="274" spans="1:1" x14ac:dyDescent="0.25">
      <c r="A274" t="s">
        <v>10843</v>
      </c>
    </row>
    <row r="275" spans="1:1" x14ac:dyDescent="0.25">
      <c r="A275" t="s">
        <v>10844</v>
      </c>
    </row>
    <row r="276" spans="1:1" x14ac:dyDescent="0.25">
      <c r="A276" t="s">
        <v>8219</v>
      </c>
    </row>
    <row r="277" spans="1:1" x14ac:dyDescent="0.25">
      <c r="A277" t="s">
        <v>10845</v>
      </c>
    </row>
    <row r="278" spans="1:1" x14ac:dyDescent="0.25">
      <c r="A278" t="s">
        <v>10846</v>
      </c>
    </row>
    <row r="279" spans="1:1" x14ac:dyDescent="0.25">
      <c r="A279" t="s">
        <v>10847</v>
      </c>
    </row>
    <row r="280" spans="1:1" x14ac:dyDescent="0.25">
      <c r="A280" t="s">
        <v>10848</v>
      </c>
    </row>
    <row r="281" spans="1:1" x14ac:dyDescent="0.25">
      <c r="A281" t="s">
        <v>10849</v>
      </c>
    </row>
    <row r="282" spans="1:1" x14ac:dyDescent="0.25">
      <c r="A282" t="s">
        <v>10850</v>
      </c>
    </row>
    <row r="283" spans="1:1" x14ac:dyDescent="0.25">
      <c r="A283" t="s">
        <v>10851</v>
      </c>
    </row>
    <row r="284" spans="1:1" x14ac:dyDescent="0.25">
      <c r="A284" t="s">
        <v>10852</v>
      </c>
    </row>
    <row r="285" spans="1:1" x14ac:dyDescent="0.25">
      <c r="A285" t="s">
        <v>10853</v>
      </c>
    </row>
    <row r="286" spans="1:1" x14ac:dyDescent="0.25">
      <c r="A286" t="s">
        <v>10854</v>
      </c>
    </row>
    <row r="287" spans="1:1" x14ac:dyDescent="0.25">
      <c r="A287" t="s">
        <v>10855</v>
      </c>
    </row>
    <row r="288" spans="1:1" x14ac:dyDescent="0.25">
      <c r="A288" t="s">
        <v>10856</v>
      </c>
    </row>
    <row r="289" spans="1:1" x14ac:dyDescent="0.25">
      <c r="A289" t="s">
        <v>8971</v>
      </c>
    </row>
    <row r="290" spans="1:1" x14ac:dyDescent="0.25">
      <c r="A290" t="s">
        <v>10857</v>
      </c>
    </row>
    <row r="291" spans="1:1" x14ac:dyDescent="0.25">
      <c r="A291" t="s">
        <v>10858</v>
      </c>
    </row>
    <row r="292" spans="1:1" x14ac:dyDescent="0.25">
      <c r="A292" t="s">
        <v>10859</v>
      </c>
    </row>
    <row r="293" spans="1:1" x14ac:dyDescent="0.25">
      <c r="A293" t="s">
        <v>10860</v>
      </c>
    </row>
    <row r="294" spans="1:1" x14ac:dyDescent="0.25">
      <c r="A294" t="s">
        <v>10861</v>
      </c>
    </row>
    <row r="295" spans="1:1" x14ac:dyDescent="0.25">
      <c r="A295" t="s">
        <v>10862</v>
      </c>
    </row>
    <row r="296" spans="1:1" x14ac:dyDescent="0.25">
      <c r="A296" t="s">
        <v>10863</v>
      </c>
    </row>
    <row r="297" spans="1:1" x14ac:dyDescent="0.25">
      <c r="A297" t="s">
        <v>10864</v>
      </c>
    </row>
    <row r="298" spans="1:1" x14ac:dyDescent="0.25">
      <c r="A298" t="s">
        <v>9570</v>
      </c>
    </row>
    <row r="299" spans="1:1" x14ac:dyDescent="0.25">
      <c r="A299" t="s">
        <v>10865</v>
      </c>
    </row>
    <row r="300" spans="1:1" x14ac:dyDescent="0.25">
      <c r="A300" t="s">
        <v>9572</v>
      </c>
    </row>
    <row r="301" spans="1:1" x14ac:dyDescent="0.25">
      <c r="A301" t="s">
        <v>9573</v>
      </c>
    </row>
    <row r="302" spans="1:1" x14ac:dyDescent="0.25">
      <c r="A302" t="s">
        <v>10866</v>
      </c>
    </row>
    <row r="303" spans="1:1" x14ac:dyDescent="0.25">
      <c r="A303" t="s">
        <v>10867</v>
      </c>
    </row>
    <row r="304" spans="1:1" x14ac:dyDescent="0.25">
      <c r="A304" t="s">
        <v>10868</v>
      </c>
    </row>
    <row r="305" spans="1:1" x14ac:dyDescent="0.25">
      <c r="A305" t="s">
        <v>10869</v>
      </c>
    </row>
    <row r="306" spans="1:1" x14ac:dyDescent="0.25">
      <c r="A306" t="s">
        <v>10870</v>
      </c>
    </row>
    <row r="307" spans="1:1" x14ac:dyDescent="0.25">
      <c r="A307" t="s">
        <v>10871</v>
      </c>
    </row>
    <row r="308" spans="1:1" x14ac:dyDescent="0.25">
      <c r="A308" t="s">
        <v>7130</v>
      </c>
    </row>
    <row r="309" spans="1:1" x14ac:dyDescent="0.25">
      <c r="A309" t="s">
        <v>10872</v>
      </c>
    </row>
    <row r="310" spans="1:1" x14ac:dyDescent="0.25">
      <c r="A310" t="s">
        <v>10873</v>
      </c>
    </row>
    <row r="311" spans="1:1" x14ac:dyDescent="0.25">
      <c r="A311" t="s">
        <v>10874</v>
      </c>
    </row>
    <row r="312" spans="1:1" x14ac:dyDescent="0.25">
      <c r="A312" t="s">
        <v>10875</v>
      </c>
    </row>
    <row r="313" spans="1:1" x14ac:dyDescent="0.25">
      <c r="A313" t="s">
        <v>10876</v>
      </c>
    </row>
    <row r="314" spans="1:1" x14ac:dyDescent="0.25">
      <c r="A314" t="s">
        <v>10877</v>
      </c>
    </row>
    <row r="315" spans="1:1" x14ac:dyDescent="0.25">
      <c r="A315" t="s">
        <v>10878</v>
      </c>
    </row>
    <row r="316" spans="1:1" x14ac:dyDescent="0.25">
      <c r="A316" t="s">
        <v>10879</v>
      </c>
    </row>
    <row r="317" spans="1:1" x14ac:dyDescent="0.25">
      <c r="A317" t="s">
        <v>10880</v>
      </c>
    </row>
    <row r="318" spans="1:1" x14ac:dyDescent="0.25">
      <c r="A318" t="s">
        <v>7134</v>
      </c>
    </row>
    <row r="319" spans="1:1" x14ac:dyDescent="0.25">
      <c r="A319" t="s">
        <v>10881</v>
      </c>
    </row>
    <row r="320" spans="1:1" x14ac:dyDescent="0.25">
      <c r="A320" t="s">
        <v>10882</v>
      </c>
    </row>
    <row r="321" spans="1:1" x14ac:dyDescent="0.25">
      <c r="A321" t="s">
        <v>10883</v>
      </c>
    </row>
    <row r="322" spans="1:1" x14ac:dyDescent="0.25">
      <c r="A322" t="s">
        <v>10884</v>
      </c>
    </row>
    <row r="323" spans="1:1" x14ac:dyDescent="0.25">
      <c r="A323" t="s">
        <v>10885</v>
      </c>
    </row>
    <row r="324" spans="1:1" x14ac:dyDescent="0.25">
      <c r="A324" t="s">
        <v>10886</v>
      </c>
    </row>
    <row r="325" spans="1:1" x14ac:dyDescent="0.25">
      <c r="A325" t="s">
        <v>10887</v>
      </c>
    </row>
    <row r="326" spans="1:1" x14ac:dyDescent="0.25">
      <c r="A326" t="s">
        <v>10888</v>
      </c>
    </row>
    <row r="327" spans="1:1" x14ac:dyDescent="0.25">
      <c r="A327" t="s">
        <v>10889</v>
      </c>
    </row>
    <row r="328" spans="1:1" x14ac:dyDescent="0.25">
      <c r="A328" t="s">
        <v>10890</v>
      </c>
    </row>
    <row r="329" spans="1:1" x14ac:dyDescent="0.25">
      <c r="A329" t="s">
        <v>10891</v>
      </c>
    </row>
    <row r="330" spans="1:1" x14ac:dyDescent="0.25">
      <c r="A330" t="s">
        <v>10892</v>
      </c>
    </row>
    <row r="331" spans="1:1" x14ac:dyDescent="0.25">
      <c r="A331" t="s">
        <v>10893</v>
      </c>
    </row>
    <row r="332" spans="1:1" x14ac:dyDescent="0.25">
      <c r="A332" t="s">
        <v>10894</v>
      </c>
    </row>
    <row r="333" spans="1:1" x14ac:dyDescent="0.25">
      <c r="A333" t="s">
        <v>10895</v>
      </c>
    </row>
    <row r="334" spans="1:1" x14ac:dyDescent="0.25">
      <c r="A334" t="s">
        <v>10896</v>
      </c>
    </row>
    <row r="335" spans="1:1" x14ac:dyDescent="0.25">
      <c r="A335" t="s">
        <v>10897</v>
      </c>
    </row>
    <row r="336" spans="1:1" x14ac:dyDescent="0.25">
      <c r="A336" t="s">
        <v>10898</v>
      </c>
    </row>
    <row r="337" spans="1:1" x14ac:dyDescent="0.25">
      <c r="A337" t="s">
        <v>10899</v>
      </c>
    </row>
    <row r="338" spans="1:1" x14ac:dyDescent="0.25">
      <c r="A338" t="s">
        <v>10900</v>
      </c>
    </row>
    <row r="339" spans="1:1" x14ac:dyDescent="0.25">
      <c r="A339" t="s">
        <v>10901</v>
      </c>
    </row>
    <row r="340" spans="1:1" x14ac:dyDescent="0.25">
      <c r="A340" t="s">
        <v>10902</v>
      </c>
    </row>
    <row r="341" spans="1:1" x14ac:dyDescent="0.25">
      <c r="A341" t="s">
        <v>10903</v>
      </c>
    </row>
    <row r="342" spans="1:1" x14ac:dyDescent="0.25">
      <c r="A342" t="s">
        <v>8696</v>
      </c>
    </row>
    <row r="343" spans="1:1" x14ac:dyDescent="0.25">
      <c r="A343" t="s">
        <v>10904</v>
      </c>
    </row>
    <row r="344" spans="1:1" x14ac:dyDescent="0.25">
      <c r="A344" t="s">
        <v>10905</v>
      </c>
    </row>
    <row r="345" spans="1:1" x14ac:dyDescent="0.25">
      <c r="A345" t="s">
        <v>10906</v>
      </c>
    </row>
    <row r="346" spans="1:1" x14ac:dyDescent="0.25">
      <c r="A346" t="s">
        <v>10907</v>
      </c>
    </row>
    <row r="347" spans="1:1" x14ac:dyDescent="0.25">
      <c r="A347" t="s">
        <v>10908</v>
      </c>
    </row>
    <row r="348" spans="1:1" x14ac:dyDescent="0.25">
      <c r="A348" t="s">
        <v>10909</v>
      </c>
    </row>
    <row r="349" spans="1:1" x14ac:dyDescent="0.25">
      <c r="A349" t="s">
        <v>10910</v>
      </c>
    </row>
    <row r="350" spans="1:1" x14ac:dyDescent="0.25">
      <c r="A350" t="s">
        <v>10911</v>
      </c>
    </row>
    <row r="351" spans="1:1" x14ac:dyDescent="0.25">
      <c r="A351" t="s">
        <v>10912</v>
      </c>
    </row>
    <row r="352" spans="1:1" x14ac:dyDescent="0.25">
      <c r="A352" t="s">
        <v>10913</v>
      </c>
    </row>
    <row r="353" spans="1:1" x14ac:dyDescent="0.25">
      <c r="A353" t="s">
        <v>10914</v>
      </c>
    </row>
    <row r="354" spans="1:1" x14ac:dyDescent="0.25">
      <c r="A354" t="s">
        <v>10915</v>
      </c>
    </row>
    <row r="355" spans="1:1" x14ac:dyDescent="0.25">
      <c r="A355" t="s">
        <v>10916</v>
      </c>
    </row>
    <row r="356" spans="1:1" x14ac:dyDescent="0.25">
      <c r="A356" t="s">
        <v>10917</v>
      </c>
    </row>
    <row r="357" spans="1:1" x14ac:dyDescent="0.25">
      <c r="A357" t="s">
        <v>10918</v>
      </c>
    </row>
    <row r="358" spans="1:1" x14ac:dyDescent="0.25">
      <c r="A358" t="s">
        <v>10919</v>
      </c>
    </row>
    <row r="359" spans="1:1" x14ac:dyDescent="0.25">
      <c r="A359" t="s">
        <v>8236</v>
      </c>
    </row>
    <row r="360" spans="1:1" x14ac:dyDescent="0.25">
      <c r="A360" t="s">
        <v>10920</v>
      </c>
    </row>
    <row r="361" spans="1:1" x14ac:dyDescent="0.25">
      <c r="A361" t="s">
        <v>10921</v>
      </c>
    </row>
    <row r="362" spans="1:1" x14ac:dyDescent="0.25">
      <c r="A362" t="s">
        <v>8782</v>
      </c>
    </row>
    <row r="363" spans="1:1" x14ac:dyDescent="0.25">
      <c r="A363" t="s">
        <v>10922</v>
      </c>
    </row>
    <row r="364" spans="1:1" x14ac:dyDescent="0.25">
      <c r="A364" t="s">
        <v>10923</v>
      </c>
    </row>
    <row r="365" spans="1:1" x14ac:dyDescent="0.25">
      <c r="A365" t="s">
        <v>10924</v>
      </c>
    </row>
    <row r="366" spans="1:1" x14ac:dyDescent="0.25">
      <c r="A366" t="s">
        <v>9582</v>
      </c>
    </row>
    <row r="367" spans="1:1" x14ac:dyDescent="0.25">
      <c r="A367" t="s">
        <v>9008</v>
      </c>
    </row>
    <row r="368" spans="1:1" x14ac:dyDescent="0.25">
      <c r="A368" t="s">
        <v>10925</v>
      </c>
    </row>
    <row r="369" spans="1:1" x14ac:dyDescent="0.25">
      <c r="A369" t="s">
        <v>10926</v>
      </c>
    </row>
    <row r="370" spans="1:1" x14ac:dyDescent="0.25">
      <c r="A370" t="s">
        <v>10927</v>
      </c>
    </row>
    <row r="371" spans="1:1" x14ac:dyDescent="0.25">
      <c r="A371" t="s">
        <v>10928</v>
      </c>
    </row>
    <row r="372" spans="1:1" x14ac:dyDescent="0.25">
      <c r="A372" t="s">
        <v>10929</v>
      </c>
    </row>
    <row r="373" spans="1:1" x14ac:dyDescent="0.25">
      <c r="A373" t="s">
        <v>10930</v>
      </c>
    </row>
    <row r="374" spans="1:1" x14ac:dyDescent="0.25">
      <c r="A374" t="s">
        <v>10931</v>
      </c>
    </row>
    <row r="375" spans="1:1" x14ac:dyDescent="0.25">
      <c r="A375" t="s">
        <v>7166</v>
      </c>
    </row>
    <row r="376" spans="1:1" x14ac:dyDescent="0.25">
      <c r="A376" t="s">
        <v>10932</v>
      </c>
    </row>
    <row r="377" spans="1:1" x14ac:dyDescent="0.25">
      <c r="A377" t="s">
        <v>10933</v>
      </c>
    </row>
    <row r="378" spans="1:1" x14ac:dyDescent="0.25">
      <c r="A378" t="s">
        <v>10934</v>
      </c>
    </row>
    <row r="379" spans="1:1" x14ac:dyDescent="0.25">
      <c r="A379" t="s">
        <v>7176</v>
      </c>
    </row>
    <row r="380" spans="1:1" x14ac:dyDescent="0.25">
      <c r="A380" t="s">
        <v>8698</v>
      </c>
    </row>
    <row r="381" spans="1:1" x14ac:dyDescent="0.25">
      <c r="A381" t="s">
        <v>10935</v>
      </c>
    </row>
    <row r="382" spans="1:1" x14ac:dyDescent="0.25">
      <c r="A382" t="s">
        <v>10936</v>
      </c>
    </row>
    <row r="383" spans="1:1" x14ac:dyDescent="0.25">
      <c r="A383" t="s">
        <v>10937</v>
      </c>
    </row>
    <row r="384" spans="1:1" x14ac:dyDescent="0.25">
      <c r="A384" t="s">
        <v>8699</v>
      </c>
    </row>
    <row r="385" spans="1:1" x14ac:dyDescent="0.25">
      <c r="A385" t="s">
        <v>8700</v>
      </c>
    </row>
    <row r="386" spans="1:1" x14ac:dyDescent="0.25">
      <c r="A386" t="s">
        <v>8701</v>
      </c>
    </row>
    <row r="387" spans="1:1" x14ac:dyDescent="0.25">
      <c r="A387" t="s">
        <v>8702</v>
      </c>
    </row>
    <row r="388" spans="1:1" x14ac:dyDescent="0.25">
      <c r="A388" t="s">
        <v>10938</v>
      </c>
    </row>
    <row r="389" spans="1:1" x14ac:dyDescent="0.25">
      <c r="A389" t="s">
        <v>8703</v>
      </c>
    </row>
    <row r="390" spans="1:1" x14ac:dyDescent="0.25">
      <c r="A390" t="s">
        <v>10939</v>
      </c>
    </row>
    <row r="391" spans="1:1" x14ac:dyDescent="0.25">
      <c r="A391" t="s">
        <v>10940</v>
      </c>
    </row>
    <row r="392" spans="1:1" x14ac:dyDescent="0.25">
      <c r="A392" t="s">
        <v>10941</v>
      </c>
    </row>
    <row r="393" spans="1:1" x14ac:dyDescent="0.25">
      <c r="A393" t="s">
        <v>10942</v>
      </c>
    </row>
    <row r="394" spans="1:1" x14ac:dyDescent="0.25">
      <c r="A394" t="s">
        <v>10943</v>
      </c>
    </row>
    <row r="395" spans="1:1" x14ac:dyDescent="0.25">
      <c r="A395" t="s">
        <v>10944</v>
      </c>
    </row>
    <row r="396" spans="1:1" x14ac:dyDescent="0.25">
      <c r="A396" t="s">
        <v>10945</v>
      </c>
    </row>
    <row r="397" spans="1:1" x14ac:dyDescent="0.25">
      <c r="A397" t="s">
        <v>10946</v>
      </c>
    </row>
    <row r="398" spans="1:1" x14ac:dyDescent="0.25">
      <c r="A398" t="s">
        <v>10947</v>
      </c>
    </row>
    <row r="399" spans="1:1" x14ac:dyDescent="0.25">
      <c r="A399" t="s">
        <v>10948</v>
      </c>
    </row>
    <row r="400" spans="1:1" x14ac:dyDescent="0.25">
      <c r="A400" t="s">
        <v>10949</v>
      </c>
    </row>
    <row r="401" spans="1:1" x14ac:dyDescent="0.25">
      <c r="A401" t="s">
        <v>10950</v>
      </c>
    </row>
    <row r="402" spans="1:1" x14ac:dyDescent="0.25">
      <c r="A402" t="s">
        <v>10951</v>
      </c>
    </row>
    <row r="403" spans="1:1" x14ac:dyDescent="0.25">
      <c r="A403" t="s">
        <v>10952</v>
      </c>
    </row>
    <row r="404" spans="1:1" x14ac:dyDescent="0.25">
      <c r="A404" t="s">
        <v>9020</v>
      </c>
    </row>
    <row r="405" spans="1:1" x14ac:dyDescent="0.25">
      <c r="A405" t="s">
        <v>9591</v>
      </c>
    </row>
    <row r="406" spans="1:1" x14ac:dyDescent="0.25">
      <c r="A406" t="s">
        <v>10953</v>
      </c>
    </row>
    <row r="407" spans="1:1" x14ac:dyDescent="0.25">
      <c r="A407" t="s">
        <v>10954</v>
      </c>
    </row>
    <row r="408" spans="1:1" x14ac:dyDescent="0.25">
      <c r="A408" t="s">
        <v>10955</v>
      </c>
    </row>
    <row r="409" spans="1:1" x14ac:dyDescent="0.25">
      <c r="A409" t="s">
        <v>10956</v>
      </c>
    </row>
    <row r="410" spans="1:1" x14ac:dyDescent="0.25">
      <c r="A410" t="s">
        <v>10957</v>
      </c>
    </row>
    <row r="411" spans="1:1" x14ac:dyDescent="0.25">
      <c r="A411" t="s">
        <v>10958</v>
      </c>
    </row>
    <row r="412" spans="1:1" x14ac:dyDescent="0.25">
      <c r="A412" t="s">
        <v>10959</v>
      </c>
    </row>
    <row r="413" spans="1:1" x14ac:dyDescent="0.25">
      <c r="A413" t="s">
        <v>10960</v>
      </c>
    </row>
    <row r="414" spans="1:1" x14ac:dyDescent="0.25">
      <c r="A414" t="s">
        <v>7184</v>
      </c>
    </row>
    <row r="415" spans="1:1" x14ac:dyDescent="0.25">
      <c r="A415" t="s">
        <v>9592</v>
      </c>
    </row>
    <row r="416" spans="1:1" x14ac:dyDescent="0.25">
      <c r="A416" t="s">
        <v>10961</v>
      </c>
    </row>
    <row r="417" spans="1:1" x14ac:dyDescent="0.25">
      <c r="A417" t="s">
        <v>10962</v>
      </c>
    </row>
    <row r="418" spans="1:1" x14ac:dyDescent="0.25">
      <c r="A418" t="s">
        <v>10963</v>
      </c>
    </row>
    <row r="419" spans="1:1" x14ac:dyDescent="0.25">
      <c r="A419" t="s">
        <v>10964</v>
      </c>
    </row>
    <row r="420" spans="1:1" x14ac:dyDescent="0.25">
      <c r="A420" t="s">
        <v>10965</v>
      </c>
    </row>
    <row r="421" spans="1:1" x14ac:dyDescent="0.25">
      <c r="A421" t="s">
        <v>10966</v>
      </c>
    </row>
    <row r="422" spans="1:1" x14ac:dyDescent="0.25">
      <c r="A422" t="s">
        <v>9595</v>
      </c>
    </row>
    <row r="423" spans="1:1" x14ac:dyDescent="0.25">
      <c r="A423" t="s">
        <v>9597</v>
      </c>
    </row>
    <row r="424" spans="1:1" x14ac:dyDescent="0.25">
      <c r="A424" t="s">
        <v>10967</v>
      </c>
    </row>
    <row r="425" spans="1:1" x14ac:dyDescent="0.25">
      <c r="A425" t="s">
        <v>9898</v>
      </c>
    </row>
    <row r="426" spans="1:1" x14ac:dyDescent="0.25">
      <c r="A426" t="s">
        <v>10968</v>
      </c>
    </row>
    <row r="427" spans="1:1" x14ac:dyDescent="0.25">
      <c r="A427" t="s">
        <v>10969</v>
      </c>
    </row>
    <row r="428" spans="1:1" x14ac:dyDescent="0.25">
      <c r="A428" t="s">
        <v>10970</v>
      </c>
    </row>
    <row r="429" spans="1:1" x14ac:dyDescent="0.25">
      <c r="A429" t="s">
        <v>9041</v>
      </c>
    </row>
    <row r="430" spans="1:1" x14ac:dyDescent="0.25">
      <c r="A430" t="s">
        <v>9599</v>
      </c>
    </row>
    <row r="431" spans="1:1" x14ac:dyDescent="0.25">
      <c r="A431" t="s">
        <v>8705</v>
      </c>
    </row>
    <row r="432" spans="1:1" x14ac:dyDescent="0.25">
      <c r="A432" t="s">
        <v>10971</v>
      </c>
    </row>
    <row r="433" spans="1:1" x14ac:dyDescent="0.25">
      <c r="A433" t="s">
        <v>10972</v>
      </c>
    </row>
    <row r="434" spans="1:1" x14ac:dyDescent="0.25">
      <c r="A434" t="s">
        <v>10973</v>
      </c>
    </row>
    <row r="435" spans="1:1" x14ac:dyDescent="0.25">
      <c r="A435" t="s">
        <v>10974</v>
      </c>
    </row>
    <row r="436" spans="1:1" x14ac:dyDescent="0.25">
      <c r="A436" t="s">
        <v>10975</v>
      </c>
    </row>
    <row r="437" spans="1:1" x14ac:dyDescent="0.25">
      <c r="A437" t="s">
        <v>10976</v>
      </c>
    </row>
    <row r="438" spans="1:1" x14ac:dyDescent="0.25">
      <c r="A438" t="s">
        <v>10977</v>
      </c>
    </row>
    <row r="439" spans="1:1" x14ac:dyDescent="0.25">
      <c r="A439" t="s">
        <v>8258</v>
      </c>
    </row>
    <row r="440" spans="1:1" x14ac:dyDescent="0.25">
      <c r="A440" t="s">
        <v>10978</v>
      </c>
    </row>
    <row r="441" spans="1:1" x14ac:dyDescent="0.25">
      <c r="A441" t="s">
        <v>10979</v>
      </c>
    </row>
    <row r="442" spans="1:1" x14ac:dyDescent="0.25">
      <c r="A442" t="s">
        <v>10980</v>
      </c>
    </row>
    <row r="443" spans="1:1" x14ac:dyDescent="0.25">
      <c r="A443" t="s">
        <v>8783</v>
      </c>
    </row>
    <row r="444" spans="1:1" x14ac:dyDescent="0.25">
      <c r="A444" t="s">
        <v>10981</v>
      </c>
    </row>
    <row r="445" spans="1:1" x14ac:dyDescent="0.25">
      <c r="A445" t="s">
        <v>10982</v>
      </c>
    </row>
    <row r="446" spans="1:1" x14ac:dyDescent="0.25">
      <c r="A446" t="s">
        <v>10983</v>
      </c>
    </row>
    <row r="447" spans="1:1" x14ac:dyDescent="0.25">
      <c r="A447" t="s">
        <v>10984</v>
      </c>
    </row>
    <row r="448" spans="1:1" x14ac:dyDescent="0.25">
      <c r="A448" t="s">
        <v>10985</v>
      </c>
    </row>
    <row r="449" spans="1:1" x14ac:dyDescent="0.25">
      <c r="A449" t="s">
        <v>9051</v>
      </c>
    </row>
    <row r="450" spans="1:1" x14ac:dyDescent="0.25">
      <c r="A450" t="s">
        <v>10986</v>
      </c>
    </row>
    <row r="451" spans="1:1" x14ac:dyDescent="0.25">
      <c r="A451" t="s">
        <v>10987</v>
      </c>
    </row>
    <row r="452" spans="1:1" x14ac:dyDescent="0.25">
      <c r="A452" t="s">
        <v>10988</v>
      </c>
    </row>
    <row r="453" spans="1:1" x14ac:dyDescent="0.25">
      <c r="A453" t="s">
        <v>10989</v>
      </c>
    </row>
    <row r="454" spans="1:1" x14ac:dyDescent="0.25">
      <c r="A454" t="s">
        <v>10990</v>
      </c>
    </row>
    <row r="455" spans="1:1" x14ac:dyDescent="0.25">
      <c r="A455" t="s">
        <v>10991</v>
      </c>
    </row>
    <row r="456" spans="1:1" x14ac:dyDescent="0.25">
      <c r="A456" t="s">
        <v>7219</v>
      </c>
    </row>
    <row r="457" spans="1:1" x14ac:dyDescent="0.25">
      <c r="A457" t="s">
        <v>10992</v>
      </c>
    </row>
    <row r="458" spans="1:1" x14ac:dyDescent="0.25">
      <c r="A458" t="s">
        <v>10993</v>
      </c>
    </row>
    <row r="459" spans="1:1" x14ac:dyDescent="0.25">
      <c r="A459" t="s">
        <v>9052</v>
      </c>
    </row>
    <row r="460" spans="1:1" x14ac:dyDescent="0.25">
      <c r="A460" t="s">
        <v>10994</v>
      </c>
    </row>
    <row r="461" spans="1:1" x14ac:dyDescent="0.25">
      <c r="A461" t="s">
        <v>10995</v>
      </c>
    </row>
    <row r="462" spans="1:1" x14ac:dyDescent="0.25">
      <c r="A462" t="s">
        <v>10996</v>
      </c>
    </row>
    <row r="463" spans="1:1" x14ac:dyDescent="0.25">
      <c r="A463" t="s">
        <v>10997</v>
      </c>
    </row>
    <row r="464" spans="1:1" x14ac:dyDescent="0.25">
      <c r="A464" t="s">
        <v>10998</v>
      </c>
    </row>
    <row r="465" spans="1:1" x14ac:dyDescent="0.25">
      <c r="A465" t="s">
        <v>10999</v>
      </c>
    </row>
    <row r="466" spans="1:1" x14ac:dyDescent="0.25">
      <c r="A466" t="s">
        <v>11000</v>
      </c>
    </row>
    <row r="467" spans="1:1" x14ac:dyDescent="0.25">
      <c r="A467" t="s">
        <v>11001</v>
      </c>
    </row>
    <row r="468" spans="1:1" x14ac:dyDescent="0.25">
      <c r="A468" t="s">
        <v>11002</v>
      </c>
    </row>
    <row r="469" spans="1:1" x14ac:dyDescent="0.25">
      <c r="A469" t="s">
        <v>11003</v>
      </c>
    </row>
    <row r="470" spans="1:1" x14ac:dyDescent="0.25">
      <c r="A470" t="s">
        <v>11004</v>
      </c>
    </row>
    <row r="471" spans="1:1" x14ac:dyDescent="0.25">
      <c r="A471" t="s">
        <v>11005</v>
      </c>
    </row>
    <row r="472" spans="1:1" x14ac:dyDescent="0.25">
      <c r="A472" t="s">
        <v>11006</v>
      </c>
    </row>
    <row r="473" spans="1:1" x14ac:dyDescent="0.25">
      <c r="A473" t="s">
        <v>11007</v>
      </c>
    </row>
    <row r="474" spans="1:1" x14ac:dyDescent="0.25">
      <c r="A474" t="s">
        <v>7253</v>
      </c>
    </row>
    <row r="475" spans="1:1" x14ac:dyDescent="0.25">
      <c r="A475" t="s">
        <v>11008</v>
      </c>
    </row>
    <row r="476" spans="1:1" x14ac:dyDescent="0.25">
      <c r="A476" t="s">
        <v>11009</v>
      </c>
    </row>
    <row r="477" spans="1:1" x14ac:dyDescent="0.25">
      <c r="A477" t="s">
        <v>11010</v>
      </c>
    </row>
    <row r="478" spans="1:1" x14ac:dyDescent="0.25">
      <c r="A478" t="s">
        <v>8710</v>
      </c>
    </row>
    <row r="479" spans="1:1" x14ac:dyDescent="0.25">
      <c r="A479" t="s">
        <v>11011</v>
      </c>
    </row>
    <row r="480" spans="1:1" x14ac:dyDescent="0.25">
      <c r="A480" t="s">
        <v>11012</v>
      </c>
    </row>
    <row r="481" spans="1:1" x14ac:dyDescent="0.25">
      <c r="A481" t="s">
        <v>11013</v>
      </c>
    </row>
    <row r="482" spans="1:1" x14ac:dyDescent="0.25">
      <c r="A482" t="s">
        <v>11014</v>
      </c>
    </row>
    <row r="483" spans="1:1" x14ac:dyDescent="0.25">
      <c r="A483" t="s">
        <v>11015</v>
      </c>
    </row>
    <row r="484" spans="1:1" x14ac:dyDescent="0.25">
      <c r="A484" t="s">
        <v>11016</v>
      </c>
    </row>
    <row r="485" spans="1:1" x14ac:dyDescent="0.25">
      <c r="A485" t="s">
        <v>11017</v>
      </c>
    </row>
    <row r="486" spans="1:1" x14ac:dyDescent="0.25">
      <c r="A486" t="s">
        <v>11018</v>
      </c>
    </row>
    <row r="487" spans="1:1" x14ac:dyDescent="0.25">
      <c r="A487" t="s">
        <v>11019</v>
      </c>
    </row>
    <row r="488" spans="1:1" x14ac:dyDescent="0.25">
      <c r="A488" t="s">
        <v>9083</v>
      </c>
    </row>
    <row r="489" spans="1:1" x14ac:dyDescent="0.25">
      <c r="A489" t="s">
        <v>11020</v>
      </c>
    </row>
    <row r="490" spans="1:1" x14ac:dyDescent="0.25">
      <c r="A490" t="s">
        <v>7259</v>
      </c>
    </row>
    <row r="491" spans="1:1" x14ac:dyDescent="0.25">
      <c r="A491" t="s">
        <v>11021</v>
      </c>
    </row>
    <row r="492" spans="1:1" x14ac:dyDescent="0.25">
      <c r="A492" t="s">
        <v>11022</v>
      </c>
    </row>
    <row r="493" spans="1:1" x14ac:dyDescent="0.25">
      <c r="A493" t="s">
        <v>11023</v>
      </c>
    </row>
    <row r="494" spans="1:1" x14ac:dyDescent="0.25">
      <c r="A494" t="s">
        <v>11024</v>
      </c>
    </row>
    <row r="495" spans="1:1" x14ac:dyDescent="0.25">
      <c r="A495" t="s">
        <v>11025</v>
      </c>
    </row>
    <row r="496" spans="1:1" x14ac:dyDescent="0.25">
      <c r="A496" t="s">
        <v>11026</v>
      </c>
    </row>
    <row r="497" spans="1:1" x14ac:dyDescent="0.25">
      <c r="A497" t="s">
        <v>11027</v>
      </c>
    </row>
    <row r="498" spans="1:1" x14ac:dyDescent="0.25">
      <c r="A498" t="s">
        <v>11028</v>
      </c>
    </row>
    <row r="499" spans="1:1" x14ac:dyDescent="0.25">
      <c r="A499" t="s">
        <v>11029</v>
      </c>
    </row>
    <row r="500" spans="1:1" x14ac:dyDescent="0.25">
      <c r="A500" t="s">
        <v>11030</v>
      </c>
    </row>
    <row r="501" spans="1:1" x14ac:dyDescent="0.25">
      <c r="A501" t="s">
        <v>11031</v>
      </c>
    </row>
    <row r="502" spans="1:1" x14ac:dyDescent="0.25">
      <c r="A502" t="s">
        <v>11032</v>
      </c>
    </row>
    <row r="503" spans="1:1" x14ac:dyDescent="0.25">
      <c r="A503" t="s">
        <v>11033</v>
      </c>
    </row>
    <row r="504" spans="1:1" x14ac:dyDescent="0.25">
      <c r="A504" t="s">
        <v>7273</v>
      </c>
    </row>
    <row r="505" spans="1:1" x14ac:dyDescent="0.25">
      <c r="A505" t="s">
        <v>11034</v>
      </c>
    </row>
    <row r="506" spans="1:1" x14ac:dyDescent="0.25">
      <c r="A506" t="s">
        <v>11035</v>
      </c>
    </row>
    <row r="507" spans="1:1" x14ac:dyDescent="0.25">
      <c r="A507" t="s">
        <v>11036</v>
      </c>
    </row>
    <row r="508" spans="1:1" x14ac:dyDescent="0.25">
      <c r="A508" t="s">
        <v>11037</v>
      </c>
    </row>
    <row r="509" spans="1:1" x14ac:dyDescent="0.25">
      <c r="A509" t="s">
        <v>8711</v>
      </c>
    </row>
    <row r="510" spans="1:1" x14ac:dyDescent="0.25">
      <c r="A510" t="s">
        <v>11038</v>
      </c>
    </row>
    <row r="511" spans="1:1" x14ac:dyDescent="0.25">
      <c r="A511" t="s">
        <v>11039</v>
      </c>
    </row>
    <row r="512" spans="1:1" x14ac:dyDescent="0.25">
      <c r="A512" t="s">
        <v>11040</v>
      </c>
    </row>
    <row r="513" spans="1:1" x14ac:dyDescent="0.25">
      <c r="A513" t="s">
        <v>11041</v>
      </c>
    </row>
    <row r="514" spans="1:1" x14ac:dyDescent="0.25">
      <c r="A514" t="s">
        <v>11042</v>
      </c>
    </row>
    <row r="515" spans="1:1" x14ac:dyDescent="0.25">
      <c r="A515" t="s">
        <v>11043</v>
      </c>
    </row>
    <row r="516" spans="1:1" x14ac:dyDescent="0.25">
      <c r="A516" t="s">
        <v>11044</v>
      </c>
    </row>
    <row r="517" spans="1:1" x14ac:dyDescent="0.25">
      <c r="A517" t="s">
        <v>11045</v>
      </c>
    </row>
    <row r="518" spans="1:1" x14ac:dyDescent="0.25">
      <c r="A518" t="s">
        <v>11046</v>
      </c>
    </row>
    <row r="519" spans="1:1" x14ac:dyDescent="0.25">
      <c r="A519" t="s">
        <v>8785</v>
      </c>
    </row>
    <row r="520" spans="1:1" x14ac:dyDescent="0.25">
      <c r="A520" t="s">
        <v>11047</v>
      </c>
    </row>
    <row r="521" spans="1:1" x14ac:dyDescent="0.25">
      <c r="A521" t="s">
        <v>11048</v>
      </c>
    </row>
    <row r="522" spans="1:1" x14ac:dyDescent="0.25">
      <c r="A522" t="s">
        <v>11049</v>
      </c>
    </row>
    <row r="523" spans="1:1" x14ac:dyDescent="0.25">
      <c r="A523" t="s">
        <v>11050</v>
      </c>
    </row>
    <row r="524" spans="1:1" x14ac:dyDescent="0.25">
      <c r="A524" t="s">
        <v>11051</v>
      </c>
    </row>
    <row r="525" spans="1:1" x14ac:dyDescent="0.25">
      <c r="A525" t="s">
        <v>11052</v>
      </c>
    </row>
    <row r="526" spans="1:1" x14ac:dyDescent="0.25">
      <c r="A526" t="s">
        <v>11053</v>
      </c>
    </row>
    <row r="527" spans="1:1" x14ac:dyDescent="0.25">
      <c r="A527" t="s">
        <v>11054</v>
      </c>
    </row>
    <row r="528" spans="1:1" x14ac:dyDescent="0.25">
      <c r="A528" t="s">
        <v>11055</v>
      </c>
    </row>
    <row r="529" spans="1:1" x14ac:dyDescent="0.25">
      <c r="A529" t="s">
        <v>9606</v>
      </c>
    </row>
    <row r="530" spans="1:1" x14ac:dyDescent="0.25">
      <c r="A530" t="s">
        <v>11056</v>
      </c>
    </row>
    <row r="531" spans="1:1" x14ac:dyDescent="0.25">
      <c r="A531" t="s">
        <v>11057</v>
      </c>
    </row>
    <row r="532" spans="1:1" x14ac:dyDescent="0.25">
      <c r="A532" t="s">
        <v>11058</v>
      </c>
    </row>
    <row r="533" spans="1:1" x14ac:dyDescent="0.25">
      <c r="A533" t="s">
        <v>11059</v>
      </c>
    </row>
    <row r="534" spans="1:1" x14ac:dyDescent="0.25">
      <c r="A534" t="s">
        <v>11060</v>
      </c>
    </row>
    <row r="535" spans="1:1" x14ac:dyDescent="0.25">
      <c r="A535" t="s">
        <v>11061</v>
      </c>
    </row>
    <row r="536" spans="1:1" x14ac:dyDescent="0.25">
      <c r="A536" t="s">
        <v>11062</v>
      </c>
    </row>
    <row r="537" spans="1:1" x14ac:dyDescent="0.25">
      <c r="A537" t="s">
        <v>11063</v>
      </c>
    </row>
    <row r="538" spans="1:1" x14ac:dyDescent="0.25">
      <c r="A538" t="s">
        <v>11064</v>
      </c>
    </row>
    <row r="539" spans="1:1" x14ac:dyDescent="0.25">
      <c r="A539" t="s">
        <v>11065</v>
      </c>
    </row>
    <row r="540" spans="1:1" x14ac:dyDescent="0.25">
      <c r="A540" t="s">
        <v>11066</v>
      </c>
    </row>
    <row r="541" spans="1:1" x14ac:dyDescent="0.25">
      <c r="A541" t="s">
        <v>11067</v>
      </c>
    </row>
    <row r="542" spans="1:1" x14ac:dyDescent="0.25">
      <c r="A542" t="s">
        <v>8289</v>
      </c>
    </row>
    <row r="543" spans="1:1" x14ac:dyDescent="0.25">
      <c r="A543" t="s">
        <v>11068</v>
      </c>
    </row>
    <row r="544" spans="1:1" x14ac:dyDescent="0.25">
      <c r="A544" t="s">
        <v>11069</v>
      </c>
    </row>
    <row r="545" spans="1:1" x14ac:dyDescent="0.25">
      <c r="A545" t="s">
        <v>11070</v>
      </c>
    </row>
    <row r="546" spans="1:1" x14ac:dyDescent="0.25">
      <c r="A546" t="s">
        <v>11071</v>
      </c>
    </row>
    <row r="547" spans="1:1" x14ac:dyDescent="0.25">
      <c r="A547" t="s">
        <v>8714</v>
      </c>
    </row>
    <row r="548" spans="1:1" x14ac:dyDescent="0.25">
      <c r="A548" t="s">
        <v>9116</v>
      </c>
    </row>
    <row r="549" spans="1:1" x14ac:dyDescent="0.25">
      <c r="A549" t="s">
        <v>11072</v>
      </c>
    </row>
    <row r="550" spans="1:1" x14ac:dyDescent="0.25">
      <c r="A550" t="s">
        <v>9608</v>
      </c>
    </row>
    <row r="551" spans="1:1" x14ac:dyDescent="0.25">
      <c r="A551" t="s">
        <v>8716</v>
      </c>
    </row>
    <row r="552" spans="1:1" x14ac:dyDescent="0.25">
      <c r="A552" t="s">
        <v>8293</v>
      </c>
    </row>
    <row r="553" spans="1:1" x14ac:dyDescent="0.25">
      <c r="A553" t="s">
        <v>11073</v>
      </c>
    </row>
    <row r="554" spans="1:1" x14ac:dyDescent="0.25">
      <c r="A554" t="s">
        <v>9609</v>
      </c>
    </row>
    <row r="555" spans="1:1" x14ac:dyDescent="0.25">
      <c r="A555" t="s">
        <v>11074</v>
      </c>
    </row>
    <row r="556" spans="1:1" x14ac:dyDescent="0.25">
      <c r="A556" t="s">
        <v>9610</v>
      </c>
    </row>
    <row r="557" spans="1:1" x14ac:dyDescent="0.25">
      <c r="A557" t="s">
        <v>9613</v>
      </c>
    </row>
    <row r="558" spans="1:1" x14ac:dyDescent="0.25">
      <c r="A558" t="s">
        <v>7315</v>
      </c>
    </row>
    <row r="559" spans="1:1" x14ac:dyDescent="0.25">
      <c r="A559" t="s">
        <v>11075</v>
      </c>
    </row>
    <row r="560" spans="1:1" x14ac:dyDescent="0.25">
      <c r="A560" t="s">
        <v>11076</v>
      </c>
    </row>
    <row r="561" spans="1:1" x14ac:dyDescent="0.25">
      <c r="A561" t="s">
        <v>11077</v>
      </c>
    </row>
    <row r="562" spans="1:1" x14ac:dyDescent="0.25">
      <c r="A562" t="s">
        <v>11078</v>
      </c>
    </row>
    <row r="563" spans="1:1" x14ac:dyDescent="0.25">
      <c r="A563" t="s">
        <v>9617</v>
      </c>
    </row>
    <row r="564" spans="1:1" x14ac:dyDescent="0.25">
      <c r="A564" t="s">
        <v>11079</v>
      </c>
    </row>
    <row r="565" spans="1:1" x14ac:dyDescent="0.25">
      <c r="A565" t="s">
        <v>11080</v>
      </c>
    </row>
    <row r="566" spans="1:1" x14ac:dyDescent="0.25">
      <c r="A566" t="s">
        <v>11081</v>
      </c>
    </row>
    <row r="567" spans="1:1" x14ac:dyDescent="0.25">
      <c r="A567" t="s">
        <v>11082</v>
      </c>
    </row>
    <row r="568" spans="1:1" x14ac:dyDescent="0.25">
      <c r="A568" t="s">
        <v>11083</v>
      </c>
    </row>
    <row r="569" spans="1:1" x14ac:dyDescent="0.25">
      <c r="A569" t="s">
        <v>11084</v>
      </c>
    </row>
    <row r="570" spans="1:1" x14ac:dyDescent="0.25">
      <c r="A570" t="s">
        <v>11085</v>
      </c>
    </row>
    <row r="571" spans="1:1" x14ac:dyDescent="0.25">
      <c r="A571" t="s">
        <v>11086</v>
      </c>
    </row>
    <row r="572" spans="1:1" x14ac:dyDescent="0.25">
      <c r="A572" t="s">
        <v>11087</v>
      </c>
    </row>
    <row r="573" spans="1:1" x14ac:dyDescent="0.25">
      <c r="A573" t="s">
        <v>11088</v>
      </c>
    </row>
    <row r="574" spans="1:1" x14ac:dyDescent="0.25">
      <c r="A574" t="s">
        <v>8298</v>
      </c>
    </row>
    <row r="575" spans="1:1" x14ac:dyDescent="0.25">
      <c r="A575" t="s">
        <v>9909</v>
      </c>
    </row>
    <row r="576" spans="1:1" x14ac:dyDescent="0.25">
      <c r="A576" t="s">
        <v>11089</v>
      </c>
    </row>
    <row r="577" spans="1:1" x14ac:dyDescent="0.25">
      <c r="A577" t="s">
        <v>8299</v>
      </c>
    </row>
    <row r="578" spans="1:1" x14ac:dyDescent="0.25">
      <c r="A578" t="s">
        <v>11090</v>
      </c>
    </row>
    <row r="579" spans="1:1" x14ac:dyDescent="0.25">
      <c r="A579" t="s">
        <v>11091</v>
      </c>
    </row>
    <row r="580" spans="1:1" x14ac:dyDescent="0.25">
      <c r="A580" t="s">
        <v>11092</v>
      </c>
    </row>
    <row r="581" spans="1:1" x14ac:dyDescent="0.25">
      <c r="A581" t="s">
        <v>11093</v>
      </c>
    </row>
    <row r="582" spans="1:1" x14ac:dyDescent="0.25">
      <c r="A582" t="s">
        <v>11094</v>
      </c>
    </row>
    <row r="583" spans="1:1" x14ac:dyDescent="0.25">
      <c r="A583" t="s">
        <v>11095</v>
      </c>
    </row>
    <row r="584" spans="1:1" x14ac:dyDescent="0.25">
      <c r="A584" t="s">
        <v>9154</v>
      </c>
    </row>
    <row r="585" spans="1:1" x14ac:dyDescent="0.25">
      <c r="A585" t="s">
        <v>11096</v>
      </c>
    </row>
    <row r="586" spans="1:1" x14ac:dyDescent="0.25">
      <c r="A586" t="s">
        <v>11097</v>
      </c>
    </row>
    <row r="587" spans="1:1" x14ac:dyDescent="0.25">
      <c r="A587" t="s">
        <v>11098</v>
      </c>
    </row>
    <row r="588" spans="1:1" x14ac:dyDescent="0.25">
      <c r="A588" t="s">
        <v>11099</v>
      </c>
    </row>
    <row r="589" spans="1:1" x14ac:dyDescent="0.25">
      <c r="A589" t="s">
        <v>11100</v>
      </c>
    </row>
    <row r="590" spans="1:1" x14ac:dyDescent="0.25">
      <c r="A590" t="s">
        <v>11101</v>
      </c>
    </row>
    <row r="591" spans="1:1" x14ac:dyDescent="0.25">
      <c r="A591" t="s">
        <v>11102</v>
      </c>
    </row>
    <row r="592" spans="1:1" x14ac:dyDescent="0.25">
      <c r="A592" t="s">
        <v>11103</v>
      </c>
    </row>
    <row r="593" spans="1:1" x14ac:dyDescent="0.25">
      <c r="A593" t="s">
        <v>11104</v>
      </c>
    </row>
    <row r="594" spans="1:1" x14ac:dyDescent="0.25">
      <c r="A594" t="s">
        <v>11105</v>
      </c>
    </row>
    <row r="595" spans="1:1" x14ac:dyDescent="0.25">
      <c r="A595" t="s">
        <v>11106</v>
      </c>
    </row>
    <row r="596" spans="1:1" x14ac:dyDescent="0.25">
      <c r="A596" t="s">
        <v>11107</v>
      </c>
    </row>
    <row r="597" spans="1:1" x14ac:dyDescent="0.25">
      <c r="A597" t="s">
        <v>11108</v>
      </c>
    </row>
    <row r="598" spans="1:1" x14ac:dyDescent="0.25">
      <c r="A598" t="s">
        <v>11109</v>
      </c>
    </row>
    <row r="599" spans="1:1" x14ac:dyDescent="0.25">
      <c r="A599" t="s">
        <v>11110</v>
      </c>
    </row>
    <row r="600" spans="1:1" x14ac:dyDescent="0.25">
      <c r="A600" t="s">
        <v>11111</v>
      </c>
    </row>
    <row r="601" spans="1:1" x14ac:dyDescent="0.25">
      <c r="A601" t="s">
        <v>11112</v>
      </c>
    </row>
    <row r="602" spans="1:1" x14ac:dyDescent="0.25">
      <c r="A602" t="s">
        <v>11113</v>
      </c>
    </row>
    <row r="603" spans="1:1" x14ac:dyDescent="0.25">
      <c r="A603" t="s">
        <v>11114</v>
      </c>
    </row>
    <row r="604" spans="1:1" x14ac:dyDescent="0.25">
      <c r="A604" t="s">
        <v>11115</v>
      </c>
    </row>
    <row r="605" spans="1:1" x14ac:dyDescent="0.25">
      <c r="A605" t="s">
        <v>11116</v>
      </c>
    </row>
    <row r="606" spans="1:1" x14ac:dyDescent="0.25">
      <c r="A606" t="s">
        <v>11117</v>
      </c>
    </row>
    <row r="607" spans="1:1" x14ac:dyDescent="0.25">
      <c r="A607" t="s">
        <v>11118</v>
      </c>
    </row>
    <row r="608" spans="1:1" x14ac:dyDescent="0.25">
      <c r="A608" t="s">
        <v>8718</v>
      </c>
    </row>
    <row r="609" spans="1:1" x14ac:dyDescent="0.25">
      <c r="A609" t="s">
        <v>11119</v>
      </c>
    </row>
    <row r="610" spans="1:1" x14ac:dyDescent="0.25">
      <c r="A610" t="s">
        <v>9622</v>
      </c>
    </row>
    <row r="611" spans="1:1" x14ac:dyDescent="0.25">
      <c r="A611" t="s">
        <v>11120</v>
      </c>
    </row>
    <row r="612" spans="1:1" x14ac:dyDescent="0.25">
      <c r="A612" t="s">
        <v>11121</v>
      </c>
    </row>
    <row r="613" spans="1:1" x14ac:dyDescent="0.25">
      <c r="A613" t="s">
        <v>11122</v>
      </c>
    </row>
    <row r="614" spans="1:1" x14ac:dyDescent="0.25">
      <c r="A614" t="s">
        <v>11123</v>
      </c>
    </row>
    <row r="615" spans="1:1" x14ac:dyDescent="0.25">
      <c r="A615" t="s">
        <v>11124</v>
      </c>
    </row>
    <row r="616" spans="1:1" x14ac:dyDescent="0.25">
      <c r="A616" t="s">
        <v>11125</v>
      </c>
    </row>
    <row r="617" spans="1:1" x14ac:dyDescent="0.25">
      <c r="A617" t="s">
        <v>11126</v>
      </c>
    </row>
    <row r="618" spans="1:1" x14ac:dyDescent="0.25">
      <c r="A618" t="s">
        <v>11127</v>
      </c>
    </row>
    <row r="619" spans="1:1" x14ac:dyDescent="0.25">
      <c r="A619" t="s">
        <v>11128</v>
      </c>
    </row>
    <row r="620" spans="1:1" x14ac:dyDescent="0.25">
      <c r="A620" t="s">
        <v>11129</v>
      </c>
    </row>
    <row r="621" spans="1:1" x14ac:dyDescent="0.25">
      <c r="A621" t="s">
        <v>9914</v>
      </c>
    </row>
    <row r="622" spans="1:1" x14ac:dyDescent="0.25">
      <c r="A622" t="s">
        <v>11130</v>
      </c>
    </row>
    <row r="623" spans="1:1" x14ac:dyDescent="0.25">
      <c r="A623" t="s">
        <v>11131</v>
      </c>
    </row>
    <row r="624" spans="1:1" x14ac:dyDescent="0.25">
      <c r="A624" t="s">
        <v>11132</v>
      </c>
    </row>
    <row r="625" spans="1:1" x14ac:dyDescent="0.25">
      <c r="A625" t="s">
        <v>11133</v>
      </c>
    </row>
    <row r="626" spans="1:1" x14ac:dyDescent="0.25">
      <c r="A626" t="s">
        <v>11134</v>
      </c>
    </row>
    <row r="627" spans="1:1" x14ac:dyDescent="0.25">
      <c r="A627" t="s">
        <v>11135</v>
      </c>
    </row>
    <row r="628" spans="1:1" x14ac:dyDescent="0.25">
      <c r="A628" t="s">
        <v>11136</v>
      </c>
    </row>
    <row r="629" spans="1:1" x14ac:dyDescent="0.25">
      <c r="A629" t="s">
        <v>11137</v>
      </c>
    </row>
    <row r="630" spans="1:1" x14ac:dyDescent="0.25">
      <c r="A630" t="s">
        <v>8720</v>
      </c>
    </row>
    <row r="631" spans="1:1" x14ac:dyDescent="0.25">
      <c r="A631" t="s">
        <v>7371</v>
      </c>
    </row>
    <row r="632" spans="1:1" x14ac:dyDescent="0.25">
      <c r="A632" t="s">
        <v>11138</v>
      </c>
    </row>
    <row r="633" spans="1:1" x14ac:dyDescent="0.25">
      <c r="A633" t="s">
        <v>11139</v>
      </c>
    </row>
    <row r="634" spans="1:1" x14ac:dyDescent="0.25">
      <c r="A634" t="s">
        <v>11140</v>
      </c>
    </row>
    <row r="635" spans="1:1" x14ac:dyDescent="0.25">
      <c r="A635" t="s">
        <v>11141</v>
      </c>
    </row>
    <row r="636" spans="1:1" x14ac:dyDescent="0.25">
      <c r="A636" t="s">
        <v>11142</v>
      </c>
    </row>
    <row r="637" spans="1:1" x14ac:dyDescent="0.25">
      <c r="A637" t="s">
        <v>11143</v>
      </c>
    </row>
    <row r="638" spans="1:1" x14ac:dyDescent="0.25">
      <c r="A638" t="s">
        <v>8721</v>
      </c>
    </row>
    <row r="639" spans="1:1" x14ac:dyDescent="0.25">
      <c r="A639" t="s">
        <v>11144</v>
      </c>
    </row>
    <row r="640" spans="1:1" x14ac:dyDescent="0.25">
      <c r="A640" t="s">
        <v>11145</v>
      </c>
    </row>
    <row r="641" spans="1:1" x14ac:dyDescent="0.25">
      <c r="A641" t="s">
        <v>11146</v>
      </c>
    </row>
    <row r="642" spans="1:1" x14ac:dyDescent="0.25">
      <c r="A642" t="s">
        <v>11147</v>
      </c>
    </row>
    <row r="643" spans="1:1" x14ac:dyDescent="0.25">
      <c r="A643" t="s">
        <v>11148</v>
      </c>
    </row>
    <row r="644" spans="1:1" x14ac:dyDescent="0.25">
      <c r="A644" t="s">
        <v>11149</v>
      </c>
    </row>
    <row r="645" spans="1:1" x14ac:dyDescent="0.25">
      <c r="A645" t="s">
        <v>11150</v>
      </c>
    </row>
    <row r="646" spans="1:1" x14ac:dyDescent="0.25">
      <c r="A646" t="s">
        <v>11151</v>
      </c>
    </row>
    <row r="647" spans="1:1" x14ac:dyDescent="0.25">
      <c r="A647" t="s">
        <v>11152</v>
      </c>
    </row>
    <row r="648" spans="1:1" x14ac:dyDescent="0.25">
      <c r="A648" t="s">
        <v>8319</v>
      </c>
    </row>
    <row r="649" spans="1:1" x14ac:dyDescent="0.25">
      <c r="A649" t="s">
        <v>11153</v>
      </c>
    </row>
    <row r="650" spans="1:1" x14ac:dyDescent="0.25">
      <c r="A650" t="s">
        <v>11154</v>
      </c>
    </row>
    <row r="651" spans="1:1" x14ac:dyDescent="0.25">
      <c r="A651" t="s">
        <v>11155</v>
      </c>
    </row>
    <row r="652" spans="1:1" x14ac:dyDescent="0.25">
      <c r="A652" t="s">
        <v>11156</v>
      </c>
    </row>
    <row r="653" spans="1:1" x14ac:dyDescent="0.25">
      <c r="A653" t="s">
        <v>11157</v>
      </c>
    </row>
    <row r="654" spans="1:1" x14ac:dyDescent="0.25">
      <c r="A654" t="s">
        <v>8722</v>
      </c>
    </row>
    <row r="655" spans="1:1" x14ac:dyDescent="0.25">
      <c r="A655" t="s">
        <v>11158</v>
      </c>
    </row>
    <row r="656" spans="1:1" x14ac:dyDescent="0.25">
      <c r="A656" t="s">
        <v>11159</v>
      </c>
    </row>
    <row r="657" spans="1:1" x14ac:dyDescent="0.25">
      <c r="A657" t="s">
        <v>11160</v>
      </c>
    </row>
    <row r="658" spans="1:1" x14ac:dyDescent="0.25">
      <c r="A658" t="s">
        <v>11161</v>
      </c>
    </row>
    <row r="659" spans="1:1" x14ac:dyDescent="0.25">
      <c r="A659" t="s">
        <v>11162</v>
      </c>
    </row>
    <row r="660" spans="1:1" x14ac:dyDescent="0.25">
      <c r="A660" t="s">
        <v>11163</v>
      </c>
    </row>
    <row r="661" spans="1:1" x14ac:dyDescent="0.25">
      <c r="A661" t="s">
        <v>11164</v>
      </c>
    </row>
    <row r="662" spans="1:1" x14ac:dyDescent="0.25">
      <c r="A662" t="s">
        <v>11165</v>
      </c>
    </row>
    <row r="663" spans="1:1" x14ac:dyDescent="0.25">
      <c r="A663" t="s">
        <v>11166</v>
      </c>
    </row>
    <row r="664" spans="1:1" x14ac:dyDescent="0.25">
      <c r="A664" t="s">
        <v>11167</v>
      </c>
    </row>
    <row r="665" spans="1:1" x14ac:dyDescent="0.25">
      <c r="A665" t="s">
        <v>11168</v>
      </c>
    </row>
    <row r="666" spans="1:1" x14ac:dyDescent="0.25">
      <c r="A666" t="s">
        <v>11169</v>
      </c>
    </row>
    <row r="667" spans="1:1" x14ac:dyDescent="0.25">
      <c r="A667" t="s">
        <v>11170</v>
      </c>
    </row>
    <row r="668" spans="1:1" x14ac:dyDescent="0.25">
      <c r="A668" t="s">
        <v>11171</v>
      </c>
    </row>
    <row r="669" spans="1:1" x14ac:dyDescent="0.25">
      <c r="A669" t="s">
        <v>11172</v>
      </c>
    </row>
    <row r="670" spans="1:1" x14ac:dyDescent="0.25">
      <c r="A670" t="s">
        <v>11173</v>
      </c>
    </row>
    <row r="671" spans="1:1" x14ac:dyDescent="0.25">
      <c r="A671" t="s">
        <v>11174</v>
      </c>
    </row>
    <row r="672" spans="1:1" x14ac:dyDescent="0.25">
      <c r="A672" t="s">
        <v>11175</v>
      </c>
    </row>
    <row r="673" spans="1:1" x14ac:dyDescent="0.25">
      <c r="A673" t="s">
        <v>11176</v>
      </c>
    </row>
    <row r="674" spans="1:1" x14ac:dyDescent="0.25">
      <c r="A674" t="s">
        <v>11177</v>
      </c>
    </row>
    <row r="675" spans="1:1" x14ac:dyDescent="0.25">
      <c r="A675" t="s">
        <v>9193</v>
      </c>
    </row>
    <row r="676" spans="1:1" x14ac:dyDescent="0.25">
      <c r="A676" t="s">
        <v>11178</v>
      </c>
    </row>
    <row r="677" spans="1:1" x14ac:dyDescent="0.25">
      <c r="A677" t="s">
        <v>11179</v>
      </c>
    </row>
    <row r="678" spans="1:1" x14ac:dyDescent="0.25">
      <c r="A678" t="s">
        <v>9629</v>
      </c>
    </row>
    <row r="679" spans="1:1" x14ac:dyDescent="0.25">
      <c r="A679" t="s">
        <v>11180</v>
      </c>
    </row>
    <row r="680" spans="1:1" x14ac:dyDescent="0.25">
      <c r="A680" t="s">
        <v>11181</v>
      </c>
    </row>
    <row r="681" spans="1:1" x14ac:dyDescent="0.25">
      <c r="A681" t="s">
        <v>11182</v>
      </c>
    </row>
    <row r="682" spans="1:1" x14ac:dyDescent="0.25">
      <c r="A682" t="s">
        <v>11183</v>
      </c>
    </row>
    <row r="683" spans="1:1" x14ac:dyDescent="0.25">
      <c r="A683" t="s">
        <v>11184</v>
      </c>
    </row>
    <row r="684" spans="1:1" x14ac:dyDescent="0.25">
      <c r="A684" t="s">
        <v>8328</v>
      </c>
    </row>
    <row r="685" spans="1:1" x14ac:dyDescent="0.25">
      <c r="A685" t="s">
        <v>9634</v>
      </c>
    </row>
    <row r="686" spans="1:1" x14ac:dyDescent="0.25">
      <c r="A686" t="s">
        <v>11185</v>
      </c>
    </row>
    <row r="687" spans="1:1" x14ac:dyDescent="0.25">
      <c r="A687" t="s">
        <v>11186</v>
      </c>
    </row>
    <row r="688" spans="1:1" x14ac:dyDescent="0.25">
      <c r="A688" t="s">
        <v>11187</v>
      </c>
    </row>
    <row r="689" spans="1:1" x14ac:dyDescent="0.25">
      <c r="A689" t="s">
        <v>11188</v>
      </c>
    </row>
    <row r="690" spans="1:1" x14ac:dyDescent="0.25">
      <c r="A690" t="s">
        <v>11189</v>
      </c>
    </row>
    <row r="691" spans="1:1" x14ac:dyDescent="0.25">
      <c r="A691" t="s">
        <v>8724</v>
      </c>
    </row>
    <row r="692" spans="1:1" x14ac:dyDescent="0.25">
      <c r="A692" t="s">
        <v>11190</v>
      </c>
    </row>
    <row r="693" spans="1:1" x14ac:dyDescent="0.25">
      <c r="A693" t="s">
        <v>11191</v>
      </c>
    </row>
    <row r="694" spans="1:1" x14ac:dyDescent="0.25">
      <c r="A694" t="s">
        <v>11192</v>
      </c>
    </row>
    <row r="695" spans="1:1" x14ac:dyDescent="0.25">
      <c r="A695" t="s">
        <v>11193</v>
      </c>
    </row>
    <row r="696" spans="1:1" x14ac:dyDescent="0.25">
      <c r="A696" t="s">
        <v>11194</v>
      </c>
    </row>
    <row r="697" spans="1:1" x14ac:dyDescent="0.25">
      <c r="A697" t="s">
        <v>11195</v>
      </c>
    </row>
    <row r="698" spans="1:1" x14ac:dyDescent="0.25">
      <c r="A698" t="s">
        <v>11196</v>
      </c>
    </row>
    <row r="699" spans="1:1" x14ac:dyDescent="0.25">
      <c r="A699" t="s">
        <v>9917</v>
      </c>
    </row>
    <row r="700" spans="1:1" x14ac:dyDescent="0.25">
      <c r="A700" t="s">
        <v>8786</v>
      </c>
    </row>
    <row r="701" spans="1:1" x14ac:dyDescent="0.25">
      <c r="A701" t="s">
        <v>9636</v>
      </c>
    </row>
    <row r="702" spans="1:1" x14ac:dyDescent="0.25">
      <c r="A702" t="s">
        <v>9637</v>
      </c>
    </row>
    <row r="703" spans="1:1" x14ac:dyDescent="0.25">
      <c r="A703" t="s">
        <v>11197</v>
      </c>
    </row>
    <row r="704" spans="1:1" x14ac:dyDescent="0.25">
      <c r="A704" t="s">
        <v>9638</v>
      </c>
    </row>
    <row r="705" spans="1:1" x14ac:dyDescent="0.25">
      <c r="A705" t="s">
        <v>11198</v>
      </c>
    </row>
    <row r="706" spans="1:1" x14ac:dyDescent="0.25">
      <c r="A706" t="s">
        <v>11199</v>
      </c>
    </row>
    <row r="707" spans="1:1" x14ac:dyDescent="0.25">
      <c r="A707" t="s">
        <v>8725</v>
      </c>
    </row>
    <row r="708" spans="1:1" x14ac:dyDescent="0.25">
      <c r="A708" t="s">
        <v>11200</v>
      </c>
    </row>
    <row r="709" spans="1:1" x14ac:dyDescent="0.25">
      <c r="A709" t="s">
        <v>11201</v>
      </c>
    </row>
    <row r="710" spans="1:1" x14ac:dyDescent="0.25">
      <c r="A710" t="s">
        <v>7414</v>
      </c>
    </row>
    <row r="711" spans="1:1" x14ac:dyDescent="0.25">
      <c r="A711" t="s">
        <v>11202</v>
      </c>
    </row>
    <row r="712" spans="1:1" x14ac:dyDescent="0.25">
      <c r="A712" t="s">
        <v>11203</v>
      </c>
    </row>
    <row r="713" spans="1:1" x14ac:dyDescent="0.25">
      <c r="A713" t="s">
        <v>11204</v>
      </c>
    </row>
    <row r="714" spans="1:1" x14ac:dyDescent="0.25">
      <c r="A714" t="s">
        <v>11205</v>
      </c>
    </row>
    <row r="715" spans="1:1" x14ac:dyDescent="0.25">
      <c r="A715" t="s">
        <v>11206</v>
      </c>
    </row>
    <row r="716" spans="1:1" x14ac:dyDescent="0.25">
      <c r="A716" t="s">
        <v>11207</v>
      </c>
    </row>
    <row r="717" spans="1:1" x14ac:dyDescent="0.25">
      <c r="A717" t="s">
        <v>11208</v>
      </c>
    </row>
    <row r="718" spans="1:1" x14ac:dyDescent="0.25">
      <c r="A718" t="s">
        <v>11209</v>
      </c>
    </row>
    <row r="719" spans="1:1" x14ac:dyDescent="0.25">
      <c r="A719" t="s">
        <v>11210</v>
      </c>
    </row>
    <row r="720" spans="1:1" x14ac:dyDescent="0.25">
      <c r="A720" t="s">
        <v>9207</v>
      </c>
    </row>
    <row r="721" spans="1:1" x14ac:dyDescent="0.25">
      <c r="A721" t="s">
        <v>11211</v>
      </c>
    </row>
    <row r="722" spans="1:1" x14ac:dyDescent="0.25">
      <c r="A722" t="s">
        <v>8727</v>
      </c>
    </row>
    <row r="723" spans="1:1" x14ac:dyDescent="0.25">
      <c r="A723" t="s">
        <v>9208</v>
      </c>
    </row>
    <row r="724" spans="1:1" x14ac:dyDescent="0.25">
      <c r="A724" t="s">
        <v>11212</v>
      </c>
    </row>
    <row r="725" spans="1:1" x14ac:dyDescent="0.25">
      <c r="A725" t="s">
        <v>11213</v>
      </c>
    </row>
    <row r="726" spans="1:1" x14ac:dyDescent="0.25">
      <c r="A726" t="s">
        <v>11214</v>
      </c>
    </row>
    <row r="727" spans="1:1" x14ac:dyDescent="0.25">
      <c r="A727" t="s">
        <v>11215</v>
      </c>
    </row>
    <row r="728" spans="1:1" x14ac:dyDescent="0.25">
      <c r="A728" t="s">
        <v>11216</v>
      </c>
    </row>
    <row r="729" spans="1:1" x14ac:dyDescent="0.25">
      <c r="A729" t="s">
        <v>9644</v>
      </c>
    </row>
    <row r="730" spans="1:1" x14ac:dyDescent="0.25">
      <c r="A730" t="s">
        <v>11217</v>
      </c>
    </row>
    <row r="731" spans="1:1" x14ac:dyDescent="0.25">
      <c r="A731" t="s">
        <v>7446</v>
      </c>
    </row>
    <row r="732" spans="1:1" x14ac:dyDescent="0.25">
      <c r="A732" t="s">
        <v>11218</v>
      </c>
    </row>
    <row r="733" spans="1:1" x14ac:dyDescent="0.25">
      <c r="A733" t="s">
        <v>11219</v>
      </c>
    </row>
    <row r="734" spans="1:1" x14ac:dyDescent="0.25">
      <c r="A734" t="s">
        <v>11220</v>
      </c>
    </row>
    <row r="735" spans="1:1" x14ac:dyDescent="0.25">
      <c r="A735" t="s">
        <v>11221</v>
      </c>
    </row>
    <row r="736" spans="1:1" x14ac:dyDescent="0.25">
      <c r="A736" t="s">
        <v>11222</v>
      </c>
    </row>
    <row r="737" spans="1:1" x14ac:dyDescent="0.25">
      <c r="A737" t="s">
        <v>11223</v>
      </c>
    </row>
    <row r="738" spans="1:1" x14ac:dyDescent="0.25">
      <c r="A738" t="s">
        <v>11224</v>
      </c>
    </row>
    <row r="739" spans="1:1" x14ac:dyDescent="0.25">
      <c r="A739" t="s">
        <v>11225</v>
      </c>
    </row>
    <row r="740" spans="1:1" x14ac:dyDescent="0.25">
      <c r="A740" t="s">
        <v>8342</v>
      </c>
    </row>
    <row r="741" spans="1:1" x14ac:dyDescent="0.25">
      <c r="A741" t="s">
        <v>11226</v>
      </c>
    </row>
    <row r="742" spans="1:1" x14ac:dyDescent="0.25">
      <c r="A742" t="s">
        <v>11227</v>
      </c>
    </row>
    <row r="743" spans="1:1" x14ac:dyDescent="0.25">
      <c r="A743" t="s">
        <v>9650</v>
      </c>
    </row>
    <row r="744" spans="1:1" x14ac:dyDescent="0.25">
      <c r="A744" t="s">
        <v>11228</v>
      </c>
    </row>
    <row r="745" spans="1:1" x14ac:dyDescent="0.25">
      <c r="A745" t="s">
        <v>11229</v>
      </c>
    </row>
    <row r="746" spans="1:1" x14ac:dyDescent="0.25">
      <c r="A746" t="s">
        <v>11230</v>
      </c>
    </row>
    <row r="747" spans="1:1" x14ac:dyDescent="0.25">
      <c r="A747" t="s">
        <v>11231</v>
      </c>
    </row>
    <row r="748" spans="1:1" x14ac:dyDescent="0.25">
      <c r="A748" t="s">
        <v>9651</v>
      </c>
    </row>
    <row r="749" spans="1:1" x14ac:dyDescent="0.25">
      <c r="A749" t="s">
        <v>9652</v>
      </c>
    </row>
    <row r="750" spans="1:1" x14ac:dyDescent="0.25">
      <c r="A750" t="s">
        <v>8788</v>
      </c>
    </row>
    <row r="751" spans="1:1" x14ac:dyDescent="0.25">
      <c r="A751" t="s">
        <v>11232</v>
      </c>
    </row>
    <row r="752" spans="1:1" x14ac:dyDescent="0.25">
      <c r="A752" t="s">
        <v>11233</v>
      </c>
    </row>
    <row r="753" spans="1:1" x14ac:dyDescent="0.25">
      <c r="A753" t="s">
        <v>11234</v>
      </c>
    </row>
    <row r="754" spans="1:1" x14ac:dyDescent="0.25">
      <c r="A754" t="s">
        <v>11235</v>
      </c>
    </row>
    <row r="755" spans="1:1" x14ac:dyDescent="0.25">
      <c r="A755" t="s">
        <v>11236</v>
      </c>
    </row>
    <row r="756" spans="1:1" x14ac:dyDescent="0.25">
      <c r="A756" t="s">
        <v>11237</v>
      </c>
    </row>
    <row r="757" spans="1:1" x14ac:dyDescent="0.25">
      <c r="A757" t="s">
        <v>11238</v>
      </c>
    </row>
    <row r="758" spans="1:1" x14ac:dyDescent="0.25">
      <c r="A758" t="s">
        <v>11239</v>
      </c>
    </row>
    <row r="759" spans="1:1" x14ac:dyDescent="0.25">
      <c r="A759" t="s">
        <v>11240</v>
      </c>
    </row>
    <row r="760" spans="1:1" x14ac:dyDescent="0.25">
      <c r="A760" t="s">
        <v>7468</v>
      </c>
    </row>
    <row r="761" spans="1:1" x14ac:dyDescent="0.25">
      <c r="A761" t="s">
        <v>11241</v>
      </c>
    </row>
    <row r="762" spans="1:1" x14ac:dyDescent="0.25">
      <c r="A762" t="s">
        <v>8731</v>
      </c>
    </row>
    <row r="763" spans="1:1" x14ac:dyDescent="0.25">
      <c r="A763" t="s">
        <v>11242</v>
      </c>
    </row>
    <row r="764" spans="1:1" x14ac:dyDescent="0.25">
      <c r="A764" t="s">
        <v>11243</v>
      </c>
    </row>
    <row r="765" spans="1:1" x14ac:dyDescent="0.25">
      <c r="A765" t="s">
        <v>11244</v>
      </c>
    </row>
    <row r="766" spans="1:1" x14ac:dyDescent="0.25">
      <c r="A766" t="s">
        <v>11245</v>
      </c>
    </row>
    <row r="767" spans="1:1" x14ac:dyDescent="0.25">
      <c r="A767" t="s">
        <v>11246</v>
      </c>
    </row>
    <row r="768" spans="1:1" x14ac:dyDescent="0.25">
      <c r="A768" t="s">
        <v>11247</v>
      </c>
    </row>
    <row r="769" spans="1:1" x14ac:dyDescent="0.25">
      <c r="A769" t="s">
        <v>11248</v>
      </c>
    </row>
    <row r="770" spans="1:1" x14ac:dyDescent="0.25">
      <c r="A770" t="s">
        <v>11249</v>
      </c>
    </row>
    <row r="771" spans="1:1" x14ac:dyDescent="0.25">
      <c r="A771" t="s">
        <v>11250</v>
      </c>
    </row>
    <row r="772" spans="1:1" x14ac:dyDescent="0.25">
      <c r="A772" t="s">
        <v>11251</v>
      </c>
    </row>
    <row r="773" spans="1:1" x14ac:dyDescent="0.25">
      <c r="A773" t="s">
        <v>7470</v>
      </c>
    </row>
    <row r="774" spans="1:1" x14ac:dyDescent="0.25">
      <c r="A774" t="s">
        <v>11252</v>
      </c>
    </row>
    <row r="775" spans="1:1" x14ac:dyDescent="0.25">
      <c r="A775" t="s">
        <v>11253</v>
      </c>
    </row>
    <row r="776" spans="1:1" x14ac:dyDescent="0.25">
      <c r="A776" t="s">
        <v>11254</v>
      </c>
    </row>
    <row r="777" spans="1:1" x14ac:dyDescent="0.25">
      <c r="A777" t="s">
        <v>11255</v>
      </c>
    </row>
    <row r="778" spans="1:1" x14ac:dyDescent="0.25">
      <c r="A778" t="s">
        <v>11256</v>
      </c>
    </row>
    <row r="779" spans="1:1" x14ac:dyDescent="0.25">
      <c r="A779" t="s">
        <v>11257</v>
      </c>
    </row>
    <row r="780" spans="1:1" x14ac:dyDescent="0.25">
      <c r="A780" t="s">
        <v>9217</v>
      </c>
    </row>
    <row r="781" spans="1:1" x14ac:dyDescent="0.25">
      <c r="A781" t="s">
        <v>11258</v>
      </c>
    </row>
    <row r="782" spans="1:1" x14ac:dyDescent="0.25">
      <c r="A782" t="s">
        <v>11259</v>
      </c>
    </row>
    <row r="783" spans="1:1" x14ac:dyDescent="0.25">
      <c r="A783" t="s">
        <v>11260</v>
      </c>
    </row>
    <row r="784" spans="1:1" x14ac:dyDescent="0.25">
      <c r="A784" t="s">
        <v>11261</v>
      </c>
    </row>
    <row r="785" spans="1:1" x14ac:dyDescent="0.25">
      <c r="A785" t="s">
        <v>11262</v>
      </c>
    </row>
    <row r="786" spans="1:1" x14ac:dyDescent="0.25">
      <c r="A786" t="s">
        <v>11263</v>
      </c>
    </row>
    <row r="787" spans="1:1" x14ac:dyDescent="0.25">
      <c r="A787" t="s">
        <v>11264</v>
      </c>
    </row>
    <row r="788" spans="1:1" x14ac:dyDescent="0.25">
      <c r="A788" t="s">
        <v>11265</v>
      </c>
    </row>
    <row r="789" spans="1:1" x14ac:dyDescent="0.25">
      <c r="A789" t="s">
        <v>11266</v>
      </c>
    </row>
    <row r="790" spans="1:1" x14ac:dyDescent="0.25">
      <c r="A790" t="s">
        <v>8357</v>
      </c>
    </row>
    <row r="791" spans="1:1" x14ac:dyDescent="0.25">
      <c r="A791" t="s">
        <v>11267</v>
      </c>
    </row>
    <row r="792" spans="1:1" x14ac:dyDescent="0.25">
      <c r="A792" t="s">
        <v>11268</v>
      </c>
    </row>
    <row r="793" spans="1:1" x14ac:dyDescent="0.25">
      <c r="A793" t="s">
        <v>11269</v>
      </c>
    </row>
    <row r="794" spans="1:1" x14ac:dyDescent="0.25">
      <c r="A794" t="s">
        <v>11270</v>
      </c>
    </row>
    <row r="795" spans="1:1" x14ac:dyDescent="0.25">
      <c r="A795" t="s">
        <v>11271</v>
      </c>
    </row>
    <row r="796" spans="1:1" x14ac:dyDescent="0.25">
      <c r="A796" t="s">
        <v>11272</v>
      </c>
    </row>
    <row r="797" spans="1:1" x14ac:dyDescent="0.25">
      <c r="A797" t="s">
        <v>11273</v>
      </c>
    </row>
    <row r="798" spans="1:1" x14ac:dyDescent="0.25">
      <c r="A798" t="s">
        <v>11274</v>
      </c>
    </row>
    <row r="799" spans="1:1" x14ac:dyDescent="0.25">
      <c r="A799" t="s">
        <v>11275</v>
      </c>
    </row>
    <row r="800" spans="1:1" x14ac:dyDescent="0.25">
      <c r="A800" t="s">
        <v>11276</v>
      </c>
    </row>
    <row r="801" spans="1:1" x14ac:dyDescent="0.25">
      <c r="A801" t="s">
        <v>11277</v>
      </c>
    </row>
    <row r="802" spans="1:1" x14ac:dyDescent="0.25">
      <c r="A802" t="s">
        <v>11278</v>
      </c>
    </row>
    <row r="803" spans="1:1" x14ac:dyDescent="0.25">
      <c r="A803" t="s">
        <v>8790</v>
      </c>
    </row>
    <row r="804" spans="1:1" x14ac:dyDescent="0.25">
      <c r="A804" t="s">
        <v>11279</v>
      </c>
    </row>
    <row r="805" spans="1:1" x14ac:dyDescent="0.25">
      <c r="A805" t="s">
        <v>11280</v>
      </c>
    </row>
    <row r="806" spans="1:1" x14ac:dyDescent="0.25">
      <c r="A806" t="s">
        <v>11281</v>
      </c>
    </row>
    <row r="807" spans="1:1" x14ac:dyDescent="0.25">
      <c r="A807" t="s">
        <v>11282</v>
      </c>
    </row>
    <row r="808" spans="1:1" x14ac:dyDescent="0.25">
      <c r="A808" t="s">
        <v>11283</v>
      </c>
    </row>
    <row r="809" spans="1:1" x14ac:dyDescent="0.25">
      <c r="A809" t="s">
        <v>11284</v>
      </c>
    </row>
    <row r="810" spans="1:1" x14ac:dyDescent="0.25">
      <c r="A810" t="s">
        <v>11285</v>
      </c>
    </row>
    <row r="811" spans="1:1" x14ac:dyDescent="0.25">
      <c r="A811" t="s">
        <v>11286</v>
      </c>
    </row>
    <row r="812" spans="1:1" x14ac:dyDescent="0.25">
      <c r="A812" t="s">
        <v>11287</v>
      </c>
    </row>
    <row r="813" spans="1:1" x14ac:dyDescent="0.25">
      <c r="A813" t="s">
        <v>11288</v>
      </c>
    </row>
    <row r="814" spans="1:1" x14ac:dyDescent="0.25">
      <c r="A814" t="s">
        <v>10711</v>
      </c>
    </row>
    <row r="815" spans="1:1" x14ac:dyDescent="0.25">
      <c r="A815" t="s">
        <v>11289</v>
      </c>
    </row>
    <row r="816" spans="1:1" x14ac:dyDescent="0.25">
      <c r="A816" t="s">
        <v>10785</v>
      </c>
    </row>
    <row r="817" spans="1:1" x14ac:dyDescent="0.25">
      <c r="A817" t="s">
        <v>11290</v>
      </c>
    </row>
    <row r="818" spans="1:1" x14ac:dyDescent="0.25">
      <c r="A818" t="s">
        <v>11291</v>
      </c>
    </row>
    <row r="819" spans="1:1" x14ac:dyDescent="0.25">
      <c r="A819" t="s">
        <v>11292</v>
      </c>
    </row>
    <row r="820" spans="1:1" x14ac:dyDescent="0.25">
      <c r="A820" t="s">
        <v>11293</v>
      </c>
    </row>
    <row r="821" spans="1:1" x14ac:dyDescent="0.25">
      <c r="A821" t="s">
        <v>9657</v>
      </c>
    </row>
    <row r="822" spans="1:1" x14ac:dyDescent="0.25">
      <c r="A822" t="s">
        <v>11294</v>
      </c>
    </row>
    <row r="823" spans="1:1" x14ac:dyDescent="0.25">
      <c r="A823" t="s">
        <v>11295</v>
      </c>
    </row>
    <row r="824" spans="1:1" x14ac:dyDescent="0.25">
      <c r="A824" t="s">
        <v>11296</v>
      </c>
    </row>
    <row r="825" spans="1:1" x14ac:dyDescent="0.25">
      <c r="A825" t="s">
        <v>8360</v>
      </c>
    </row>
    <row r="826" spans="1:1" x14ac:dyDescent="0.25">
      <c r="A826" t="s">
        <v>11297</v>
      </c>
    </row>
    <row r="827" spans="1:1" x14ac:dyDescent="0.25">
      <c r="A827" t="s">
        <v>11298</v>
      </c>
    </row>
    <row r="828" spans="1:1" x14ac:dyDescent="0.25">
      <c r="A828" t="s">
        <v>8361</v>
      </c>
    </row>
    <row r="829" spans="1:1" x14ac:dyDescent="0.25">
      <c r="A829" t="s">
        <v>8733</v>
      </c>
    </row>
    <row r="830" spans="1:1" x14ac:dyDescent="0.25">
      <c r="A830" t="s">
        <v>11299</v>
      </c>
    </row>
    <row r="831" spans="1:1" x14ac:dyDescent="0.25">
      <c r="A831" t="s">
        <v>11300</v>
      </c>
    </row>
    <row r="832" spans="1:1" x14ac:dyDescent="0.25">
      <c r="A832" t="s">
        <v>11301</v>
      </c>
    </row>
    <row r="833" spans="1:1" x14ac:dyDescent="0.25">
      <c r="A833" t="s">
        <v>11302</v>
      </c>
    </row>
    <row r="834" spans="1:1" x14ac:dyDescent="0.25">
      <c r="A834" t="s">
        <v>11303</v>
      </c>
    </row>
    <row r="835" spans="1:1" x14ac:dyDescent="0.25">
      <c r="A835" t="s">
        <v>11304</v>
      </c>
    </row>
    <row r="836" spans="1:1" x14ac:dyDescent="0.25">
      <c r="A836" t="s">
        <v>11305</v>
      </c>
    </row>
    <row r="837" spans="1:1" x14ac:dyDescent="0.25">
      <c r="A837" t="s">
        <v>9662</v>
      </c>
    </row>
    <row r="838" spans="1:1" x14ac:dyDescent="0.25">
      <c r="A838" t="s">
        <v>11306</v>
      </c>
    </row>
    <row r="839" spans="1:1" x14ac:dyDescent="0.25">
      <c r="A839" t="s">
        <v>11307</v>
      </c>
    </row>
    <row r="840" spans="1:1" x14ac:dyDescent="0.25">
      <c r="A840" t="s">
        <v>11308</v>
      </c>
    </row>
    <row r="841" spans="1:1" x14ac:dyDescent="0.25">
      <c r="A841" t="s">
        <v>11309</v>
      </c>
    </row>
    <row r="842" spans="1:1" x14ac:dyDescent="0.25">
      <c r="A842" t="s">
        <v>11310</v>
      </c>
    </row>
    <row r="843" spans="1:1" x14ac:dyDescent="0.25">
      <c r="A843" t="s">
        <v>11311</v>
      </c>
    </row>
    <row r="844" spans="1:1" x14ac:dyDescent="0.25">
      <c r="A844" t="s">
        <v>11312</v>
      </c>
    </row>
    <row r="845" spans="1:1" x14ac:dyDescent="0.25">
      <c r="A845" t="s">
        <v>11313</v>
      </c>
    </row>
    <row r="846" spans="1:1" x14ac:dyDescent="0.25">
      <c r="A846" t="s">
        <v>11314</v>
      </c>
    </row>
    <row r="847" spans="1:1" x14ac:dyDescent="0.25">
      <c r="A847" t="s">
        <v>11315</v>
      </c>
    </row>
    <row r="848" spans="1:1" x14ac:dyDescent="0.25">
      <c r="A848" t="s">
        <v>9241</v>
      </c>
    </row>
    <row r="849" spans="1:1" x14ac:dyDescent="0.25">
      <c r="A849" t="s">
        <v>11316</v>
      </c>
    </row>
    <row r="850" spans="1:1" x14ac:dyDescent="0.25">
      <c r="A850" t="s">
        <v>11317</v>
      </c>
    </row>
    <row r="851" spans="1:1" x14ac:dyDescent="0.25">
      <c r="A851" t="s">
        <v>11318</v>
      </c>
    </row>
    <row r="852" spans="1:1" x14ac:dyDescent="0.25">
      <c r="A852" t="s">
        <v>11319</v>
      </c>
    </row>
    <row r="853" spans="1:1" x14ac:dyDescent="0.25">
      <c r="A853" t="s">
        <v>11320</v>
      </c>
    </row>
    <row r="854" spans="1:1" x14ac:dyDescent="0.25">
      <c r="A854" t="s">
        <v>11321</v>
      </c>
    </row>
    <row r="855" spans="1:1" x14ac:dyDescent="0.25">
      <c r="A855" t="s">
        <v>11322</v>
      </c>
    </row>
    <row r="856" spans="1:1" x14ac:dyDescent="0.25">
      <c r="A856" t="s">
        <v>7531</v>
      </c>
    </row>
    <row r="857" spans="1:1" x14ac:dyDescent="0.25">
      <c r="A857" t="s">
        <v>11323</v>
      </c>
    </row>
    <row r="858" spans="1:1" x14ac:dyDescent="0.25">
      <c r="A858" t="s">
        <v>11324</v>
      </c>
    </row>
    <row r="859" spans="1:1" x14ac:dyDescent="0.25">
      <c r="A859" t="s">
        <v>11325</v>
      </c>
    </row>
    <row r="860" spans="1:1" x14ac:dyDescent="0.25">
      <c r="A860" t="s">
        <v>11326</v>
      </c>
    </row>
    <row r="861" spans="1:1" x14ac:dyDescent="0.25">
      <c r="A861" t="s">
        <v>11327</v>
      </c>
    </row>
    <row r="862" spans="1:1" x14ac:dyDescent="0.25">
      <c r="A862" t="s">
        <v>11328</v>
      </c>
    </row>
    <row r="863" spans="1:1" x14ac:dyDescent="0.25">
      <c r="A863" t="s">
        <v>11329</v>
      </c>
    </row>
    <row r="864" spans="1:1" x14ac:dyDescent="0.25">
      <c r="A864" t="s">
        <v>11330</v>
      </c>
    </row>
    <row r="865" spans="1:1" x14ac:dyDescent="0.25">
      <c r="A865" t="s">
        <v>11331</v>
      </c>
    </row>
    <row r="866" spans="1:1" x14ac:dyDescent="0.25">
      <c r="A866" t="s">
        <v>11332</v>
      </c>
    </row>
    <row r="867" spans="1:1" x14ac:dyDescent="0.25">
      <c r="A867" t="s">
        <v>6878</v>
      </c>
    </row>
    <row r="868" spans="1:1" x14ac:dyDescent="0.25">
      <c r="A868" t="s">
        <v>11333</v>
      </c>
    </row>
    <row r="869" spans="1:1" x14ac:dyDescent="0.25">
      <c r="A869" t="s">
        <v>11334</v>
      </c>
    </row>
    <row r="870" spans="1:1" x14ac:dyDescent="0.25">
      <c r="A870" t="s">
        <v>11335</v>
      </c>
    </row>
    <row r="871" spans="1:1" x14ac:dyDescent="0.25">
      <c r="A871" t="s">
        <v>11336</v>
      </c>
    </row>
    <row r="872" spans="1:1" x14ac:dyDescent="0.25">
      <c r="A872" t="s">
        <v>11337</v>
      </c>
    </row>
    <row r="873" spans="1:1" x14ac:dyDescent="0.25">
      <c r="A873" t="s">
        <v>11338</v>
      </c>
    </row>
    <row r="874" spans="1:1" x14ac:dyDescent="0.25">
      <c r="A874" t="s">
        <v>11339</v>
      </c>
    </row>
    <row r="875" spans="1:1" x14ac:dyDescent="0.25">
      <c r="A875" t="s">
        <v>11340</v>
      </c>
    </row>
    <row r="876" spans="1:1" x14ac:dyDescent="0.25">
      <c r="A876" t="s">
        <v>11341</v>
      </c>
    </row>
    <row r="877" spans="1:1" x14ac:dyDescent="0.25">
      <c r="A877" t="s">
        <v>11342</v>
      </c>
    </row>
    <row r="878" spans="1:1" x14ac:dyDescent="0.25">
      <c r="A878" t="s">
        <v>11343</v>
      </c>
    </row>
    <row r="879" spans="1:1" x14ac:dyDescent="0.25">
      <c r="A879" t="s">
        <v>11344</v>
      </c>
    </row>
    <row r="880" spans="1:1" x14ac:dyDescent="0.25">
      <c r="A880" t="s">
        <v>11345</v>
      </c>
    </row>
    <row r="881" spans="1:1" x14ac:dyDescent="0.25">
      <c r="A881" t="s">
        <v>8371</v>
      </c>
    </row>
    <row r="882" spans="1:1" x14ac:dyDescent="0.25">
      <c r="A882" t="s">
        <v>11346</v>
      </c>
    </row>
    <row r="883" spans="1:1" x14ac:dyDescent="0.25">
      <c r="A883" t="s">
        <v>11347</v>
      </c>
    </row>
    <row r="884" spans="1:1" x14ac:dyDescent="0.25">
      <c r="A884" t="s">
        <v>7536</v>
      </c>
    </row>
    <row r="885" spans="1:1" x14ac:dyDescent="0.25">
      <c r="A885" t="s">
        <v>11348</v>
      </c>
    </row>
    <row r="886" spans="1:1" x14ac:dyDescent="0.25">
      <c r="A886" t="s">
        <v>9245</v>
      </c>
    </row>
    <row r="887" spans="1:1" x14ac:dyDescent="0.25">
      <c r="A887" t="s">
        <v>11349</v>
      </c>
    </row>
    <row r="888" spans="1:1" x14ac:dyDescent="0.25">
      <c r="A888" t="s">
        <v>11350</v>
      </c>
    </row>
    <row r="889" spans="1:1" x14ac:dyDescent="0.25">
      <c r="A889" t="s">
        <v>11351</v>
      </c>
    </row>
    <row r="890" spans="1:1" x14ac:dyDescent="0.25">
      <c r="A890" t="s">
        <v>11352</v>
      </c>
    </row>
    <row r="891" spans="1:1" x14ac:dyDescent="0.25">
      <c r="A891" t="s">
        <v>11353</v>
      </c>
    </row>
    <row r="892" spans="1:1" x14ac:dyDescent="0.25">
      <c r="A892" t="s">
        <v>11354</v>
      </c>
    </row>
    <row r="893" spans="1:1" x14ac:dyDescent="0.25">
      <c r="A893" t="s">
        <v>11355</v>
      </c>
    </row>
    <row r="894" spans="1:1" x14ac:dyDescent="0.25">
      <c r="A894" t="s">
        <v>11356</v>
      </c>
    </row>
    <row r="895" spans="1:1" x14ac:dyDescent="0.25">
      <c r="A895" t="s">
        <v>11357</v>
      </c>
    </row>
    <row r="896" spans="1:1" x14ac:dyDescent="0.25">
      <c r="A896" t="s">
        <v>11358</v>
      </c>
    </row>
    <row r="897" spans="1:1" x14ac:dyDescent="0.25">
      <c r="A897" t="s">
        <v>11359</v>
      </c>
    </row>
    <row r="898" spans="1:1" x14ac:dyDescent="0.25">
      <c r="A898" t="s">
        <v>7538</v>
      </c>
    </row>
    <row r="899" spans="1:1" x14ac:dyDescent="0.25">
      <c r="A899" t="s">
        <v>8373</v>
      </c>
    </row>
    <row r="900" spans="1:1" x14ac:dyDescent="0.25">
      <c r="A900" t="s">
        <v>11360</v>
      </c>
    </row>
    <row r="901" spans="1:1" x14ac:dyDescent="0.25">
      <c r="A901" t="s">
        <v>11361</v>
      </c>
    </row>
    <row r="902" spans="1:1" x14ac:dyDescent="0.25">
      <c r="A902" t="s">
        <v>11362</v>
      </c>
    </row>
    <row r="903" spans="1:1" x14ac:dyDescent="0.25">
      <c r="A903" t="s">
        <v>11363</v>
      </c>
    </row>
    <row r="904" spans="1:1" x14ac:dyDescent="0.25">
      <c r="A904" t="s">
        <v>11364</v>
      </c>
    </row>
    <row r="905" spans="1:1" x14ac:dyDescent="0.25">
      <c r="A905" t="s">
        <v>11365</v>
      </c>
    </row>
    <row r="906" spans="1:1" x14ac:dyDescent="0.25">
      <c r="A906" t="s">
        <v>11366</v>
      </c>
    </row>
    <row r="907" spans="1:1" x14ac:dyDescent="0.25">
      <c r="A907" t="s">
        <v>8374</v>
      </c>
    </row>
    <row r="908" spans="1:1" x14ac:dyDescent="0.25">
      <c r="A908" t="s">
        <v>11367</v>
      </c>
    </row>
    <row r="909" spans="1:1" x14ac:dyDescent="0.25">
      <c r="A909" t="s">
        <v>11368</v>
      </c>
    </row>
    <row r="910" spans="1:1" x14ac:dyDescent="0.25">
      <c r="A910" t="s">
        <v>11369</v>
      </c>
    </row>
    <row r="911" spans="1:1" x14ac:dyDescent="0.25">
      <c r="A911" t="s">
        <v>11370</v>
      </c>
    </row>
    <row r="912" spans="1:1" x14ac:dyDescent="0.25">
      <c r="A912" t="s">
        <v>11371</v>
      </c>
    </row>
    <row r="913" spans="1:1" x14ac:dyDescent="0.25">
      <c r="A913" t="s">
        <v>11372</v>
      </c>
    </row>
    <row r="914" spans="1:1" x14ac:dyDescent="0.25">
      <c r="A914" t="s">
        <v>11373</v>
      </c>
    </row>
    <row r="915" spans="1:1" x14ac:dyDescent="0.25">
      <c r="A915" t="s">
        <v>11374</v>
      </c>
    </row>
    <row r="916" spans="1:1" x14ac:dyDescent="0.25">
      <c r="A916" t="s">
        <v>11375</v>
      </c>
    </row>
    <row r="917" spans="1:1" x14ac:dyDescent="0.25">
      <c r="A917" t="s">
        <v>11376</v>
      </c>
    </row>
    <row r="918" spans="1:1" x14ac:dyDescent="0.25">
      <c r="A918" t="s">
        <v>8376</v>
      </c>
    </row>
    <row r="919" spans="1:1" x14ac:dyDescent="0.25">
      <c r="A919" t="s">
        <v>11377</v>
      </c>
    </row>
    <row r="920" spans="1:1" x14ac:dyDescent="0.25">
      <c r="A920" t="s">
        <v>11378</v>
      </c>
    </row>
    <row r="921" spans="1:1" x14ac:dyDescent="0.25">
      <c r="A921" t="s">
        <v>11379</v>
      </c>
    </row>
    <row r="922" spans="1:1" x14ac:dyDescent="0.25">
      <c r="A922" t="s">
        <v>11380</v>
      </c>
    </row>
    <row r="923" spans="1:1" x14ac:dyDescent="0.25">
      <c r="A923" t="s">
        <v>11381</v>
      </c>
    </row>
    <row r="924" spans="1:1" x14ac:dyDescent="0.25">
      <c r="A924" t="s">
        <v>11382</v>
      </c>
    </row>
    <row r="925" spans="1:1" x14ac:dyDescent="0.25">
      <c r="A925" t="s">
        <v>11383</v>
      </c>
    </row>
    <row r="926" spans="1:1" x14ac:dyDescent="0.25">
      <c r="A926" t="s">
        <v>11384</v>
      </c>
    </row>
    <row r="927" spans="1:1" x14ac:dyDescent="0.25">
      <c r="A927" t="s">
        <v>11385</v>
      </c>
    </row>
    <row r="928" spans="1:1" x14ac:dyDescent="0.25">
      <c r="A928" t="s">
        <v>11386</v>
      </c>
    </row>
    <row r="929" spans="1:1" x14ac:dyDescent="0.25">
      <c r="A929" t="s">
        <v>11387</v>
      </c>
    </row>
    <row r="930" spans="1:1" x14ac:dyDescent="0.25">
      <c r="A930" t="s">
        <v>11388</v>
      </c>
    </row>
    <row r="931" spans="1:1" x14ac:dyDescent="0.25">
      <c r="A931" t="s">
        <v>11389</v>
      </c>
    </row>
    <row r="932" spans="1:1" x14ac:dyDescent="0.25">
      <c r="A932" t="s">
        <v>11390</v>
      </c>
    </row>
    <row r="933" spans="1:1" x14ac:dyDescent="0.25">
      <c r="A933" t="s">
        <v>11391</v>
      </c>
    </row>
    <row r="934" spans="1:1" x14ac:dyDescent="0.25">
      <c r="A934" t="s">
        <v>11392</v>
      </c>
    </row>
    <row r="935" spans="1:1" x14ac:dyDescent="0.25">
      <c r="A935" t="s">
        <v>11393</v>
      </c>
    </row>
    <row r="936" spans="1:1" x14ac:dyDescent="0.25">
      <c r="A936" t="s">
        <v>11394</v>
      </c>
    </row>
    <row r="937" spans="1:1" x14ac:dyDescent="0.25">
      <c r="A937" t="s">
        <v>11395</v>
      </c>
    </row>
    <row r="938" spans="1:1" x14ac:dyDescent="0.25">
      <c r="A938" t="s">
        <v>11396</v>
      </c>
    </row>
    <row r="939" spans="1:1" x14ac:dyDescent="0.25">
      <c r="A939" t="s">
        <v>11397</v>
      </c>
    </row>
    <row r="940" spans="1:1" x14ac:dyDescent="0.25">
      <c r="A940" t="s">
        <v>11398</v>
      </c>
    </row>
    <row r="941" spans="1:1" x14ac:dyDescent="0.25">
      <c r="A941" t="s">
        <v>11399</v>
      </c>
    </row>
    <row r="942" spans="1:1" x14ac:dyDescent="0.25">
      <c r="A942" t="s">
        <v>11400</v>
      </c>
    </row>
    <row r="943" spans="1:1" x14ac:dyDescent="0.25">
      <c r="A943" t="s">
        <v>11401</v>
      </c>
    </row>
    <row r="944" spans="1:1" x14ac:dyDescent="0.25">
      <c r="A944" t="s">
        <v>11402</v>
      </c>
    </row>
    <row r="945" spans="1:1" x14ac:dyDescent="0.25">
      <c r="A945" t="s">
        <v>9255</v>
      </c>
    </row>
    <row r="946" spans="1:1" x14ac:dyDescent="0.25">
      <c r="A946" t="s">
        <v>11403</v>
      </c>
    </row>
    <row r="947" spans="1:1" x14ac:dyDescent="0.25">
      <c r="A947" t="s">
        <v>11404</v>
      </c>
    </row>
    <row r="948" spans="1:1" x14ac:dyDescent="0.25">
      <c r="A948" t="s">
        <v>11405</v>
      </c>
    </row>
    <row r="949" spans="1:1" x14ac:dyDescent="0.25">
      <c r="A949" t="s">
        <v>11406</v>
      </c>
    </row>
    <row r="950" spans="1:1" x14ac:dyDescent="0.25">
      <c r="A950" t="s">
        <v>11407</v>
      </c>
    </row>
    <row r="951" spans="1:1" x14ac:dyDescent="0.25">
      <c r="A951" t="s">
        <v>11408</v>
      </c>
    </row>
    <row r="952" spans="1:1" x14ac:dyDescent="0.25">
      <c r="A952" t="s">
        <v>11409</v>
      </c>
    </row>
    <row r="953" spans="1:1" x14ac:dyDescent="0.25">
      <c r="A953" t="s">
        <v>11410</v>
      </c>
    </row>
    <row r="954" spans="1:1" x14ac:dyDescent="0.25">
      <c r="A954" t="s">
        <v>11411</v>
      </c>
    </row>
    <row r="955" spans="1:1" x14ac:dyDescent="0.25">
      <c r="A955" t="s">
        <v>11412</v>
      </c>
    </row>
    <row r="956" spans="1:1" x14ac:dyDescent="0.25">
      <c r="A956" t="s">
        <v>11413</v>
      </c>
    </row>
    <row r="957" spans="1:1" x14ac:dyDescent="0.25">
      <c r="A957" t="s">
        <v>11414</v>
      </c>
    </row>
    <row r="958" spans="1:1" x14ac:dyDescent="0.25">
      <c r="A958" t="s">
        <v>9672</v>
      </c>
    </row>
    <row r="959" spans="1:1" x14ac:dyDescent="0.25">
      <c r="A959" t="s">
        <v>11415</v>
      </c>
    </row>
    <row r="960" spans="1:1" x14ac:dyDescent="0.25">
      <c r="A960" t="s">
        <v>11416</v>
      </c>
    </row>
    <row r="961" spans="1:1" x14ac:dyDescent="0.25">
      <c r="A961" t="s">
        <v>11417</v>
      </c>
    </row>
    <row r="962" spans="1:1" x14ac:dyDescent="0.25">
      <c r="A962" t="s">
        <v>11418</v>
      </c>
    </row>
    <row r="963" spans="1:1" x14ac:dyDescent="0.25">
      <c r="A963" t="s">
        <v>8735</v>
      </c>
    </row>
    <row r="964" spans="1:1" x14ac:dyDescent="0.25">
      <c r="A964" t="s">
        <v>11419</v>
      </c>
    </row>
    <row r="965" spans="1:1" x14ac:dyDescent="0.25">
      <c r="A965" t="s">
        <v>11420</v>
      </c>
    </row>
    <row r="966" spans="1:1" x14ac:dyDescent="0.25">
      <c r="A966" t="s">
        <v>7591</v>
      </c>
    </row>
    <row r="967" spans="1:1" x14ac:dyDescent="0.25">
      <c r="A967" t="s">
        <v>11421</v>
      </c>
    </row>
    <row r="968" spans="1:1" x14ac:dyDescent="0.25">
      <c r="A968" t="s">
        <v>11422</v>
      </c>
    </row>
    <row r="969" spans="1:1" x14ac:dyDescent="0.25">
      <c r="A969" t="s">
        <v>11423</v>
      </c>
    </row>
    <row r="970" spans="1:1" x14ac:dyDescent="0.25">
      <c r="A970" t="s">
        <v>7593</v>
      </c>
    </row>
    <row r="971" spans="1:1" x14ac:dyDescent="0.25">
      <c r="A971" t="s">
        <v>9621</v>
      </c>
    </row>
    <row r="972" spans="1:1" x14ac:dyDescent="0.25">
      <c r="A972" t="s">
        <v>11424</v>
      </c>
    </row>
    <row r="973" spans="1:1" x14ac:dyDescent="0.25">
      <c r="A973" t="s">
        <v>11425</v>
      </c>
    </row>
    <row r="974" spans="1:1" x14ac:dyDescent="0.25">
      <c r="A974" t="s">
        <v>11426</v>
      </c>
    </row>
    <row r="975" spans="1:1" x14ac:dyDescent="0.25">
      <c r="A975" t="s">
        <v>9676</v>
      </c>
    </row>
    <row r="976" spans="1:1" x14ac:dyDescent="0.25">
      <c r="A976" t="s">
        <v>11427</v>
      </c>
    </row>
    <row r="977" spans="1:1" x14ac:dyDescent="0.25">
      <c r="A977" t="s">
        <v>11428</v>
      </c>
    </row>
    <row r="978" spans="1:1" x14ac:dyDescent="0.25">
      <c r="A978" t="s">
        <v>11429</v>
      </c>
    </row>
    <row r="979" spans="1:1" x14ac:dyDescent="0.25">
      <c r="A979" t="s">
        <v>11430</v>
      </c>
    </row>
    <row r="980" spans="1:1" x14ac:dyDescent="0.25">
      <c r="A980" t="s">
        <v>11431</v>
      </c>
    </row>
    <row r="981" spans="1:1" x14ac:dyDescent="0.25">
      <c r="A981" t="s">
        <v>11432</v>
      </c>
    </row>
    <row r="982" spans="1:1" x14ac:dyDescent="0.25">
      <c r="A982" t="s">
        <v>11433</v>
      </c>
    </row>
    <row r="983" spans="1:1" x14ac:dyDescent="0.25">
      <c r="A983" t="s">
        <v>11434</v>
      </c>
    </row>
    <row r="984" spans="1:1" x14ac:dyDescent="0.25">
      <c r="A984" t="s">
        <v>11435</v>
      </c>
    </row>
    <row r="985" spans="1:1" x14ac:dyDescent="0.25">
      <c r="A985" t="s">
        <v>11436</v>
      </c>
    </row>
    <row r="986" spans="1:1" x14ac:dyDescent="0.25">
      <c r="A986" t="s">
        <v>11437</v>
      </c>
    </row>
    <row r="987" spans="1:1" x14ac:dyDescent="0.25">
      <c r="A987" t="s">
        <v>11438</v>
      </c>
    </row>
    <row r="988" spans="1:1" x14ac:dyDescent="0.25">
      <c r="A988" t="s">
        <v>11439</v>
      </c>
    </row>
    <row r="989" spans="1:1" x14ac:dyDescent="0.25">
      <c r="A989" t="s">
        <v>11440</v>
      </c>
    </row>
    <row r="990" spans="1:1" x14ac:dyDescent="0.25">
      <c r="A990" t="s">
        <v>11441</v>
      </c>
    </row>
    <row r="991" spans="1:1" x14ac:dyDescent="0.25">
      <c r="A991" t="s">
        <v>11442</v>
      </c>
    </row>
    <row r="992" spans="1:1" x14ac:dyDescent="0.25">
      <c r="A992" t="s">
        <v>11443</v>
      </c>
    </row>
    <row r="993" spans="1:1" x14ac:dyDescent="0.25">
      <c r="A993" t="s">
        <v>11444</v>
      </c>
    </row>
    <row r="994" spans="1:1" x14ac:dyDescent="0.25">
      <c r="A994" t="s">
        <v>11445</v>
      </c>
    </row>
    <row r="995" spans="1:1" x14ac:dyDescent="0.25">
      <c r="A995" t="s">
        <v>11446</v>
      </c>
    </row>
    <row r="996" spans="1:1" x14ac:dyDescent="0.25">
      <c r="A996" t="s">
        <v>9268</v>
      </c>
    </row>
    <row r="997" spans="1:1" x14ac:dyDescent="0.25">
      <c r="A997" t="s">
        <v>11447</v>
      </c>
    </row>
    <row r="998" spans="1:1" x14ac:dyDescent="0.25">
      <c r="A998" t="s">
        <v>11448</v>
      </c>
    </row>
    <row r="999" spans="1:1" x14ac:dyDescent="0.25">
      <c r="A999" t="s">
        <v>11449</v>
      </c>
    </row>
    <row r="1000" spans="1:1" x14ac:dyDescent="0.25">
      <c r="A1000" t="s">
        <v>8780</v>
      </c>
    </row>
    <row r="1001" spans="1:1" x14ac:dyDescent="0.25">
      <c r="A1001" t="s">
        <v>11450</v>
      </c>
    </row>
    <row r="1002" spans="1:1" x14ac:dyDescent="0.25">
      <c r="A1002" t="s">
        <v>8397</v>
      </c>
    </row>
    <row r="1003" spans="1:1" x14ac:dyDescent="0.25">
      <c r="A1003" t="s">
        <v>11451</v>
      </c>
    </row>
    <row r="1004" spans="1:1" x14ac:dyDescent="0.25">
      <c r="A1004" t="s">
        <v>11452</v>
      </c>
    </row>
    <row r="1005" spans="1:1" x14ac:dyDescent="0.25">
      <c r="A1005" t="s">
        <v>11453</v>
      </c>
    </row>
    <row r="1006" spans="1:1" x14ac:dyDescent="0.25">
      <c r="A1006" t="s">
        <v>11454</v>
      </c>
    </row>
    <row r="1007" spans="1:1" x14ac:dyDescent="0.25">
      <c r="A1007" t="s">
        <v>7605</v>
      </c>
    </row>
    <row r="1008" spans="1:1" x14ac:dyDescent="0.25">
      <c r="A1008" t="s">
        <v>11455</v>
      </c>
    </row>
    <row r="1009" spans="1:1" x14ac:dyDescent="0.25">
      <c r="A1009" t="s">
        <v>11456</v>
      </c>
    </row>
    <row r="1010" spans="1:1" x14ac:dyDescent="0.25">
      <c r="A1010" t="s">
        <v>8398</v>
      </c>
    </row>
    <row r="1011" spans="1:1" x14ac:dyDescent="0.25">
      <c r="A1011" t="s">
        <v>11457</v>
      </c>
    </row>
    <row r="1012" spans="1:1" x14ac:dyDescent="0.25">
      <c r="A1012" t="s">
        <v>11458</v>
      </c>
    </row>
    <row r="1013" spans="1:1" x14ac:dyDescent="0.25">
      <c r="A1013" t="s">
        <v>11459</v>
      </c>
    </row>
    <row r="1014" spans="1:1" x14ac:dyDescent="0.25">
      <c r="A1014" t="s">
        <v>11460</v>
      </c>
    </row>
    <row r="1015" spans="1:1" x14ac:dyDescent="0.25">
      <c r="A1015" t="s">
        <v>11461</v>
      </c>
    </row>
    <row r="1016" spans="1:1" x14ac:dyDescent="0.25">
      <c r="A1016" t="s">
        <v>11462</v>
      </c>
    </row>
    <row r="1017" spans="1:1" x14ac:dyDescent="0.25">
      <c r="A1017" t="s">
        <v>11463</v>
      </c>
    </row>
    <row r="1018" spans="1:1" x14ac:dyDescent="0.25">
      <c r="A1018" t="s">
        <v>7607</v>
      </c>
    </row>
    <row r="1019" spans="1:1" x14ac:dyDescent="0.25">
      <c r="A1019" t="s">
        <v>11464</v>
      </c>
    </row>
    <row r="1020" spans="1:1" x14ac:dyDescent="0.25">
      <c r="A1020" t="s">
        <v>11465</v>
      </c>
    </row>
    <row r="1021" spans="1:1" x14ac:dyDescent="0.25">
      <c r="A1021" t="s">
        <v>11466</v>
      </c>
    </row>
    <row r="1022" spans="1:1" x14ac:dyDescent="0.25">
      <c r="A1022" t="s">
        <v>11467</v>
      </c>
    </row>
    <row r="1023" spans="1:1" x14ac:dyDescent="0.25">
      <c r="A1023" t="s">
        <v>11468</v>
      </c>
    </row>
    <row r="1024" spans="1:1" x14ac:dyDescent="0.25">
      <c r="A1024" t="s">
        <v>8402</v>
      </c>
    </row>
    <row r="1025" spans="1:1" x14ac:dyDescent="0.25">
      <c r="A1025" t="s">
        <v>11469</v>
      </c>
    </row>
    <row r="1026" spans="1:1" x14ac:dyDescent="0.25">
      <c r="A1026" t="s">
        <v>11470</v>
      </c>
    </row>
    <row r="1027" spans="1:1" x14ac:dyDescent="0.25">
      <c r="A1027" t="s">
        <v>9274</v>
      </c>
    </row>
    <row r="1028" spans="1:1" x14ac:dyDescent="0.25">
      <c r="A1028" t="s">
        <v>9275</v>
      </c>
    </row>
    <row r="1029" spans="1:1" x14ac:dyDescent="0.25">
      <c r="A1029" t="s">
        <v>11471</v>
      </c>
    </row>
    <row r="1030" spans="1:1" x14ac:dyDescent="0.25">
      <c r="A1030" t="s">
        <v>11472</v>
      </c>
    </row>
    <row r="1031" spans="1:1" x14ac:dyDescent="0.25">
      <c r="A1031" t="s">
        <v>11473</v>
      </c>
    </row>
    <row r="1032" spans="1:1" x14ac:dyDescent="0.25">
      <c r="A1032" t="s">
        <v>11474</v>
      </c>
    </row>
    <row r="1033" spans="1:1" x14ac:dyDescent="0.25">
      <c r="A1033" t="s">
        <v>11475</v>
      </c>
    </row>
    <row r="1034" spans="1:1" x14ac:dyDescent="0.25">
      <c r="A1034" t="s">
        <v>9932</v>
      </c>
    </row>
    <row r="1035" spans="1:1" x14ac:dyDescent="0.25">
      <c r="A1035" t="s">
        <v>11476</v>
      </c>
    </row>
    <row r="1036" spans="1:1" x14ac:dyDescent="0.25">
      <c r="A1036" t="s">
        <v>7611</v>
      </c>
    </row>
    <row r="1037" spans="1:1" x14ac:dyDescent="0.25">
      <c r="A1037" t="s">
        <v>11477</v>
      </c>
    </row>
    <row r="1038" spans="1:1" x14ac:dyDescent="0.25">
      <c r="A1038" t="s">
        <v>11478</v>
      </c>
    </row>
    <row r="1039" spans="1:1" x14ac:dyDescent="0.25">
      <c r="A1039" t="s">
        <v>11479</v>
      </c>
    </row>
    <row r="1040" spans="1:1" x14ac:dyDescent="0.25">
      <c r="A1040" t="s">
        <v>11480</v>
      </c>
    </row>
    <row r="1041" spans="1:1" x14ac:dyDescent="0.25">
      <c r="A1041" t="s">
        <v>11481</v>
      </c>
    </row>
    <row r="1042" spans="1:1" x14ac:dyDescent="0.25">
      <c r="A1042" t="s">
        <v>11482</v>
      </c>
    </row>
    <row r="1043" spans="1:1" x14ac:dyDescent="0.25">
      <c r="A1043" t="s">
        <v>11483</v>
      </c>
    </row>
    <row r="1044" spans="1:1" x14ac:dyDescent="0.25">
      <c r="A1044" t="s">
        <v>11484</v>
      </c>
    </row>
    <row r="1045" spans="1:1" x14ac:dyDescent="0.25">
      <c r="A1045" t="s">
        <v>11485</v>
      </c>
    </row>
    <row r="1046" spans="1:1" x14ac:dyDescent="0.25">
      <c r="A1046" t="s">
        <v>11486</v>
      </c>
    </row>
    <row r="1047" spans="1:1" x14ac:dyDescent="0.25">
      <c r="A1047" t="s">
        <v>11487</v>
      </c>
    </row>
    <row r="1048" spans="1:1" x14ac:dyDescent="0.25">
      <c r="A1048" t="s">
        <v>7614</v>
      </c>
    </row>
    <row r="1049" spans="1:1" x14ac:dyDescent="0.25">
      <c r="A1049" t="s">
        <v>8737</v>
      </c>
    </row>
    <row r="1050" spans="1:1" x14ac:dyDescent="0.25">
      <c r="A1050" t="s">
        <v>11488</v>
      </c>
    </row>
    <row r="1051" spans="1:1" x14ac:dyDescent="0.25">
      <c r="A1051" t="s">
        <v>11489</v>
      </c>
    </row>
    <row r="1052" spans="1:1" x14ac:dyDescent="0.25">
      <c r="A1052" t="s">
        <v>11490</v>
      </c>
    </row>
    <row r="1053" spans="1:1" x14ac:dyDescent="0.25">
      <c r="A1053" t="s">
        <v>11491</v>
      </c>
    </row>
    <row r="1054" spans="1:1" x14ac:dyDescent="0.25">
      <c r="A1054" t="s">
        <v>11492</v>
      </c>
    </row>
    <row r="1055" spans="1:1" x14ac:dyDescent="0.25">
      <c r="A1055" t="s">
        <v>11493</v>
      </c>
    </row>
    <row r="1056" spans="1:1" x14ac:dyDescent="0.25">
      <c r="A1056" t="s">
        <v>11494</v>
      </c>
    </row>
    <row r="1057" spans="1:1" x14ac:dyDescent="0.25">
      <c r="A1057" t="s">
        <v>11495</v>
      </c>
    </row>
    <row r="1058" spans="1:1" x14ac:dyDescent="0.25">
      <c r="A1058" t="s">
        <v>11496</v>
      </c>
    </row>
    <row r="1059" spans="1:1" x14ac:dyDescent="0.25">
      <c r="A1059" t="s">
        <v>11497</v>
      </c>
    </row>
    <row r="1060" spans="1:1" x14ac:dyDescent="0.25">
      <c r="A1060" t="s">
        <v>11498</v>
      </c>
    </row>
    <row r="1061" spans="1:1" x14ac:dyDescent="0.25">
      <c r="A1061" t="s">
        <v>11499</v>
      </c>
    </row>
    <row r="1062" spans="1:1" x14ac:dyDescent="0.25">
      <c r="A1062" t="s">
        <v>11500</v>
      </c>
    </row>
    <row r="1063" spans="1:1" x14ac:dyDescent="0.25">
      <c r="A1063" t="s">
        <v>11501</v>
      </c>
    </row>
    <row r="1064" spans="1:1" x14ac:dyDescent="0.25">
      <c r="A1064" t="s">
        <v>11502</v>
      </c>
    </row>
    <row r="1065" spans="1:1" x14ac:dyDescent="0.25">
      <c r="A1065" t="s">
        <v>11503</v>
      </c>
    </row>
    <row r="1066" spans="1:1" x14ac:dyDescent="0.25">
      <c r="A1066" t="s">
        <v>11504</v>
      </c>
    </row>
    <row r="1067" spans="1:1" x14ac:dyDescent="0.25">
      <c r="A1067" t="s">
        <v>8405</v>
      </c>
    </row>
    <row r="1068" spans="1:1" x14ac:dyDescent="0.25">
      <c r="A1068" t="s">
        <v>11505</v>
      </c>
    </row>
    <row r="1069" spans="1:1" x14ac:dyDescent="0.25">
      <c r="A1069" t="s">
        <v>11506</v>
      </c>
    </row>
    <row r="1070" spans="1:1" x14ac:dyDescent="0.25">
      <c r="A1070" t="s">
        <v>11507</v>
      </c>
    </row>
    <row r="1071" spans="1:1" x14ac:dyDescent="0.25">
      <c r="A1071" t="s">
        <v>11508</v>
      </c>
    </row>
    <row r="1072" spans="1:1" x14ac:dyDescent="0.25">
      <c r="A1072" t="s">
        <v>11509</v>
      </c>
    </row>
    <row r="1073" spans="1:1" x14ac:dyDescent="0.25">
      <c r="A1073" t="s">
        <v>11510</v>
      </c>
    </row>
    <row r="1074" spans="1:1" x14ac:dyDescent="0.25">
      <c r="A1074" t="s">
        <v>11511</v>
      </c>
    </row>
    <row r="1075" spans="1:1" x14ac:dyDescent="0.25">
      <c r="A1075" t="s">
        <v>11512</v>
      </c>
    </row>
    <row r="1076" spans="1:1" x14ac:dyDescent="0.25">
      <c r="A1076" t="s">
        <v>11513</v>
      </c>
    </row>
    <row r="1077" spans="1:1" x14ac:dyDescent="0.25">
      <c r="A1077" t="s">
        <v>11514</v>
      </c>
    </row>
    <row r="1078" spans="1:1" x14ac:dyDescent="0.25">
      <c r="A1078" t="s">
        <v>8792</v>
      </c>
    </row>
    <row r="1079" spans="1:1" x14ac:dyDescent="0.25">
      <c r="A1079" t="s">
        <v>11515</v>
      </c>
    </row>
    <row r="1080" spans="1:1" x14ac:dyDescent="0.25">
      <c r="A1080" t="s">
        <v>11516</v>
      </c>
    </row>
    <row r="1081" spans="1:1" x14ac:dyDescent="0.25">
      <c r="A1081" t="s">
        <v>11517</v>
      </c>
    </row>
    <row r="1082" spans="1:1" x14ac:dyDescent="0.25">
      <c r="A1082" t="s">
        <v>11518</v>
      </c>
    </row>
    <row r="1083" spans="1:1" x14ac:dyDescent="0.25">
      <c r="A1083" t="s">
        <v>11519</v>
      </c>
    </row>
    <row r="1084" spans="1:1" x14ac:dyDescent="0.25">
      <c r="A1084" t="s">
        <v>9936</v>
      </c>
    </row>
    <row r="1085" spans="1:1" x14ac:dyDescent="0.25">
      <c r="A1085" t="s">
        <v>11520</v>
      </c>
    </row>
    <row r="1086" spans="1:1" x14ac:dyDescent="0.25">
      <c r="A1086" t="s">
        <v>11521</v>
      </c>
    </row>
    <row r="1087" spans="1:1" x14ac:dyDescent="0.25">
      <c r="A1087" t="s">
        <v>11522</v>
      </c>
    </row>
    <row r="1088" spans="1:1" x14ac:dyDescent="0.25">
      <c r="A1088" t="s">
        <v>11523</v>
      </c>
    </row>
    <row r="1089" spans="1:1" x14ac:dyDescent="0.25">
      <c r="A1089" t="s">
        <v>11524</v>
      </c>
    </row>
    <row r="1090" spans="1:1" x14ac:dyDescent="0.25">
      <c r="A1090" t="s">
        <v>11525</v>
      </c>
    </row>
    <row r="1091" spans="1:1" x14ac:dyDescent="0.25">
      <c r="A1091" t="s">
        <v>11526</v>
      </c>
    </row>
    <row r="1092" spans="1:1" x14ac:dyDescent="0.25">
      <c r="A1092" t="s">
        <v>11527</v>
      </c>
    </row>
    <row r="1093" spans="1:1" x14ac:dyDescent="0.25">
      <c r="A1093" t="s">
        <v>11528</v>
      </c>
    </row>
    <row r="1094" spans="1:1" x14ac:dyDescent="0.25">
      <c r="A1094" t="s">
        <v>11529</v>
      </c>
    </row>
    <row r="1095" spans="1:1" x14ac:dyDescent="0.25">
      <c r="A1095" t="s">
        <v>8793</v>
      </c>
    </row>
    <row r="1096" spans="1:1" x14ac:dyDescent="0.25">
      <c r="A1096" t="s">
        <v>11530</v>
      </c>
    </row>
    <row r="1097" spans="1:1" x14ac:dyDescent="0.25">
      <c r="A1097" t="s">
        <v>11531</v>
      </c>
    </row>
    <row r="1098" spans="1:1" x14ac:dyDescent="0.25">
      <c r="A1098" t="s">
        <v>11532</v>
      </c>
    </row>
    <row r="1099" spans="1:1" x14ac:dyDescent="0.25">
      <c r="A1099" t="s">
        <v>8739</v>
      </c>
    </row>
    <row r="1100" spans="1:1" x14ac:dyDescent="0.25">
      <c r="A1100" t="s">
        <v>11533</v>
      </c>
    </row>
    <row r="1101" spans="1:1" x14ac:dyDescent="0.25">
      <c r="A1101" t="s">
        <v>11534</v>
      </c>
    </row>
    <row r="1102" spans="1:1" x14ac:dyDescent="0.25">
      <c r="A1102" t="s">
        <v>11535</v>
      </c>
    </row>
    <row r="1103" spans="1:1" x14ac:dyDescent="0.25">
      <c r="A1103" t="s">
        <v>8741</v>
      </c>
    </row>
    <row r="1104" spans="1:1" x14ac:dyDescent="0.25">
      <c r="A1104" t="s">
        <v>7636</v>
      </c>
    </row>
    <row r="1105" spans="1:1" x14ac:dyDescent="0.25">
      <c r="A1105" t="s">
        <v>11536</v>
      </c>
    </row>
    <row r="1106" spans="1:1" x14ac:dyDescent="0.25">
      <c r="A1106" t="s">
        <v>11537</v>
      </c>
    </row>
    <row r="1107" spans="1:1" x14ac:dyDescent="0.25">
      <c r="A1107" t="s">
        <v>11538</v>
      </c>
    </row>
    <row r="1108" spans="1:1" x14ac:dyDescent="0.25">
      <c r="A1108" t="s">
        <v>11539</v>
      </c>
    </row>
    <row r="1109" spans="1:1" x14ac:dyDescent="0.25">
      <c r="A1109" t="s">
        <v>11540</v>
      </c>
    </row>
    <row r="1110" spans="1:1" x14ac:dyDescent="0.25">
      <c r="A1110" t="s">
        <v>11541</v>
      </c>
    </row>
    <row r="1111" spans="1:1" x14ac:dyDescent="0.25">
      <c r="A1111" t="s">
        <v>11542</v>
      </c>
    </row>
    <row r="1112" spans="1:1" x14ac:dyDescent="0.25">
      <c r="A1112" t="s">
        <v>11543</v>
      </c>
    </row>
    <row r="1113" spans="1:1" x14ac:dyDescent="0.25">
      <c r="A1113" t="s">
        <v>11544</v>
      </c>
    </row>
    <row r="1114" spans="1:1" x14ac:dyDescent="0.25">
      <c r="A1114" t="s">
        <v>11545</v>
      </c>
    </row>
    <row r="1115" spans="1:1" x14ac:dyDescent="0.25">
      <c r="A1115" t="s">
        <v>11546</v>
      </c>
    </row>
    <row r="1116" spans="1:1" x14ac:dyDescent="0.25">
      <c r="A1116" t="s">
        <v>11547</v>
      </c>
    </row>
    <row r="1117" spans="1:1" x14ac:dyDescent="0.25">
      <c r="A1117" t="s">
        <v>11548</v>
      </c>
    </row>
    <row r="1118" spans="1:1" x14ac:dyDescent="0.25">
      <c r="A1118" t="s">
        <v>11549</v>
      </c>
    </row>
    <row r="1119" spans="1:1" x14ac:dyDescent="0.25">
      <c r="A1119" t="s">
        <v>11550</v>
      </c>
    </row>
    <row r="1120" spans="1:1" x14ac:dyDescent="0.25">
      <c r="A1120" t="s">
        <v>11551</v>
      </c>
    </row>
    <row r="1121" spans="1:1" x14ac:dyDescent="0.25">
      <c r="A1121" t="s">
        <v>11552</v>
      </c>
    </row>
    <row r="1122" spans="1:1" x14ac:dyDescent="0.25">
      <c r="A1122" t="s">
        <v>9681</v>
      </c>
    </row>
    <row r="1123" spans="1:1" x14ac:dyDescent="0.25">
      <c r="A1123" t="s">
        <v>11553</v>
      </c>
    </row>
    <row r="1124" spans="1:1" x14ac:dyDescent="0.25">
      <c r="A1124" t="s">
        <v>11554</v>
      </c>
    </row>
    <row r="1125" spans="1:1" x14ac:dyDescent="0.25">
      <c r="A1125" t="s">
        <v>11555</v>
      </c>
    </row>
    <row r="1126" spans="1:1" x14ac:dyDescent="0.25">
      <c r="A1126" t="s">
        <v>11556</v>
      </c>
    </row>
    <row r="1127" spans="1:1" x14ac:dyDescent="0.25">
      <c r="A1127" t="s">
        <v>11557</v>
      </c>
    </row>
    <row r="1128" spans="1:1" x14ac:dyDescent="0.25">
      <c r="A1128" t="s">
        <v>11558</v>
      </c>
    </row>
    <row r="1129" spans="1:1" x14ac:dyDescent="0.25">
      <c r="A1129" t="s">
        <v>11559</v>
      </c>
    </row>
    <row r="1130" spans="1:1" x14ac:dyDescent="0.25">
      <c r="A1130" t="s">
        <v>11560</v>
      </c>
    </row>
    <row r="1131" spans="1:1" x14ac:dyDescent="0.25">
      <c r="A1131" t="s">
        <v>7641</v>
      </c>
    </row>
    <row r="1132" spans="1:1" x14ac:dyDescent="0.25">
      <c r="A1132" t="s">
        <v>11561</v>
      </c>
    </row>
    <row r="1133" spans="1:1" x14ac:dyDescent="0.25">
      <c r="A1133" t="s">
        <v>11562</v>
      </c>
    </row>
    <row r="1134" spans="1:1" x14ac:dyDescent="0.25">
      <c r="A1134" t="s">
        <v>11563</v>
      </c>
    </row>
    <row r="1135" spans="1:1" x14ac:dyDescent="0.25">
      <c r="A1135" t="s">
        <v>11564</v>
      </c>
    </row>
    <row r="1136" spans="1:1" x14ac:dyDescent="0.25">
      <c r="A1136" t="s">
        <v>11565</v>
      </c>
    </row>
    <row r="1137" spans="1:1" x14ac:dyDescent="0.25">
      <c r="A1137" t="s">
        <v>11566</v>
      </c>
    </row>
    <row r="1138" spans="1:1" x14ac:dyDescent="0.25">
      <c r="A1138" t="s">
        <v>11567</v>
      </c>
    </row>
    <row r="1139" spans="1:1" x14ac:dyDescent="0.25">
      <c r="A1139" t="s">
        <v>11568</v>
      </c>
    </row>
    <row r="1140" spans="1:1" x14ac:dyDescent="0.25">
      <c r="A1140" t="s">
        <v>11569</v>
      </c>
    </row>
    <row r="1141" spans="1:1" x14ac:dyDescent="0.25">
      <c r="A1141" t="s">
        <v>11570</v>
      </c>
    </row>
    <row r="1142" spans="1:1" x14ac:dyDescent="0.25">
      <c r="A1142" t="s">
        <v>11571</v>
      </c>
    </row>
    <row r="1143" spans="1:1" x14ac:dyDescent="0.25">
      <c r="A1143" t="s">
        <v>11572</v>
      </c>
    </row>
    <row r="1144" spans="1:1" x14ac:dyDescent="0.25">
      <c r="A1144" t="s">
        <v>11573</v>
      </c>
    </row>
    <row r="1145" spans="1:1" x14ac:dyDescent="0.25">
      <c r="A1145" t="s">
        <v>9938</v>
      </c>
    </row>
    <row r="1146" spans="1:1" x14ac:dyDescent="0.25">
      <c r="A1146" t="s">
        <v>8427</v>
      </c>
    </row>
    <row r="1147" spans="1:1" x14ac:dyDescent="0.25">
      <c r="A1147" t="s">
        <v>11574</v>
      </c>
    </row>
    <row r="1148" spans="1:1" x14ac:dyDescent="0.25">
      <c r="A1148" t="s">
        <v>11575</v>
      </c>
    </row>
    <row r="1149" spans="1:1" x14ac:dyDescent="0.25">
      <c r="A1149" t="s">
        <v>11576</v>
      </c>
    </row>
    <row r="1150" spans="1:1" x14ac:dyDescent="0.25">
      <c r="A1150" t="s">
        <v>11577</v>
      </c>
    </row>
    <row r="1151" spans="1:1" x14ac:dyDescent="0.25">
      <c r="A1151" t="s">
        <v>11578</v>
      </c>
    </row>
    <row r="1152" spans="1:1" x14ac:dyDescent="0.25">
      <c r="A1152" t="s">
        <v>8794</v>
      </c>
    </row>
    <row r="1153" spans="1:1" x14ac:dyDescent="0.25">
      <c r="A1153" t="s">
        <v>11579</v>
      </c>
    </row>
    <row r="1154" spans="1:1" x14ac:dyDescent="0.25">
      <c r="A1154" t="s">
        <v>11580</v>
      </c>
    </row>
    <row r="1155" spans="1:1" x14ac:dyDescent="0.25">
      <c r="A1155" t="s">
        <v>11581</v>
      </c>
    </row>
    <row r="1156" spans="1:1" x14ac:dyDescent="0.25">
      <c r="A1156" t="s">
        <v>11582</v>
      </c>
    </row>
    <row r="1157" spans="1:1" x14ac:dyDescent="0.25">
      <c r="A1157" t="s">
        <v>11583</v>
      </c>
    </row>
    <row r="1158" spans="1:1" x14ac:dyDescent="0.25">
      <c r="A1158" t="s">
        <v>11584</v>
      </c>
    </row>
    <row r="1159" spans="1:1" x14ac:dyDescent="0.25">
      <c r="A1159" t="s">
        <v>11585</v>
      </c>
    </row>
    <row r="1160" spans="1:1" x14ac:dyDescent="0.25">
      <c r="A1160" t="s">
        <v>8428</v>
      </c>
    </row>
    <row r="1161" spans="1:1" x14ac:dyDescent="0.25">
      <c r="A1161" t="s">
        <v>11586</v>
      </c>
    </row>
    <row r="1162" spans="1:1" x14ac:dyDescent="0.25">
      <c r="A1162" t="s">
        <v>9683</v>
      </c>
    </row>
    <row r="1163" spans="1:1" x14ac:dyDescent="0.25">
      <c r="A1163" t="s">
        <v>11587</v>
      </c>
    </row>
    <row r="1164" spans="1:1" x14ac:dyDescent="0.25">
      <c r="A1164" t="s">
        <v>11588</v>
      </c>
    </row>
    <row r="1165" spans="1:1" x14ac:dyDescent="0.25">
      <c r="A1165" t="s">
        <v>11589</v>
      </c>
    </row>
    <row r="1166" spans="1:1" x14ac:dyDescent="0.25">
      <c r="A1166" t="s">
        <v>11590</v>
      </c>
    </row>
    <row r="1167" spans="1:1" x14ac:dyDescent="0.25">
      <c r="A1167" t="s">
        <v>11591</v>
      </c>
    </row>
    <row r="1168" spans="1:1" x14ac:dyDescent="0.25">
      <c r="A1168" t="s">
        <v>11592</v>
      </c>
    </row>
    <row r="1169" spans="1:1" x14ac:dyDescent="0.25">
      <c r="A1169" t="s">
        <v>7654</v>
      </c>
    </row>
    <row r="1170" spans="1:1" x14ac:dyDescent="0.25">
      <c r="A1170" t="s">
        <v>11593</v>
      </c>
    </row>
    <row r="1171" spans="1:1" x14ac:dyDescent="0.25">
      <c r="A1171" t="s">
        <v>11594</v>
      </c>
    </row>
    <row r="1172" spans="1:1" x14ac:dyDescent="0.25">
      <c r="A1172" t="s">
        <v>11595</v>
      </c>
    </row>
    <row r="1173" spans="1:1" x14ac:dyDescent="0.25">
      <c r="A1173" t="s">
        <v>11596</v>
      </c>
    </row>
    <row r="1174" spans="1:1" x14ac:dyDescent="0.25">
      <c r="A1174" t="s">
        <v>11597</v>
      </c>
    </row>
    <row r="1175" spans="1:1" x14ac:dyDescent="0.25">
      <c r="A1175" t="s">
        <v>11598</v>
      </c>
    </row>
    <row r="1176" spans="1:1" x14ac:dyDescent="0.25">
      <c r="A1176" t="s">
        <v>11599</v>
      </c>
    </row>
    <row r="1177" spans="1:1" x14ac:dyDescent="0.25">
      <c r="A1177" t="s">
        <v>11600</v>
      </c>
    </row>
    <row r="1178" spans="1:1" x14ac:dyDescent="0.25">
      <c r="A1178" t="s">
        <v>11601</v>
      </c>
    </row>
    <row r="1179" spans="1:1" x14ac:dyDescent="0.25">
      <c r="A1179" t="s">
        <v>11602</v>
      </c>
    </row>
    <row r="1180" spans="1:1" x14ac:dyDescent="0.25">
      <c r="A1180" t="s">
        <v>11603</v>
      </c>
    </row>
    <row r="1181" spans="1:1" x14ac:dyDescent="0.25">
      <c r="A1181" t="s">
        <v>11604</v>
      </c>
    </row>
    <row r="1182" spans="1:1" x14ac:dyDescent="0.25">
      <c r="A1182" t="s">
        <v>11605</v>
      </c>
    </row>
    <row r="1183" spans="1:1" x14ac:dyDescent="0.25">
      <c r="A1183" t="s">
        <v>11606</v>
      </c>
    </row>
    <row r="1184" spans="1:1" x14ac:dyDescent="0.25">
      <c r="A1184" t="s">
        <v>8429</v>
      </c>
    </row>
    <row r="1185" spans="1:1" x14ac:dyDescent="0.25">
      <c r="A1185" t="s">
        <v>11607</v>
      </c>
    </row>
    <row r="1186" spans="1:1" x14ac:dyDescent="0.25">
      <c r="A1186" t="s">
        <v>11608</v>
      </c>
    </row>
    <row r="1187" spans="1:1" x14ac:dyDescent="0.25">
      <c r="A1187" t="s">
        <v>11609</v>
      </c>
    </row>
    <row r="1188" spans="1:1" x14ac:dyDescent="0.25">
      <c r="A1188" t="s">
        <v>11610</v>
      </c>
    </row>
    <row r="1189" spans="1:1" x14ac:dyDescent="0.25">
      <c r="A1189" t="s">
        <v>11611</v>
      </c>
    </row>
    <row r="1190" spans="1:1" x14ac:dyDescent="0.25">
      <c r="A1190" t="s">
        <v>11612</v>
      </c>
    </row>
    <row r="1191" spans="1:1" x14ac:dyDescent="0.25">
      <c r="A1191" t="s">
        <v>11613</v>
      </c>
    </row>
    <row r="1192" spans="1:1" x14ac:dyDescent="0.25">
      <c r="A1192" t="s">
        <v>11614</v>
      </c>
    </row>
    <row r="1193" spans="1:1" x14ac:dyDescent="0.25">
      <c r="A1193" t="s">
        <v>11615</v>
      </c>
    </row>
    <row r="1194" spans="1:1" x14ac:dyDescent="0.25">
      <c r="A1194" t="s">
        <v>11616</v>
      </c>
    </row>
    <row r="1195" spans="1:1" x14ac:dyDescent="0.25">
      <c r="A1195" t="s">
        <v>11617</v>
      </c>
    </row>
    <row r="1196" spans="1:1" x14ac:dyDescent="0.25">
      <c r="A1196" t="s">
        <v>11618</v>
      </c>
    </row>
    <row r="1197" spans="1:1" x14ac:dyDescent="0.25">
      <c r="A1197" t="s">
        <v>11619</v>
      </c>
    </row>
    <row r="1198" spans="1:1" x14ac:dyDescent="0.25">
      <c r="A1198" t="s">
        <v>11620</v>
      </c>
    </row>
    <row r="1199" spans="1:1" x14ac:dyDescent="0.25">
      <c r="A1199" t="s">
        <v>9306</v>
      </c>
    </row>
    <row r="1200" spans="1:1" x14ac:dyDescent="0.25">
      <c r="A1200" t="s">
        <v>11621</v>
      </c>
    </row>
    <row r="1201" spans="1:1" x14ac:dyDescent="0.25">
      <c r="A1201" t="s">
        <v>11622</v>
      </c>
    </row>
    <row r="1202" spans="1:1" x14ac:dyDescent="0.25">
      <c r="A1202" t="s">
        <v>11623</v>
      </c>
    </row>
    <row r="1203" spans="1:1" x14ac:dyDescent="0.25">
      <c r="A1203" t="s">
        <v>9309</v>
      </c>
    </row>
    <row r="1204" spans="1:1" x14ac:dyDescent="0.25">
      <c r="A1204" t="s">
        <v>11624</v>
      </c>
    </row>
    <row r="1205" spans="1:1" x14ac:dyDescent="0.25">
      <c r="A1205" t="s">
        <v>8796</v>
      </c>
    </row>
    <row r="1206" spans="1:1" x14ac:dyDescent="0.25">
      <c r="A1206" t="s">
        <v>11625</v>
      </c>
    </row>
    <row r="1207" spans="1:1" x14ac:dyDescent="0.25">
      <c r="A1207" t="s">
        <v>11626</v>
      </c>
    </row>
    <row r="1208" spans="1:1" x14ac:dyDescent="0.25">
      <c r="A1208" t="s">
        <v>11627</v>
      </c>
    </row>
    <row r="1209" spans="1:1" x14ac:dyDescent="0.25">
      <c r="A1209" t="s">
        <v>11628</v>
      </c>
    </row>
    <row r="1210" spans="1:1" x14ac:dyDescent="0.25">
      <c r="A1210" t="s">
        <v>11629</v>
      </c>
    </row>
    <row r="1211" spans="1:1" x14ac:dyDescent="0.25">
      <c r="A1211" t="s">
        <v>11630</v>
      </c>
    </row>
    <row r="1212" spans="1:1" x14ac:dyDescent="0.25">
      <c r="A1212" t="s">
        <v>11631</v>
      </c>
    </row>
    <row r="1213" spans="1:1" x14ac:dyDescent="0.25">
      <c r="A1213" t="s">
        <v>11632</v>
      </c>
    </row>
    <row r="1214" spans="1:1" x14ac:dyDescent="0.25">
      <c r="A1214" t="s">
        <v>11633</v>
      </c>
    </row>
    <row r="1215" spans="1:1" x14ac:dyDescent="0.25">
      <c r="A1215" t="s">
        <v>11634</v>
      </c>
    </row>
    <row r="1216" spans="1:1" x14ac:dyDescent="0.25">
      <c r="A1216" t="s">
        <v>9316</v>
      </c>
    </row>
    <row r="1217" spans="1:1" x14ac:dyDescent="0.25">
      <c r="A1217" t="s">
        <v>11635</v>
      </c>
    </row>
    <row r="1218" spans="1:1" x14ac:dyDescent="0.25">
      <c r="A1218" t="s">
        <v>11636</v>
      </c>
    </row>
    <row r="1219" spans="1:1" x14ac:dyDescent="0.25">
      <c r="A1219" t="s">
        <v>11637</v>
      </c>
    </row>
    <row r="1220" spans="1:1" x14ac:dyDescent="0.25">
      <c r="A1220" t="s">
        <v>11638</v>
      </c>
    </row>
    <row r="1221" spans="1:1" x14ac:dyDescent="0.25">
      <c r="A1221" t="s">
        <v>11639</v>
      </c>
    </row>
    <row r="1222" spans="1:1" x14ac:dyDescent="0.25">
      <c r="A1222" t="s">
        <v>11640</v>
      </c>
    </row>
    <row r="1223" spans="1:1" x14ac:dyDescent="0.25">
      <c r="A1223" t="s">
        <v>11641</v>
      </c>
    </row>
    <row r="1224" spans="1:1" x14ac:dyDescent="0.25">
      <c r="A1224" t="s">
        <v>7671</v>
      </c>
    </row>
    <row r="1225" spans="1:1" x14ac:dyDescent="0.25">
      <c r="A1225" t="s">
        <v>11642</v>
      </c>
    </row>
    <row r="1226" spans="1:1" x14ac:dyDescent="0.25">
      <c r="A1226" t="s">
        <v>11643</v>
      </c>
    </row>
    <row r="1227" spans="1:1" x14ac:dyDescent="0.25">
      <c r="A1227" t="s">
        <v>11644</v>
      </c>
    </row>
    <row r="1228" spans="1:1" x14ac:dyDescent="0.25">
      <c r="A1228" t="s">
        <v>11645</v>
      </c>
    </row>
    <row r="1229" spans="1:1" x14ac:dyDescent="0.25">
      <c r="A1229" t="s">
        <v>11646</v>
      </c>
    </row>
    <row r="1230" spans="1:1" x14ac:dyDescent="0.25">
      <c r="A1230" t="s">
        <v>11647</v>
      </c>
    </row>
    <row r="1231" spans="1:1" x14ac:dyDescent="0.25">
      <c r="A1231" t="s">
        <v>11648</v>
      </c>
    </row>
    <row r="1232" spans="1:1" x14ac:dyDescent="0.25">
      <c r="A1232" t="s">
        <v>8438</v>
      </c>
    </row>
    <row r="1233" spans="1:1" x14ac:dyDescent="0.25">
      <c r="A1233" t="s">
        <v>11649</v>
      </c>
    </row>
    <row r="1234" spans="1:1" x14ac:dyDescent="0.25">
      <c r="A1234" t="s">
        <v>11650</v>
      </c>
    </row>
    <row r="1235" spans="1:1" x14ac:dyDescent="0.25">
      <c r="A1235" t="s">
        <v>11651</v>
      </c>
    </row>
    <row r="1236" spans="1:1" x14ac:dyDescent="0.25">
      <c r="A1236" t="s">
        <v>11652</v>
      </c>
    </row>
    <row r="1237" spans="1:1" x14ac:dyDescent="0.25">
      <c r="A1237" t="s">
        <v>11653</v>
      </c>
    </row>
    <row r="1238" spans="1:1" x14ac:dyDescent="0.25">
      <c r="A1238" t="s">
        <v>8439</v>
      </c>
    </row>
    <row r="1239" spans="1:1" x14ac:dyDescent="0.25">
      <c r="A1239" t="s">
        <v>11654</v>
      </c>
    </row>
    <row r="1240" spans="1:1" x14ac:dyDescent="0.25">
      <c r="A1240" t="s">
        <v>11655</v>
      </c>
    </row>
    <row r="1241" spans="1:1" x14ac:dyDescent="0.25">
      <c r="A1241" t="s">
        <v>11656</v>
      </c>
    </row>
    <row r="1242" spans="1:1" x14ac:dyDescent="0.25">
      <c r="A1242" t="s">
        <v>11657</v>
      </c>
    </row>
    <row r="1243" spans="1:1" x14ac:dyDescent="0.25">
      <c r="A1243" t="s">
        <v>11658</v>
      </c>
    </row>
    <row r="1244" spans="1:1" x14ac:dyDescent="0.25">
      <c r="A1244" t="s">
        <v>11659</v>
      </c>
    </row>
    <row r="1245" spans="1:1" x14ac:dyDescent="0.25">
      <c r="A1245" t="s">
        <v>7678</v>
      </c>
    </row>
    <row r="1246" spans="1:1" x14ac:dyDescent="0.25">
      <c r="A1246" t="s">
        <v>11660</v>
      </c>
    </row>
    <row r="1247" spans="1:1" x14ac:dyDescent="0.25">
      <c r="A1247" t="s">
        <v>11661</v>
      </c>
    </row>
    <row r="1248" spans="1:1" x14ac:dyDescent="0.25">
      <c r="A1248" t="s">
        <v>9689</v>
      </c>
    </row>
    <row r="1249" spans="1:1" x14ac:dyDescent="0.25">
      <c r="A1249" t="s">
        <v>11662</v>
      </c>
    </row>
    <row r="1250" spans="1:1" x14ac:dyDescent="0.25">
      <c r="A1250" t="s">
        <v>11663</v>
      </c>
    </row>
    <row r="1251" spans="1:1" x14ac:dyDescent="0.25">
      <c r="A1251" t="s">
        <v>11664</v>
      </c>
    </row>
    <row r="1252" spans="1:1" x14ac:dyDescent="0.25">
      <c r="A1252" t="s">
        <v>11665</v>
      </c>
    </row>
    <row r="1253" spans="1:1" x14ac:dyDescent="0.25">
      <c r="A1253" t="s">
        <v>11666</v>
      </c>
    </row>
    <row r="1254" spans="1:1" x14ac:dyDescent="0.25">
      <c r="A1254" t="s">
        <v>8443</v>
      </c>
    </row>
    <row r="1255" spans="1:1" x14ac:dyDescent="0.25">
      <c r="A1255" t="s">
        <v>11667</v>
      </c>
    </row>
    <row r="1256" spans="1:1" x14ac:dyDescent="0.25">
      <c r="A1256" t="s">
        <v>11668</v>
      </c>
    </row>
    <row r="1257" spans="1:1" x14ac:dyDescent="0.25">
      <c r="A1257" t="s">
        <v>8444</v>
      </c>
    </row>
    <row r="1258" spans="1:1" x14ac:dyDescent="0.25">
      <c r="A1258" t="s">
        <v>11669</v>
      </c>
    </row>
    <row r="1259" spans="1:1" x14ac:dyDescent="0.25">
      <c r="A1259" t="s">
        <v>11670</v>
      </c>
    </row>
    <row r="1260" spans="1:1" x14ac:dyDescent="0.25">
      <c r="A1260" t="s">
        <v>7682</v>
      </c>
    </row>
    <row r="1261" spans="1:1" x14ac:dyDescent="0.25">
      <c r="A1261" t="s">
        <v>11671</v>
      </c>
    </row>
    <row r="1262" spans="1:1" x14ac:dyDescent="0.25">
      <c r="A1262" t="s">
        <v>11672</v>
      </c>
    </row>
    <row r="1263" spans="1:1" x14ac:dyDescent="0.25">
      <c r="A1263" t="s">
        <v>11673</v>
      </c>
    </row>
    <row r="1264" spans="1:1" x14ac:dyDescent="0.25">
      <c r="A1264" t="s">
        <v>11674</v>
      </c>
    </row>
    <row r="1265" spans="1:1" x14ac:dyDescent="0.25">
      <c r="A1265" t="s">
        <v>11675</v>
      </c>
    </row>
    <row r="1266" spans="1:1" x14ac:dyDescent="0.25">
      <c r="A1266" t="s">
        <v>11676</v>
      </c>
    </row>
    <row r="1267" spans="1:1" x14ac:dyDescent="0.25">
      <c r="A1267" t="s">
        <v>11677</v>
      </c>
    </row>
    <row r="1268" spans="1:1" x14ac:dyDescent="0.25">
      <c r="A1268" t="s">
        <v>11678</v>
      </c>
    </row>
    <row r="1269" spans="1:1" x14ac:dyDescent="0.25">
      <c r="A1269" t="s">
        <v>11679</v>
      </c>
    </row>
    <row r="1270" spans="1:1" x14ac:dyDescent="0.25">
      <c r="A1270" t="s">
        <v>9329</v>
      </c>
    </row>
    <row r="1271" spans="1:1" x14ac:dyDescent="0.25">
      <c r="A1271" t="s">
        <v>11680</v>
      </c>
    </row>
    <row r="1272" spans="1:1" x14ac:dyDescent="0.25">
      <c r="A1272" t="s">
        <v>11681</v>
      </c>
    </row>
    <row r="1273" spans="1:1" x14ac:dyDescent="0.25">
      <c r="A1273" t="s">
        <v>11682</v>
      </c>
    </row>
    <row r="1274" spans="1:1" x14ac:dyDescent="0.25">
      <c r="A1274" t="s">
        <v>11683</v>
      </c>
    </row>
    <row r="1275" spans="1:1" x14ac:dyDescent="0.25">
      <c r="A1275" t="s">
        <v>11684</v>
      </c>
    </row>
    <row r="1276" spans="1:1" x14ac:dyDescent="0.25">
      <c r="A1276" t="s">
        <v>11685</v>
      </c>
    </row>
    <row r="1277" spans="1:1" x14ac:dyDescent="0.25">
      <c r="A1277" t="s">
        <v>11686</v>
      </c>
    </row>
    <row r="1278" spans="1:1" x14ac:dyDescent="0.25">
      <c r="A1278" t="s">
        <v>11687</v>
      </c>
    </row>
    <row r="1279" spans="1:1" x14ac:dyDescent="0.25">
      <c r="A1279" t="s">
        <v>11688</v>
      </c>
    </row>
    <row r="1280" spans="1:1" x14ac:dyDescent="0.25">
      <c r="A1280" t="s">
        <v>11689</v>
      </c>
    </row>
    <row r="1281" spans="1:1" x14ac:dyDescent="0.25">
      <c r="A1281" t="s">
        <v>11690</v>
      </c>
    </row>
    <row r="1282" spans="1:1" x14ac:dyDescent="0.25">
      <c r="A1282" t="s">
        <v>11691</v>
      </c>
    </row>
    <row r="1283" spans="1:1" x14ac:dyDescent="0.25">
      <c r="A1283" t="s">
        <v>11692</v>
      </c>
    </row>
    <row r="1284" spans="1:1" x14ac:dyDescent="0.25">
      <c r="A1284" t="s">
        <v>11693</v>
      </c>
    </row>
    <row r="1285" spans="1:1" x14ac:dyDescent="0.25">
      <c r="A1285" t="s">
        <v>11694</v>
      </c>
    </row>
    <row r="1286" spans="1:1" x14ac:dyDescent="0.25">
      <c r="A1286" t="s">
        <v>11695</v>
      </c>
    </row>
    <row r="1287" spans="1:1" x14ac:dyDescent="0.25">
      <c r="A1287" t="s">
        <v>11696</v>
      </c>
    </row>
    <row r="1288" spans="1:1" x14ac:dyDescent="0.25">
      <c r="A1288" t="s">
        <v>11697</v>
      </c>
    </row>
    <row r="1289" spans="1:1" x14ac:dyDescent="0.25">
      <c r="A1289" t="s">
        <v>11698</v>
      </c>
    </row>
    <row r="1290" spans="1:1" x14ac:dyDescent="0.25">
      <c r="A1290" t="s">
        <v>11699</v>
      </c>
    </row>
    <row r="1291" spans="1:1" x14ac:dyDescent="0.25">
      <c r="A1291" t="s">
        <v>11700</v>
      </c>
    </row>
    <row r="1292" spans="1:1" x14ac:dyDescent="0.25">
      <c r="A1292" t="s">
        <v>11701</v>
      </c>
    </row>
    <row r="1293" spans="1:1" x14ac:dyDescent="0.25">
      <c r="A1293" t="s">
        <v>11702</v>
      </c>
    </row>
    <row r="1294" spans="1:1" x14ac:dyDescent="0.25">
      <c r="A1294" t="s">
        <v>8449</v>
      </c>
    </row>
    <row r="1295" spans="1:1" x14ac:dyDescent="0.25">
      <c r="A1295" t="s">
        <v>11703</v>
      </c>
    </row>
    <row r="1296" spans="1:1" x14ac:dyDescent="0.25">
      <c r="A1296" t="s">
        <v>11704</v>
      </c>
    </row>
    <row r="1297" spans="1:1" x14ac:dyDescent="0.25">
      <c r="A1297" t="s">
        <v>11705</v>
      </c>
    </row>
    <row r="1298" spans="1:1" x14ac:dyDescent="0.25">
      <c r="A1298" t="s">
        <v>11706</v>
      </c>
    </row>
    <row r="1299" spans="1:1" x14ac:dyDescent="0.25">
      <c r="A1299" t="s">
        <v>11707</v>
      </c>
    </row>
    <row r="1300" spans="1:1" x14ac:dyDescent="0.25">
      <c r="A1300" t="s">
        <v>11708</v>
      </c>
    </row>
    <row r="1301" spans="1:1" x14ac:dyDescent="0.25">
      <c r="A1301" t="s">
        <v>11709</v>
      </c>
    </row>
    <row r="1302" spans="1:1" x14ac:dyDescent="0.25">
      <c r="A1302" t="s">
        <v>11710</v>
      </c>
    </row>
    <row r="1303" spans="1:1" x14ac:dyDescent="0.25">
      <c r="A1303" t="s">
        <v>11711</v>
      </c>
    </row>
    <row r="1304" spans="1:1" x14ac:dyDescent="0.25">
      <c r="A1304" t="s">
        <v>11712</v>
      </c>
    </row>
    <row r="1305" spans="1:1" x14ac:dyDescent="0.25">
      <c r="A1305" t="s">
        <v>11713</v>
      </c>
    </row>
    <row r="1306" spans="1:1" x14ac:dyDescent="0.25">
      <c r="A1306" t="s">
        <v>7702</v>
      </c>
    </row>
    <row r="1307" spans="1:1" x14ac:dyDescent="0.25">
      <c r="A1307" t="s">
        <v>8450</v>
      </c>
    </row>
    <row r="1308" spans="1:1" x14ac:dyDescent="0.25">
      <c r="A1308" t="s">
        <v>11714</v>
      </c>
    </row>
    <row r="1309" spans="1:1" x14ac:dyDescent="0.25">
      <c r="A1309" t="s">
        <v>11715</v>
      </c>
    </row>
    <row r="1310" spans="1:1" x14ac:dyDescent="0.25">
      <c r="A1310" t="s">
        <v>11716</v>
      </c>
    </row>
    <row r="1311" spans="1:1" x14ac:dyDescent="0.25">
      <c r="A1311" t="s">
        <v>11717</v>
      </c>
    </row>
    <row r="1312" spans="1:1" x14ac:dyDescent="0.25">
      <c r="A1312" t="s">
        <v>7709</v>
      </c>
    </row>
    <row r="1313" spans="1:1" x14ac:dyDescent="0.25">
      <c r="A1313" t="s">
        <v>11718</v>
      </c>
    </row>
    <row r="1314" spans="1:1" x14ac:dyDescent="0.25">
      <c r="A1314" t="s">
        <v>9697</v>
      </c>
    </row>
    <row r="1315" spans="1:1" x14ac:dyDescent="0.25">
      <c r="A1315" t="s">
        <v>11719</v>
      </c>
    </row>
    <row r="1316" spans="1:1" x14ac:dyDescent="0.25">
      <c r="A1316" t="s">
        <v>11720</v>
      </c>
    </row>
    <row r="1317" spans="1:1" x14ac:dyDescent="0.25">
      <c r="A1317" t="s">
        <v>11721</v>
      </c>
    </row>
    <row r="1318" spans="1:1" x14ac:dyDescent="0.25">
      <c r="A1318" t="s">
        <v>11722</v>
      </c>
    </row>
    <row r="1319" spans="1:1" x14ac:dyDescent="0.25">
      <c r="A1319" t="s">
        <v>11723</v>
      </c>
    </row>
    <row r="1320" spans="1:1" x14ac:dyDescent="0.25">
      <c r="A1320" t="s">
        <v>11724</v>
      </c>
    </row>
    <row r="1321" spans="1:1" x14ac:dyDescent="0.25">
      <c r="A1321" t="s">
        <v>10714</v>
      </c>
    </row>
    <row r="1322" spans="1:1" x14ac:dyDescent="0.25">
      <c r="A1322" t="s">
        <v>11725</v>
      </c>
    </row>
    <row r="1323" spans="1:1" x14ac:dyDescent="0.25">
      <c r="A1323" t="s">
        <v>11726</v>
      </c>
    </row>
    <row r="1324" spans="1:1" x14ac:dyDescent="0.25">
      <c r="A1324" t="s">
        <v>11727</v>
      </c>
    </row>
    <row r="1325" spans="1:1" x14ac:dyDescent="0.25">
      <c r="A1325" t="s">
        <v>11728</v>
      </c>
    </row>
    <row r="1326" spans="1:1" x14ac:dyDescent="0.25">
      <c r="A1326" t="s">
        <v>11729</v>
      </c>
    </row>
    <row r="1327" spans="1:1" x14ac:dyDescent="0.25">
      <c r="A1327" t="s">
        <v>11730</v>
      </c>
    </row>
    <row r="1328" spans="1:1" x14ac:dyDescent="0.25">
      <c r="A1328" t="s">
        <v>9334</v>
      </c>
    </row>
    <row r="1329" spans="1:1" x14ac:dyDescent="0.25">
      <c r="A1329" t="s">
        <v>11731</v>
      </c>
    </row>
    <row r="1330" spans="1:1" x14ac:dyDescent="0.25">
      <c r="A1330" t="s">
        <v>9337</v>
      </c>
    </row>
    <row r="1331" spans="1:1" x14ac:dyDescent="0.25">
      <c r="A1331" t="s">
        <v>11732</v>
      </c>
    </row>
    <row r="1332" spans="1:1" x14ac:dyDescent="0.25">
      <c r="A1332" t="s">
        <v>11733</v>
      </c>
    </row>
    <row r="1333" spans="1:1" x14ac:dyDescent="0.25">
      <c r="A1333" t="s">
        <v>11734</v>
      </c>
    </row>
    <row r="1334" spans="1:1" x14ac:dyDescent="0.25">
      <c r="A1334" t="s">
        <v>11735</v>
      </c>
    </row>
    <row r="1335" spans="1:1" x14ac:dyDescent="0.25">
      <c r="A1335" t="s">
        <v>11736</v>
      </c>
    </row>
    <row r="1336" spans="1:1" x14ac:dyDescent="0.25">
      <c r="A1336" t="s">
        <v>11737</v>
      </c>
    </row>
    <row r="1337" spans="1:1" x14ac:dyDescent="0.25">
      <c r="A1337" t="s">
        <v>9339</v>
      </c>
    </row>
    <row r="1338" spans="1:1" x14ac:dyDescent="0.25">
      <c r="A1338" t="s">
        <v>11738</v>
      </c>
    </row>
    <row r="1339" spans="1:1" x14ac:dyDescent="0.25">
      <c r="A1339" t="s">
        <v>9698</v>
      </c>
    </row>
    <row r="1340" spans="1:1" x14ac:dyDescent="0.25">
      <c r="A1340" t="s">
        <v>11739</v>
      </c>
    </row>
    <row r="1341" spans="1:1" x14ac:dyDescent="0.25">
      <c r="A1341" t="s">
        <v>9341</v>
      </c>
    </row>
    <row r="1342" spans="1:1" x14ac:dyDescent="0.25">
      <c r="A1342" t="s">
        <v>11740</v>
      </c>
    </row>
    <row r="1343" spans="1:1" x14ac:dyDescent="0.25">
      <c r="A1343" t="s">
        <v>11741</v>
      </c>
    </row>
    <row r="1344" spans="1:1" x14ac:dyDescent="0.25">
      <c r="A1344" t="s">
        <v>11742</v>
      </c>
    </row>
    <row r="1345" spans="1:1" x14ac:dyDescent="0.25">
      <c r="A1345" t="s">
        <v>11743</v>
      </c>
    </row>
    <row r="1346" spans="1:1" x14ac:dyDescent="0.25">
      <c r="A1346" t="s">
        <v>11744</v>
      </c>
    </row>
    <row r="1347" spans="1:1" x14ac:dyDescent="0.25">
      <c r="A1347" t="s">
        <v>11745</v>
      </c>
    </row>
    <row r="1348" spans="1:1" x14ac:dyDescent="0.25">
      <c r="A1348" t="s">
        <v>11746</v>
      </c>
    </row>
    <row r="1349" spans="1:1" x14ac:dyDescent="0.25">
      <c r="A1349" t="s">
        <v>11747</v>
      </c>
    </row>
    <row r="1350" spans="1:1" x14ac:dyDescent="0.25">
      <c r="A1350" t="s">
        <v>11748</v>
      </c>
    </row>
    <row r="1351" spans="1:1" x14ac:dyDescent="0.25">
      <c r="A1351" t="s">
        <v>11749</v>
      </c>
    </row>
    <row r="1352" spans="1:1" x14ac:dyDescent="0.25">
      <c r="A1352" t="s">
        <v>11750</v>
      </c>
    </row>
    <row r="1353" spans="1:1" x14ac:dyDescent="0.25">
      <c r="A1353" t="s">
        <v>11751</v>
      </c>
    </row>
    <row r="1354" spans="1:1" x14ac:dyDescent="0.25">
      <c r="A1354" t="s">
        <v>11752</v>
      </c>
    </row>
    <row r="1355" spans="1:1" x14ac:dyDescent="0.25">
      <c r="A1355" t="s">
        <v>11753</v>
      </c>
    </row>
    <row r="1356" spans="1:1" x14ac:dyDescent="0.25">
      <c r="A1356" t="s">
        <v>11754</v>
      </c>
    </row>
    <row r="1357" spans="1:1" x14ac:dyDescent="0.25">
      <c r="A1357" t="s">
        <v>11755</v>
      </c>
    </row>
    <row r="1358" spans="1:1" x14ac:dyDescent="0.25">
      <c r="A1358" t="s">
        <v>11756</v>
      </c>
    </row>
    <row r="1359" spans="1:1" x14ac:dyDescent="0.25">
      <c r="A1359" t="s">
        <v>9699</v>
      </c>
    </row>
    <row r="1360" spans="1:1" x14ac:dyDescent="0.25">
      <c r="A1360" t="s">
        <v>11757</v>
      </c>
    </row>
    <row r="1361" spans="1:1" x14ac:dyDescent="0.25">
      <c r="A1361" t="s">
        <v>11758</v>
      </c>
    </row>
    <row r="1362" spans="1:1" x14ac:dyDescent="0.25">
      <c r="A1362" t="s">
        <v>11759</v>
      </c>
    </row>
    <row r="1363" spans="1:1" x14ac:dyDescent="0.25">
      <c r="A1363" t="s">
        <v>11760</v>
      </c>
    </row>
    <row r="1364" spans="1:1" x14ac:dyDescent="0.25">
      <c r="A1364" t="s">
        <v>8459</v>
      </c>
    </row>
    <row r="1365" spans="1:1" x14ac:dyDescent="0.25">
      <c r="A1365" t="s">
        <v>11761</v>
      </c>
    </row>
    <row r="1366" spans="1:1" x14ac:dyDescent="0.25">
      <c r="A1366" t="s">
        <v>11762</v>
      </c>
    </row>
    <row r="1367" spans="1:1" x14ac:dyDescent="0.25">
      <c r="A1367" t="s">
        <v>11763</v>
      </c>
    </row>
    <row r="1368" spans="1:1" x14ac:dyDescent="0.25">
      <c r="A1368" t="s">
        <v>11764</v>
      </c>
    </row>
    <row r="1369" spans="1:1" x14ac:dyDescent="0.25">
      <c r="A1369" t="s">
        <v>8460</v>
      </c>
    </row>
    <row r="1370" spans="1:1" x14ac:dyDescent="0.25">
      <c r="A1370" t="s">
        <v>11765</v>
      </c>
    </row>
    <row r="1371" spans="1:1" x14ac:dyDescent="0.25">
      <c r="A1371" t="s">
        <v>9703</v>
      </c>
    </row>
    <row r="1372" spans="1:1" x14ac:dyDescent="0.25">
      <c r="A1372" t="s">
        <v>11766</v>
      </c>
    </row>
    <row r="1373" spans="1:1" x14ac:dyDescent="0.25">
      <c r="A1373" t="s">
        <v>7726</v>
      </c>
    </row>
    <row r="1374" spans="1:1" x14ac:dyDescent="0.25">
      <c r="A1374" t="s">
        <v>11767</v>
      </c>
    </row>
    <row r="1375" spans="1:1" x14ac:dyDescent="0.25">
      <c r="A1375" t="s">
        <v>11768</v>
      </c>
    </row>
    <row r="1376" spans="1:1" x14ac:dyDescent="0.25">
      <c r="A1376" t="s">
        <v>11769</v>
      </c>
    </row>
    <row r="1377" spans="1:1" x14ac:dyDescent="0.25">
      <c r="A1377" t="s">
        <v>11770</v>
      </c>
    </row>
    <row r="1378" spans="1:1" x14ac:dyDescent="0.25">
      <c r="A1378" t="s">
        <v>11771</v>
      </c>
    </row>
    <row r="1379" spans="1:1" x14ac:dyDescent="0.25">
      <c r="A1379" t="s">
        <v>11772</v>
      </c>
    </row>
    <row r="1380" spans="1:1" x14ac:dyDescent="0.25">
      <c r="A1380" t="s">
        <v>9669</v>
      </c>
    </row>
    <row r="1381" spans="1:1" x14ac:dyDescent="0.25">
      <c r="A1381" t="s">
        <v>11773</v>
      </c>
    </row>
    <row r="1382" spans="1:1" x14ac:dyDescent="0.25">
      <c r="A1382" t="s">
        <v>11774</v>
      </c>
    </row>
    <row r="1383" spans="1:1" x14ac:dyDescent="0.25">
      <c r="A1383" t="s">
        <v>11775</v>
      </c>
    </row>
    <row r="1384" spans="1:1" x14ac:dyDescent="0.25">
      <c r="A1384" t="s">
        <v>11776</v>
      </c>
    </row>
    <row r="1385" spans="1:1" x14ac:dyDescent="0.25">
      <c r="A1385" t="s">
        <v>11777</v>
      </c>
    </row>
    <row r="1386" spans="1:1" x14ac:dyDescent="0.25">
      <c r="A1386" t="s">
        <v>11778</v>
      </c>
    </row>
    <row r="1387" spans="1:1" x14ac:dyDescent="0.25">
      <c r="A1387" t="s">
        <v>11779</v>
      </c>
    </row>
    <row r="1388" spans="1:1" x14ac:dyDescent="0.25">
      <c r="A1388" t="s">
        <v>11780</v>
      </c>
    </row>
    <row r="1389" spans="1:1" x14ac:dyDescent="0.25">
      <c r="A1389" t="s">
        <v>11781</v>
      </c>
    </row>
    <row r="1390" spans="1:1" x14ac:dyDescent="0.25">
      <c r="A1390" t="s">
        <v>11782</v>
      </c>
    </row>
    <row r="1391" spans="1:1" x14ac:dyDescent="0.25">
      <c r="A1391" t="s">
        <v>11783</v>
      </c>
    </row>
    <row r="1392" spans="1:1" x14ac:dyDescent="0.25">
      <c r="A1392" t="s">
        <v>11784</v>
      </c>
    </row>
    <row r="1393" spans="1:1" x14ac:dyDescent="0.25">
      <c r="A1393" t="s">
        <v>11785</v>
      </c>
    </row>
    <row r="1394" spans="1:1" x14ac:dyDescent="0.25">
      <c r="A1394" t="s">
        <v>11786</v>
      </c>
    </row>
    <row r="1395" spans="1:1" x14ac:dyDescent="0.25">
      <c r="A1395" t="s">
        <v>11787</v>
      </c>
    </row>
    <row r="1396" spans="1:1" x14ac:dyDescent="0.25">
      <c r="A1396" t="s">
        <v>11788</v>
      </c>
    </row>
    <row r="1397" spans="1:1" x14ac:dyDescent="0.25">
      <c r="A1397" t="s">
        <v>11789</v>
      </c>
    </row>
    <row r="1398" spans="1:1" x14ac:dyDescent="0.25">
      <c r="A1398" t="s">
        <v>11790</v>
      </c>
    </row>
    <row r="1399" spans="1:1" x14ac:dyDescent="0.25">
      <c r="A1399" t="s">
        <v>11791</v>
      </c>
    </row>
    <row r="1400" spans="1:1" x14ac:dyDescent="0.25">
      <c r="A1400" t="s">
        <v>11792</v>
      </c>
    </row>
    <row r="1401" spans="1:1" x14ac:dyDescent="0.25">
      <c r="A1401" t="s">
        <v>11793</v>
      </c>
    </row>
    <row r="1402" spans="1:1" x14ac:dyDescent="0.25">
      <c r="A1402" t="s">
        <v>11794</v>
      </c>
    </row>
    <row r="1403" spans="1:1" x14ac:dyDescent="0.25">
      <c r="A1403" t="s">
        <v>11795</v>
      </c>
    </row>
    <row r="1404" spans="1:1" x14ac:dyDescent="0.25">
      <c r="A1404" t="s">
        <v>11796</v>
      </c>
    </row>
    <row r="1405" spans="1:1" x14ac:dyDescent="0.25">
      <c r="A1405" t="s">
        <v>11797</v>
      </c>
    </row>
    <row r="1406" spans="1:1" x14ac:dyDescent="0.25">
      <c r="A1406" t="s">
        <v>7733</v>
      </c>
    </row>
    <row r="1407" spans="1:1" x14ac:dyDescent="0.25">
      <c r="A1407" t="s">
        <v>9346</v>
      </c>
    </row>
    <row r="1408" spans="1:1" x14ac:dyDescent="0.25">
      <c r="A1408" t="s">
        <v>7734</v>
      </c>
    </row>
    <row r="1409" spans="1:1" x14ac:dyDescent="0.25">
      <c r="A1409" t="s">
        <v>9952</v>
      </c>
    </row>
    <row r="1410" spans="1:1" x14ac:dyDescent="0.25">
      <c r="A1410" t="s">
        <v>9347</v>
      </c>
    </row>
    <row r="1411" spans="1:1" x14ac:dyDescent="0.25">
      <c r="A1411" t="s">
        <v>11798</v>
      </c>
    </row>
    <row r="1412" spans="1:1" x14ac:dyDescent="0.25">
      <c r="A1412" t="s">
        <v>11799</v>
      </c>
    </row>
    <row r="1413" spans="1:1" x14ac:dyDescent="0.25">
      <c r="A1413" t="s">
        <v>11800</v>
      </c>
    </row>
    <row r="1414" spans="1:1" x14ac:dyDescent="0.25">
      <c r="A1414" t="s">
        <v>11801</v>
      </c>
    </row>
    <row r="1415" spans="1:1" x14ac:dyDescent="0.25">
      <c r="A1415" t="s">
        <v>9349</v>
      </c>
    </row>
    <row r="1416" spans="1:1" x14ac:dyDescent="0.25">
      <c r="A1416" t="s">
        <v>11802</v>
      </c>
    </row>
    <row r="1417" spans="1:1" x14ac:dyDescent="0.25">
      <c r="A1417" t="s">
        <v>7737</v>
      </c>
    </row>
    <row r="1418" spans="1:1" x14ac:dyDescent="0.25">
      <c r="A1418" t="s">
        <v>11803</v>
      </c>
    </row>
    <row r="1419" spans="1:1" x14ac:dyDescent="0.25">
      <c r="A1419" t="s">
        <v>11804</v>
      </c>
    </row>
    <row r="1420" spans="1:1" x14ac:dyDescent="0.25">
      <c r="A1420" t="s">
        <v>11805</v>
      </c>
    </row>
    <row r="1421" spans="1:1" x14ac:dyDescent="0.25">
      <c r="A1421" t="s">
        <v>11806</v>
      </c>
    </row>
    <row r="1422" spans="1:1" x14ac:dyDescent="0.25">
      <c r="A1422" t="s">
        <v>11807</v>
      </c>
    </row>
    <row r="1423" spans="1:1" x14ac:dyDescent="0.25">
      <c r="A1423" t="s">
        <v>11808</v>
      </c>
    </row>
    <row r="1424" spans="1:1" x14ac:dyDescent="0.25">
      <c r="A1424" t="s">
        <v>8464</v>
      </c>
    </row>
    <row r="1425" spans="1:1" x14ac:dyDescent="0.25">
      <c r="A1425" t="s">
        <v>8743</v>
      </c>
    </row>
    <row r="1426" spans="1:1" x14ac:dyDescent="0.25">
      <c r="A1426" t="s">
        <v>11809</v>
      </c>
    </row>
    <row r="1427" spans="1:1" x14ac:dyDescent="0.25">
      <c r="A1427" t="s">
        <v>11810</v>
      </c>
    </row>
    <row r="1428" spans="1:1" x14ac:dyDescent="0.25">
      <c r="A1428" t="s">
        <v>11811</v>
      </c>
    </row>
    <row r="1429" spans="1:1" x14ac:dyDescent="0.25">
      <c r="A1429" t="s">
        <v>11812</v>
      </c>
    </row>
    <row r="1430" spans="1:1" x14ac:dyDescent="0.25">
      <c r="A1430" t="s">
        <v>11813</v>
      </c>
    </row>
    <row r="1431" spans="1:1" x14ac:dyDescent="0.25">
      <c r="A1431" t="s">
        <v>11814</v>
      </c>
    </row>
    <row r="1432" spans="1:1" x14ac:dyDescent="0.25">
      <c r="A1432" t="s">
        <v>11815</v>
      </c>
    </row>
    <row r="1433" spans="1:1" x14ac:dyDescent="0.25">
      <c r="A1433" t="s">
        <v>11816</v>
      </c>
    </row>
    <row r="1434" spans="1:1" x14ac:dyDescent="0.25">
      <c r="A1434" t="s">
        <v>11817</v>
      </c>
    </row>
    <row r="1435" spans="1:1" x14ac:dyDescent="0.25">
      <c r="A1435" t="s">
        <v>9352</v>
      </c>
    </row>
    <row r="1436" spans="1:1" x14ac:dyDescent="0.25">
      <c r="A1436" t="s">
        <v>8468</v>
      </c>
    </row>
    <row r="1437" spans="1:1" x14ac:dyDescent="0.25">
      <c r="A1437" t="s">
        <v>11818</v>
      </c>
    </row>
    <row r="1438" spans="1:1" x14ac:dyDescent="0.25">
      <c r="A1438" t="s">
        <v>11819</v>
      </c>
    </row>
    <row r="1439" spans="1:1" x14ac:dyDescent="0.25">
      <c r="A1439" t="s">
        <v>9354</v>
      </c>
    </row>
    <row r="1440" spans="1:1" x14ac:dyDescent="0.25">
      <c r="A1440" t="s">
        <v>9955</v>
      </c>
    </row>
    <row r="1441" spans="1:1" x14ac:dyDescent="0.25">
      <c r="A1441" t="s">
        <v>11820</v>
      </c>
    </row>
    <row r="1442" spans="1:1" x14ac:dyDescent="0.25">
      <c r="A1442" t="s">
        <v>11821</v>
      </c>
    </row>
    <row r="1443" spans="1:1" x14ac:dyDescent="0.25">
      <c r="A1443" t="s">
        <v>11822</v>
      </c>
    </row>
    <row r="1444" spans="1:1" x14ac:dyDescent="0.25">
      <c r="A1444" t="s">
        <v>11823</v>
      </c>
    </row>
    <row r="1445" spans="1:1" x14ac:dyDescent="0.25">
      <c r="A1445" t="s">
        <v>11824</v>
      </c>
    </row>
    <row r="1446" spans="1:1" x14ac:dyDescent="0.25">
      <c r="A1446" t="s">
        <v>11825</v>
      </c>
    </row>
    <row r="1447" spans="1:1" x14ac:dyDescent="0.25">
      <c r="A1447" t="s">
        <v>11826</v>
      </c>
    </row>
    <row r="1448" spans="1:1" x14ac:dyDescent="0.25">
      <c r="A1448" t="s">
        <v>11827</v>
      </c>
    </row>
    <row r="1449" spans="1:1" x14ac:dyDescent="0.25">
      <c r="A1449" t="s">
        <v>11828</v>
      </c>
    </row>
    <row r="1450" spans="1:1" x14ac:dyDescent="0.25">
      <c r="A1450" t="s">
        <v>11829</v>
      </c>
    </row>
    <row r="1451" spans="1:1" x14ac:dyDescent="0.25">
      <c r="A1451" t="s">
        <v>11830</v>
      </c>
    </row>
    <row r="1452" spans="1:1" x14ac:dyDescent="0.25">
      <c r="A1452" t="s">
        <v>11831</v>
      </c>
    </row>
    <row r="1453" spans="1:1" x14ac:dyDescent="0.25">
      <c r="A1453" t="s">
        <v>11832</v>
      </c>
    </row>
    <row r="1454" spans="1:1" x14ac:dyDescent="0.25">
      <c r="A1454" t="s">
        <v>11833</v>
      </c>
    </row>
    <row r="1455" spans="1:1" x14ac:dyDescent="0.25">
      <c r="A1455" t="s">
        <v>11834</v>
      </c>
    </row>
    <row r="1456" spans="1:1" x14ac:dyDescent="0.25">
      <c r="A1456" t="s">
        <v>11835</v>
      </c>
    </row>
    <row r="1457" spans="1:1" x14ac:dyDescent="0.25">
      <c r="A1457" t="s">
        <v>11836</v>
      </c>
    </row>
    <row r="1458" spans="1:1" x14ac:dyDescent="0.25">
      <c r="A1458" t="s">
        <v>11837</v>
      </c>
    </row>
    <row r="1459" spans="1:1" x14ac:dyDescent="0.25">
      <c r="A1459" t="s">
        <v>7752</v>
      </c>
    </row>
    <row r="1460" spans="1:1" x14ac:dyDescent="0.25">
      <c r="A1460" t="s">
        <v>11838</v>
      </c>
    </row>
    <row r="1461" spans="1:1" x14ac:dyDescent="0.25">
      <c r="A1461" t="s">
        <v>11839</v>
      </c>
    </row>
    <row r="1462" spans="1:1" x14ac:dyDescent="0.25">
      <c r="A1462" t="s">
        <v>11840</v>
      </c>
    </row>
    <row r="1463" spans="1:1" x14ac:dyDescent="0.25">
      <c r="A1463" t="s">
        <v>11841</v>
      </c>
    </row>
    <row r="1464" spans="1:1" x14ac:dyDescent="0.25">
      <c r="A1464" t="s">
        <v>11842</v>
      </c>
    </row>
    <row r="1465" spans="1:1" x14ac:dyDescent="0.25">
      <c r="A1465" t="s">
        <v>11843</v>
      </c>
    </row>
    <row r="1466" spans="1:1" x14ac:dyDescent="0.25">
      <c r="A1466" t="s">
        <v>9709</v>
      </c>
    </row>
    <row r="1467" spans="1:1" x14ac:dyDescent="0.25">
      <c r="A1467" t="s">
        <v>11844</v>
      </c>
    </row>
    <row r="1468" spans="1:1" x14ac:dyDescent="0.25">
      <c r="A1468" t="s">
        <v>11845</v>
      </c>
    </row>
    <row r="1469" spans="1:1" x14ac:dyDescent="0.25">
      <c r="A1469" t="s">
        <v>11846</v>
      </c>
    </row>
    <row r="1470" spans="1:1" x14ac:dyDescent="0.25">
      <c r="A1470" t="s">
        <v>11847</v>
      </c>
    </row>
    <row r="1471" spans="1:1" x14ac:dyDescent="0.25">
      <c r="A1471" t="s">
        <v>8797</v>
      </c>
    </row>
    <row r="1472" spans="1:1" x14ac:dyDescent="0.25">
      <c r="A1472" t="s">
        <v>11848</v>
      </c>
    </row>
    <row r="1473" spans="1:1" x14ac:dyDescent="0.25">
      <c r="A1473" t="s">
        <v>11849</v>
      </c>
    </row>
    <row r="1474" spans="1:1" x14ac:dyDescent="0.25">
      <c r="A1474" t="s">
        <v>7759</v>
      </c>
    </row>
    <row r="1475" spans="1:1" x14ac:dyDescent="0.25">
      <c r="A1475" t="s">
        <v>11850</v>
      </c>
    </row>
    <row r="1476" spans="1:1" x14ac:dyDescent="0.25">
      <c r="A1476" t="s">
        <v>11851</v>
      </c>
    </row>
    <row r="1477" spans="1:1" x14ac:dyDescent="0.25">
      <c r="A1477" t="s">
        <v>11852</v>
      </c>
    </row>
    <row r="1478" spans="1:1" x14ac:dyDescent="0.25">
      <c r="A1478" t="s">
        <v>11853</v>
      </c>
    </row>
    <row r="1479" spans="1:1" x14ac:dyDescent="0.25">
      <c r="A1479" t="s">
        <v>11854</v>
      </c>
    </row>
    <row r="1480" spans="1:1" x14ac:dyDescent="0.25">
      <c r="A1480" t="s">
        <v>11855</v>
      </c>
    </row>
    <row r="1481" spans="1:1" x14ac:dyDescent="0.25">
      <c r="A1481" t="s">
        <v>11856</v>
      </c>
    </row>
    <row r="1482" spans="1:1" x14ac:dyDescent="0.25">
      <c r="A1482" t="s">
        <v>11857</v>
      </c>
    </row>
    <row r="1483" spans="1:1" x14ac:dyDescent="0.25">
      <c r="A1483" t="s">
        <v>11858</v>
      </c>
    </row>
    <row r="1484" spans="1:1" x14ac:dyDescent="0.25">
      <c r="A1484" t="s">
        <v>9956</v>
      </c>
    </row>
    <row r="1485" spans="1:1" x14ac:dyDescent="0.25">
      <c r="A1485" t="s">
        <v>11859</v>
      </c>
    </row>
    <row r="1486" spans="1:1" x14ac:dyDescent="0.25">
      <c r="A1486" t="s">
        <v>11860</v>
      </c>
    </row>
    <row r="1487" spans="1:1" x14ac:dyDescent="0.25">
      <c r="A1487" t="s">
        <v>10717</v>
      </c>
    </row>
    <row r="1488" spans="1:1" x14ac:dyDescent="0.25">
      <c r="A1488" t="s">
        <v>11861</v>
      </c>
    </row>
    <row r="1489" spans="1:1" x14ac:dyDescent="0.25">
      <c r="A1489" t="s">
        <v>11862</v>
      </c>
    </row>
    <row r="1490" spans="1:1" x14ac:dyDescent="0.25">
      <c r="A1490" t="s">
        <v>11863</v>
      </c>
    </row>
    <row r="1491" spans="1:1" x14ac:dyDescent="0.25">
      <c r="A1491" t="s">
        <v>11864</v>
      </c>
    </row>
    <row r="1492" spans="1:1" x14ac:dyDescent="0.25">
      <c r="A1492" t="s">
        <v>11865</v>
      </c>
    </row>
    <row r="1493" spans="1:1" x14ac:dyDescent="0.25">
      <c r="A1493" t="s">
        <v>11866</v>
      </c>
    </row>
    <row r="1494" spans="1:1" x14ac:dyDescent="0.25">
      <c r="A1494" t="s">
        <v>11867</v>
      </c>
    </row>
    <row r="1495" spans="1:1" x14ac:dyDescent="0.25">
      <c r="A1495" t="s">
        <v>11868</v>
      </c>
    </row>
    <row r="1496" spans="1:1" x14ac:dyDescent="0.25">
      <c r="A1496" t="s">
        <v>11869</v>
      </c>
    </row>
    <row r="1497" spans="1:1" x14ac:dyDescent="0.25">
      <c r="A1497" t="s">
        <v>11870</v>
      </c>
    </row>
    <row r="1498" spans="1:1" x14ac:dyDescent="0.25">
      <c r="A1498" t="s">
        <v>11871</v>
      </c>
    </row>
    <row r="1499" spans="1:1" x14ac:dyDescent="0.25">
      <c r="A1499" t="s">
        <v>8745</v>
      </c>
    </row>
    <row r="1500" spans="1:1" x14ac:dyDescent="0.25">
      <c r="A1500" t="s">
        <v>11872</v>
      </c>
    </row>
    <row r="1501" spans="1:1" x14ac:dyDescent="0.25">
      <c r="A1501" t="s">
        <v>11873</v>
      </c>
    </row>
    <row r="1502" spans="1:1" x14ac:dyDescent="0.25">
      <c r="A1502" t="s">
        <v>11874</v>
      </c>
    </row>
    <row r="1503" spans="1:1" x14ac:dyDescent="0.25">
      <c r="A1503" t="s">
        <v>11875</v>
      </c>
    </row>
    <row r="1504" spans="1:1" x14ac:dyDescent="0.25">
      <c r="A1504" t="s">
        <v>11876</v>
      </c>
    </row>
    <row r="1505" spans="1:1" x14ac:dyDescent="0.25">
      <c r="A1505" t="s">
        <v>11877</v>
      </c>
    </row>
    <row r="1506" spans="1:1" x14ac:dyDescent="0.25">
      <c r="A1506" t="s">
        <v>11878</v>
      </c>
    </row>
    <row r="1507" spans="1:1" x14ac:dyDescent="0.25">
      <c r="A1507" t="s">
        <v>11879</v>
      </c>
    </row>
    <row r="1508" spans="1:1" x14ac:dyDescent="0.25">
      <c r="A1508" t="s">
        <v>11880</v>
      </c>
    </row>
    <row r="1509" spans="1:1" x14ac:dyDescent="0.25">
      <c r="A1509" t="s">
        <v>11881</v>
      </c>
    </row>
    <row r="1510" spans="1:1" x14ac:dyDescent="0.25">
      <c r="A1510" t="s">
        <v>11882</v>
      </c>
    </row>
    <row r="1511" spans="1:1" x14ac:dyDescent="0.25">
      <c r="A1511" t="s">
        <v>11883</v>
      </c>
    </row>
    <row r="1512" spans="1:1" x14ac:dyDescent="0.25">
      <c r="A1512" t="s">
        <v>11884</v>
      </c>
    </row>
    <row r="1513" spans="1:1" x14ac:dyDescent="0.25">
      <c r="A1513" t="s">
        <v>11885</v>
      </c>
    </row>
    <row r="1514" spans="1:1" x14ac:dyDescent="0.25">
      <c r="A1514" t="s">
        <v>11886</v>
      </c>
    </row>
    <row r="1515" spans="1:1" x14ac:dyDescent="0.25">
      <c r="A1515" t="s">
        <v>11887</v>
      </c>
    </row>
    <row r="1516" spans="1:1" x14ac:dyDescent="0.25">
      <c r="A1516" t="s">
        <v>11888</v>
      </c>
    </row>
    <row r="1517" spans="1:1" x14ac:dyDescent="0.25">
      <c r="A1517" t="s">
        <v>11889</v>
      </c>
    </row>
    <row r="1518" spans="1:1" x14ac:dyDescent="0.25">
      <c r="A1518" t="s">
        <v>11890</v>
      </c>
    </row>
    <row r="1519" spans="1:1" x14ac:dyDescent="0.25">
      <c r="A1519" t="s">
        <v>11891</v>
      </c>
    </row>
    <row r="1520" spans="1:1" x14ac:dyDescent="0.25">
      <c r="A1520" t="s">
        <v>11892</v>
      </c>
    </row>
    <row r="1521" spans="1:1" x14ac:dyDescent="0.25">
      <c r="A1521" t="s">
        <v>11893</v>
      </c>
    </row>
    <row r="1522" spans="1:1" x14ac:dyDescent="0.25">
      <c r="A1522" t="s">
        <v>11894</v>
      </c>
    </row>
    <row r="1523" spans="1:1" x14ac:dyDescent="0.25">
      <c r="A1523" t="s">
        <v>8746</v>
      </c>
    </row>
    <row r="1524" spans="1:1" x14ac:dyDescent="0.25">
      <c r="A1524" t="s">
        <v>11895</v>
      </c>
    </row>
    <row r="1525" spans="1:1" x14ac:dyDescent="0.25">
      <c r="A1525" t="s">
        <v>11896</v>
      </c>
    </row>
    <row r="1526" spans="1:1" x14ac:dyDescent="0.25">
      <c r="A1526" t="s">
        <v>11897</v>
      </c>
    </row>
    <row r="1527" spans="1:1" x14ac:dyDescent="0.25">
      <c r="A1527" t="s">
        <v>11898</v>
      </c>
    </row>
    <row r="1528" spans="1:1" x14ac:dyDescent="0.25">
      <c r="A1528" t="s">
        <v>11899</v>
      </c>
    </row>
    <row r="1529" spans="1:1" x14ac:dyDescent="0.25">
      <c r="A1529" t="s">
        <v>11900</v>
      </c>
    </row>
    <row r="1530" spans="1:1" x14ac:dyDescent="0.25">
      <c r="A1530" t="s">
        <v>11901</v>
      </c>
    </row>
    <row r="1531" spans="1:1" x14ac:dyDescent="0.25">
      <c r="A1531" t="s">
        <v>11902</v>
      </c>
    </row>
    <row r="1532" spans="1:1" x14ac:dyDescent="0.25">
      <c r="A1532" t="s">
        <v>11903</v>
      </c>
    </row>
    <row r="1533" spans="1:1" x14ac:dyDescent="0.25">
      <c r="A1533" t="s">
        <v>11904</v>
      </c>
    </row>
    <row r="1534" spans="1:1" x14ac:dyDescent="0.25">
      <c r="A1534" t="s">
        <v>11905</v>
      </c>
    </row>
    <row r="1535" spans="1:1" x14ac:dyDescent="0.25">
      <c r="A1535" t="s">
        <v>11906</v>
      </c>
    </row>
    <row r="1536" spans="1:1" x14ac:dyDescent="0.25">
      <c r="A1536" t="s">
        <v>11907</v>
      </c>
    </row>
    <row r="1537" spans="1:1" x14ac:dyDescent="0.25">
      <c r="A1537" t="s">
        <v>8484</v>
      </c>
    </row>
    <row r="1538" spans="1:1" x14ac:dyDescent="0.25">
      <c r="A1538" t="s">
        <v>11908</v>
      </c>
    </row>
    <row r="1539" spans="1:1" x14ac:dyDescent="0.25">
      <c r="A1539" t="s">
        <v>9961</v>
      </c>
    </row>
    <row r="1540" spans="1:1" x14ac:dyDescent="0.25">
      <c r="A1540" t="s">
        <v>11909</v>
      </c>
    </row>
    <row r="1541" spans="1:1" x14ac:dyDescent="0.25">
      <c r="A1541" t="s">
        <v>8801</v>
      </c>
    </row>
    <row r="1542" spans="1:1" x14ac:dyDescent="0.25">
      <c r="A1542" t="s">
        <v>11910</v>
      </c>
    </row>
    <row r="1543" spans="1:1" x14ac:dyDescent="0.25">
      <c r="A1543" t="s">
        <v>11911</v>
      </c>
    </row>
    <row r="1544" spans="1:1" x14ac:dyDescent="0.25">
      <c r="A1544" t="s">
        <v>11912</v>
      </c>
    </row>
    <row r="1545" spans="1:1" x14ac:dyDescent="0.25">
      <c r="A1545" t="s">
        <v>11913</v>
      </c>
    </row>
    <row r="1546" spans="1:1" x14ac:dyDescent="0.25">
      <c r="A1546" t="s">
        <v>11914</v>
      </c>
    </row>
    <row r="1547" spans="1:1" x14ac:dyDescent="0.25">
      <c r="A1547" t="s">
        <v>11915</v>
      </c>
    </row>
    <row r="1548" spans="1:1" x14ac:dyDescent="0.25">
      <c r="A1548" t="s">
        <v>8802</v>
      </c>
    </row>
    <row r="1549" spans="1:1" x14ac:dyDescent="0.25">
      <c r="A1549" t="s">
        <v>11916</v>
      </c>
    </row>
    <row r="1550" spans="1:1" x14ac:dyDescent="0.25">
      <c r="A1550" t="s">
        <v>11917</v>
      </c>
    </row>
    <row r="1551" spans="1:1" x14ac:dyDescent="0.25">
      <c r="A1551" t="s">
        <v>11918</v>
      </c>
    </row>
    <row r="1552" spans="1:1" x14ac:dyDescent="0.25">
      <c r="A1552" t="s">
        <v>11919</v>
      </c>
    </row>
    <row r="1553" spans="1:1" x14ac:dyDescent="0.25">
      <c r="A1553" t="s">
        <v>11920</v>
      </c>
    </row>
    <row r="1554" spans="1:1" x14ac:dyDescent="0.25">
      <c r="A1554" t="s">
        <v>11921</v>
      </c>
    </row>
    <row r="1555" spans="1:1" x14ac:dyDescent="0.25">
      <c r="A1555" t="s">
        <v>11922</v>
      </c>
    </row>
    <row r="1556" spans="1:1" x14ac:dyDescent="0.25">
      <c r="A1556" t="s">
        <v>11923</v>
      </c>
    </row>
    <row r="1557" spans="1:1" x14ac:dyDescent="0.25">
      <c r="A1557" t="s">
        <v>11924</v>
      </c>
    </row>
    <row r="1558" spans="1:1" x14ac:dyDescent="0.25">
      <c r="A1558" t="s">
        <v>11925</v>
      </c>
    </row>
    <row r="1559" spans="1:1" x14ac:dyDescent="0.25">
      <c r="A1559" t="s">
        <v>11926</v>
      </c>
    </row>
    <row r="1560" spans="1:1" x14ac:dyDescent="0.25">
      <c r="A1560" t="s">
        <v>11927</v>
      </c>
    </row>
    <row r="1561" spans="1:1" x14ac:dyDescent="0.25">
      <c r="A1561" t="s">
        <v>11928</v>
      </c>
    </row>
    <row r="1562" spans="1:1" x14ac:dyDescent="0.25">
      <c r="A1562" t="s">
        <v>9715</v>
      </c>
    </row>
    <row r="1563" spans="1:1" x14ac:dyDescent="0.25">
      <c r="A1563" t="s">
        <v>11929</v>
      </c>
    </row>
    <row r="1564" spans="1:1" x14ac:dyDescent="0.25">
      <c r="A1564" t="s">
        <v>11930</v>
      </c>
    </row>
    <row r="1565" spans="1:1" x14ac:dyDescent="0.25">
      <c r="A1565" t="s">
        <v>11931</v>
      </c>
    </row>
    <row r="1566" spans="1:1" x14ac:dyDescent="0.25">
      <c r="A1566" t="s">
        <v>9965</v>
      </c>
    </row>
    <row r="1567" spans="1:1" x14ac:dyDescent="0.25">
      <c r="A1567" t="s">
        <v>11932</v>
      </c>
    </row>
    <row r="1568" spans="1:1" x14ac:dyDescent="0.25">
      <c r="A1568" t="s">
        <v>11933</v>
      </c>
    </row>
    <row r="1569" spans="1:1" x14ac:dyDescent="0.25">
      <c r="A1569" t="s">
        <v>11934</v>
      </c>
    </row>
    <row r="1570" spans="1:1" x14ac:dyDescent="0.25">
      <c r="A1570" t="s">
        <v>11935</v>
      </c>
    </row>
    <row r="1571" spans="1:1" x14ac:dyDescent="0.25">
      <c r="A1571" t="s">
        <v>11936</v>
      </c>
    </row>
    <row r="1572" spans="1:1" x14ac:dyDescent="0.25">
      <c r="A1572" t="s">
        <v>11937</v>
      </c>
    </row>
    <row r="1573" spans="1:1" x14ac:dyDescent="0.25">
      <c r="A1573" t="s">
        <v>9716</v>
      </c>
    </row>
    <row r="1574" spans="1:1" x14ac:dyDescent="0.25">
      <c r="A1574" t="s">
        <v>9966</v>
      </c>
    </row>
    <row r="1575" spans="1:1" x14ac:dyDescent="0.25">
      <c r="A1575" t="s">
        <v>11938</v>
      </c>
    </row>
    <row r="1576" spans="1:1" x14ac:dyDescent="0.25">
      <c r="A1576" t="s">
        <v>8489</v>
      </c>
    </row>
    <row r="1577" spans="1:1" x14ac:dyDescent="0.25">
      <c r="A1577" t="s">
        <v>11939</v>
      </c>
    </row>
    <row r="1578" spans="1:1" x14ac:dyDescent="0.25">
      <c r="A1578" t="s">
        <v>11940</v>
      </c>
    </row>
    <row r="1579" spans="1:1" x14ac:dyDescent="0.25">
      <c r="A1579" t="s">
        <v>11941</v>
      </c>
    </row>
    <row r="1580" spans="1:1" x14ac:dyDescent="0.25">
      <c r="A1580" t="s">
        <v>11942</v>
      </c>
    </row>
    <row r="1581" spans="1:1" x14ac:dyDescent="0.25">
      <c r="A1581" t="s">
        <v>9717</v>
      </c>
    </row>
    <row r="1582" spans="1:1" x14ac:dyDescent="0.25">
      <c r="A1582" t="s">
        <v>9967</v>
      </c>
    </row>
    <row r="1583" spans="1:1" x14ac:dyDescent="0.25">
      <c r="A1583" t="s">
        <v>11943</v>
      </c>
    </row>
    <row r="1584" spans="1:1" x14ac:dyDescent="0.25">
      <c r="A1584" t="s">
        <v>11944</v>
      </c>
    </row>
    <row r="1585" spans="1:1" x14ac:dyDescent="0.25">
      <c r="A1585" t="s">
        <v>11945</v>
      </c>
    </row>
    <row r="1586" spans="1:1" x14ac:dyDescent="0.25">
      <c r="A1586" t="s">
        <v>11946</v>
      </c>
    </row>
    <row r="1587" spans="1:1" x14ac:dyDescent="0.25">
      <c r="A1587" t="s">
        <v>9718</v>
      </c>
    </row>
    <row r="1588" spans="1:1" x14ac:dyDescent="0.25">
      <c r="A1588" t="s">
        <v>11947</v>
      </c>
    </row>
    <row r="1589" spans="1:1" x14ac:dyDescent="0.25">
      <c r="A1589" t="s">
        <v>11948</v>
      </c>
    </row>
    <row r="1590" spans="1:1" x14ac:dyDescent="0.25">
      <c r="A1590" t="s">
        <v>11949</v>
      </c>
    </row>
    <row r="1591" spans="1:1" x14ac:dyDescent="0.25">
      <c r="A1591" t="s">
        <v>11950</v>
      </c>
    </row>
    <row r="1592" spans="1:1" x14ac:dyDescent="0.25">
      <c r="A1592" t="s">
        <v>11951</v>
      </c>
    </row>
    <row r="1593" spans="1:1" x14ac:dyDescent="0.25">
      <c r="A1593" t="s">
        <v>11952</v>
      </c>
    </row>
    <row r="1594" spans="1:1" x14ac:dyDescent="0.25">
      <c r="A1594" t="s">
        <v>7794</v>
      </c>
    </row>
    <row r="1595" spans="1:1" x14ac:dyDescent="0.25">
      <c r="A1595" t="s">
        <v>11953</v>
      </c>
    </row>
    <row r="1596" spans="1:1" x14ac:dyDescent="0.25">
      <c r="A1596" t="s">
        <v>11954</v>
      </c>
    </row>
    <row r="1597" spans="1:1" x14ac:dyDescent="0.25">
      <c r="A1597" t="s">
        <v>11955</v>
      </c>
    </row>
    <row r="1598" spans="1:1" x14ac:dyDescent="0.25">
      <c r="A1598" t="s">
        <v>8494</v>
      </c>
    </row>
    <row r="1599" spans="1:1" x14ac:dyDescent="0.25">
      <c r="A1599" t="s">
        <v>7795</v>
      </c>
    </row>
    <row r="1600" spans="1:1" x14ac:dyDescent="0.25">
      <c r="A1600" t="s">
        <v>11956</v>
      </c>
    </row>
    <row r="1601" spans="1:1" x14ac:dyDescent="0.25">
      <c r="A1601" t="s">
        <v>11957</v>
      </c>
    </row>
    <row r="1602" spans="1:1" x14ac:dyDescent="0.25">
      <c r="A1602" t="s">
        <v>11958</v>
      </c>
    </row>
    <row r="1603" spans="1:1" x14ac:dyDescent="0.25">
      <c r="A1603" t="s">
        <v>11959</v>
      </c>
    </row>
    <row r="1604" spans="1:1" x14ac:dyDescent="0.25">
      <c r="A1604" t="s">
        <v>11960</v>
      </c>
    </row>
    <row r="1605" spans="1:1" x14ac:dyDescent="0.25">
      <c r="A1605" t="s">
        <v>11961</v>
      </c>
    </row>
    <row r="1606" spans="1:1" x14ac:dyDescent="0.25">
      <c r="A1606" t="s">
        <v>11962</v>
      </c>
    </row>
    <row r="1607" spans="1:1" x14ac:dyDescent="0.25">
      <c r="A1607" t="s">
        <v>11963</v>
      </c>
    </row>
    <row r="1608" spans="1:1" x14ac:dyDescent="0.25">
      <c r="A1608" t="s">
        <v>11964</v>
      </c>
    </row>
    <row r="1609" spans="1:1" x14ac:dyDescent="0.25">
      <c r="A1609" t="s">
        <v>11965</v>
      </c>
    </row>
    <row r="1610" spans="1:1" x14ac:dyDescent="0.25">
      <c r="A1610" t="s">
        <v>11966</v>
      </c>
    </row>
    <row r="1611" spans="1:1" x14ac:dyDescent="0.25">
      <c r="A1611" t="s">
        <v>9719</v>
      </c>
    </row>
    <row r="1612" spans="1:1" x14ac:dyDescent="0.25">
      <c r="A1612" t="s">
        <v>11967</v>
      </c>
    </row>
    <row r="1613" spans="1:1" x14ac:dyDescent="0.25">
      <c r="A1613" t="s">
        <v>11968</v>
      </c>
    </row>
    <row r="1614" spans="1:1" x14ac:dyDescent="0.25">
      <c r="A1614" t="s">
        <v>11969</v>
      </c>
    </row>
    <row r="1615" spans="1:1" x14ac:dyDescent="0.25">
      <c r="A1615" t="s">
        <v>11970</v>
      </c>
    </row>
    <row r="1616" spans="1:1" x14ac:dyDescent="0.25">
      <c r="A1616" t="s">
        <v>8804</v>
      </c>
    </row>
    <row r="1617" spans="1:1" x14ac:dyDescent="0.25">
      <c r="A1617" t="s">
        <v>11971</v>
      </c>
    </row>
    <row r="1618" spans="1:1" x14ac:dyDescent="0.25">
      <c r="A1618" t="s">
        <v>11972</v>
      </c>
    </row>
    <row r="1619" spans="1:1" x14ac:dyDescent="0.25">
      <c r="A1619" t="s">
        <v>11973</v>
      </c>
    </row>
    <row r="1620" spans="1:1" x14ac:dyDescent="0.25">
      <c r="A1620" t="s">
        <v>11974</v>
      </c>
    </row>
    <row r="1621" spans="1:1" x14ac:dyDescent="0.25">
      <c r="A1621" t="s">
        <v>7802</v>
      </c>
    </row>
    <row r="1622" spans="1:1" x14ac:dyDescent="0.25">
      <c r="A1622" t="s">
        <v>11975</v>
      </c>
    </row>
    <row r="1623" spans="1:1" x14ac:dyDescent="0.25">
      <c r="A1623" t="s">
        <v>11976</v>
      </c>
    </row>
    <row r="1624" spans="1:1" x14ac:dyDescent="0.25">
      <c r="A1624" t="s">
        <v>11977</v>
      </c>
    </row>
    <row r="1625" spans="1:1" x14ac:dyDescent="0.25">
      <c r="A1625" t="s">
        <v>11978</v>
      </c>
    </row>
    <row r="1626" spans="1:1" x14ac:dyDescent="0.25">
      <c r="A1626" t="s">
        <v>11979</v>
      </c>
    </row>
    <row r="1627" spans="1:1" x14ac:dyDescent="0.25">
      <c r="A1627" t="s">
        <v>11980</v>
      </c>
    </row>
    <row r="1628" spans="1:1" x14ac:dyDescent="0.25">
      <c r="A1628" t="s">
        <v>11981</v>
      </c>
    </row>
    <row r="1629" spans="1:1" x14ac:dyDescent="0.25">
      <c r="A1629" t="s">
        <v>11982</v>
      </c>
    </row>
    <row r="1630" spans="1:1" x14ac:dyDescent="0.25">
      <c r="A1630" t="s">
        <v>11983</v>
      </c>
    </row>
    <row r="1631" spans="1:1" x14ac:dyDescent="0.25">
      <c r="A1631" t="s">
        <v>11984</v>
      </c>
    </row>
    <row r="1632" spans="1:1" x14ac:dyDescent="0.25">
      <c r="A1632" t="s">
        <v>11985</v>
      </c>
    </row>
    <row r="1633" spans="1:1" x14ac:dyDescent="0.25">
      <c r="A1633" t="s">
        <v>11986</v>
      </c>
    </row>
    <row r="1634" spans="1:1" x14ac:dyDescent="0.25">
      <c r="A1634" t="s">
        <v>11987</v>
      </c>
    </row>
    <row r="1635" spans="1:1" x14ac:dyDescent="0.25">
      <c r="A1635" t="s">
        <v>7804</v>
      </c>
    </row>
    <row r="1636" spans="1:1" x14ac:dyDescent="0.25">
      <c r="A1636" t="s">
        <v>11988</v>
      </c>
    </row>
    <row r="1637" spans="1:1" x14ac:dyDescent="0.25">
      <c r="A1637" t="s">
        <v>11989</v>
      </c>
    </row>
    <row r="1638" spans="1:1" x14ac:dyDescent="0.25">
      <c r="A1638" t="s">
        <v>11990</v>
      </c>
    </row>
    <row r="1639" spans="1:1" x14ac:dyDescent="0.25">
      <c r="A1639" t="s">
        <v>11991</v>
      </c>
    </row>
    <row r="1640" spans="1:1" x14ac:dyDescent="0.25">
      <c r="A1640" t="s">
        <v>8806</v>
      </c>
    </row>
    <row r="1641" spans="1:1" x14ac:dyDescent="0.25">
      <c r="A1641" t="s">
        <v>11992</v>
      </c>
    </row>
    <row r="1642" spans="1:1" x14ac:dyDescent="0.25">
      <c r="A1642" t="s">
        <v>8502</v>
      </c>
    </row>
    <row r="1643" spans="1:1" x14ac:dyDescent="0.25">
      <c r="A1643" t="s">
        <v>11993</v>
      </c>
    </row>
    <row r="1644" spans="1:1" x14ac:dyDescent="0.25">
      <c r="A1644" t="s">
        <v>11994</v>
      </c>
    </row>
    <row r="1645" spans="1:1" x14ac:dyDescent="0.25">
      <c r="A1645" t="s">
        <v>8503</v>
      </c>
    </row>
    <row r="1646" spans="1:1" x14ac:dyDescent="0.25">
      <c r="A1646" t="s">
        <v>11995</v>
      </c>
    </row>
    <row r="1647" spans="1:1" x14ac:dyDescent="0.25">
      <c r="A1647" t="s">
        <v>11996</v>
      </c>
    </row>
    <row r="1648" spans="1:1" x14ac:dyDescent="0.25">
      <c r="A1648" t="s">
        <v>11997</v>
      </c>
    </row>
    <row r="1649" spans="1:1" x14ac:dyDescent="0.25">
      <c r="A1649" t="s">
        <v>11998</v>
      </c>
    </row>
    <row r="1650" spans="1:1" x14ac:dyDescent="0.25">
      <c r="A1650" t="s">
        <v>11999</v>
      </c>
    </row>
    <row r="1651" spans="1:1" x14ac:dyDescent="0.25">
      <c r="A1651" t="s">
        <v>12000</v>
      </c>
    </row>
    <row r="1652" spans="1:1" x14ac:dyDescent="0.25">
      <c r="A1652" t="s">
        <v>12001</v>
      </c>
    </row>
    <row r="1653" spans="1:1" x14ac:dyDescent="0.25">
      <c r="A1653" t="s">
        <v>12002</v>
      </c>
    </row>
    <row r="1654" spans="1:1" x14ac:dyDescent="0.25">
      <c r="A1654" t="s">
        <v>12003</v>
      </c>
    </row>
    <row r="1655" spans="1:1" x14ac:dyDescent="0.25">
      <c r="A1655" t="s">
        <v>12004</v>
      </c>
    </row>
    <row r="1656" spans="1:1" x14ac:dyDescent="0.25">
      <c r="A1656" t="s">
        <v>12005</v>
      </c>
    </row>
    <row r="1657" spans="1:1" x14ac:dyDescent="0.25">
      <c r="A1657" t="s">
        <v>12006</v>
      </c>
    </row>
    <row r="1658" spans="1:1" x14ac:dyDescent="0.25">
      <c r="A1658" t="s">
        <v>9721</v>
      </c>
    </row>
    <row r="1659" spans="1:1" x14ac:dyDescent="0.25">
      <c r="A1659" t="s">
        <v>8747</v>
      </c>
    </row>
    <row r="1660" spans="1:1" x14ac:dyDescent="0.25">
      <c r="A1660" t="s">
        <v>8506</v>
      </c>
    </row>
    <row r="1661" spans="1:1" x14ac:dyDescent="0.25">
      <c r="A1661" t="s">
        <v>12007</v>
      </c>
    </row>
    <row r="1662" spans="1:1" x14ac:dyDescent="0.25">
      <c r="A1662" t="s">
        <v>12008</v>
      </c>
    </row>
    <row r="1663" spans="1:1" x14ac:dyDescent="0.25">
      <c r="A1663" t="s">
        <v>12009</v>
      </c>
    </row>
    <row r="1664" spans="1:1" x14ac:dyDescent="0.25">
      <c r="A1664" t="s">
        <v>12010</v>
      </c>
    </row>
    <row r="1665" spans="1:1" x14ac:dyDescent="0.25">
      <c r="A1665" t="s">
        <v>12011</v>
      </c>
    </row>
    <row r="1666" spans="1:1" x14ac:dyDescent="0.25">
      <c r="A1666" t="s">
        <v>12012</v>
      </c>
    </row>
    <row r="1667" spans="1:1" x14ac:dyDescent="0.25">
      <c r="A1667" t="s">
        <v>12013</v>
      </c>
    </row>
    <row r="1668" spans="1:1" x14ac:dyDescent="0.25">
      <c r="A1668" t="s">
        <v>12014</v>
      </c>
    </row>
    <row r="1669" spans="1:1" x14ac:dyDescent="0.25">
      <c r="A1669" t="s">
        <v>12015</v>
      </c>
    </row>
    <row r="1670" spans="1:1" x14ac:dyDescent="0.25">
      <c r="A1670" t="s">
        <v>12016</v>
      </c>
    </row>
    <row r="1671" spans="1:1" x14ac:dyDescent="0.25">
      <c r="A1671" t="s">
        <v>12017</v>
      </c>
    </row>
    <row r="1672" spans="1:1" x14ac:dyDescent="0.25">
      <c r="A1672" t="s">
        <v>12018</v>
      </c>
    </row>
    <row r="1673" spans="1:1" x14ac:dyDescent="0.25">
      <c r="A1673" t="s">
        <v>12019</v>
      </c>
    </row>
    <row r="1674" spans="1:1" x14ac:dyDescent="0.25">
      <c r="A1674" t="s">
        <v>12020</v>
      </c>
    </row>
    <row r="1675" spans="1:1" x14ac:dyDescent="0.25">
      <c r="A1675" t="s">
        <v>12021</v>
      </c>
    </row>
    <row r="1676" spans="1:1" x14ac:dyDescent="0.25">
      <c r="A1676" t="s">
        <v>12022</v>
      </c>
    </row>
    <row r="1677" spans="1:1" x14ac:dyDescent="0.25">
      <c r="A1677" t="s">
        <v>12023</v>
      </c>
    </row>
    <row r="1678" spans="1:1" x14ac:dyDescent="0.25">
      <c r="A1678" t="s">
        <v>8807</v>
      </c>
    </row>
    <row r="1679" spans="1:1" x14ac:dyDescent="0.25">
      <c r="A1679" t="s">
        <v>12024</v>
      </c>
    </row>
    <row r="1680" spans="1:1" x14ac:dyDescent="0.25">
      <c r="A1680" t="s">
        <v>12025</v>
      </c>
    </row>
    <row r="1681" spans="1:1" x14ac:dyDescent="0.25">
      <c r="A1681" t="s">
        <v>12026</v>
      </c>
    </row>
    <row r="1682" spans="1:1" x14ac:dyDescent="0.25">
      <c r="A1682" t="s">
        <v>12027</v>
      </c>
    </row>
    <row r="1683" spans="1:1" x14ac:dyDescent="0.25">
      <c r="A1683" t="s">
        <v>12028</v>
      </c>
    </row>
    <row r="1684" spans="1:1" x14ac:dyDescent="0.25">
      <c r="A1684" t="s">
        <v>8511</v>
      </c>
    </row>
    <row r="1685" spans="1:1" x14ac:dyDescent="0.25">
      <c r="A1685" t="s">
        <v>12029</v>
      </c>
    </row>
    <row r="1686" spans="1:1" x14ac:dyDescent="0.25">
      <c r="A1686" t="s">
        <v>12030</v>
      </c>
    </row>
    <row r="1687" spans="1:1" x14ac:dyDescent="0.25">
      <c r="A1687" t="s">
        <v>9722</v>
      </c>
    </row>
    <row r="1688" spans="1:1" x14ac:dyDescent="0.25">
      <c r="A1688" t="s">
        <v>12031</v>
      </c>
    </row>
    <row r="1689" spans="1:1" x14ac:dyDescent="0.25">
      <c r="A1689" t="s">
        <v>8808</v>
      </c>
    </row>
    <row r="1690" spans="1:1" x14ac:dyDescent="0.25">
      <c r="A1690" t="s">
        <v>9723</v>
      </c>
    </row>
    <row r="1691" spans="1:1" x14ac:dyDescent="0.25">
      <c r="A1691" t="s">
        <v>12032</v>
      </c>
    </row>
    <row r="1692" spans="1:1" x14ac:dyDescent="0.25">
      <c r="A1692" t="s">
        <v>12033</v>
      </c>
    </row>
    <row r="1693" spans="1:1" x14ac:dyDescent="0.25">
      <c r="A1693" t="s">
        <v>12034</v>
      </c>
    </row>
    <row r="1694" spans="1:1" x14ac:dyDescent="0.25">
      <c r="A1694" t="s">
        <v>12035</v>
      </c>
    </row>
    <row r="1695" spans="1:1" x14ac:dyDescent="0.25">
      <c r="A1695" t="s">
        <v>12036</v>
      </c>
    </row>
    <row r="1696" spans="1:1" x14ac:dyDescent="0.25">
      <c r="A1696" t="s">
        <v>12037</v>
      </c>
    </row>
    <row r="1697" spans="1:1" x14ac:dyDescent="0.25">
      <c r="A1697" t="s">
        <v>9975</v>
      </c>
    </row>
    <row r="1698" spans="1:1" x14ac:dyDescent="0.25">
      <c r="A1698" t="s">
        <v>12038</v>
      </c>
    </row>
    <row r="1699" spans="1:1" x14ac:dyDescent="0.25">
      <c r="A1699" t="s">
        <v>12039</v>
      </c>
    </row>
    <row r="1700" spans="1:1" x14ac:dyDescent="0.25">
      <c r="A1700" t="s">
        <v>9724</v>
      </c>
    </row>
    <row r="1701" spans="1:1" x14ac:dyDescent="0.25">
      <c r="A1701" t="s">
        <v>12040</v>
      </c>
    </row>
    <row r="1702" spans="1:1" x14ac:dyDescent="0.25">
      <c r="A1702" t="s">
        <v>12041</v>
      </c>
    </row>
    <row r="1703" spans="1:1" x14ac:dyDescent="0.25">
      <c r="A1703" t="s">
        <v>12042</v>
      </c>
    </row>
    <row r="1704" spans="1:1" x14ac:dyDescent="0.25">
      <c r="A1704" t="s">
        <v>9392</v>
      </c>
    </row>
    <row r="1705" spans="1:1" x14ac:dyDescent="0.25">
      <c r="A1705" t="s">
        <v>12043</v>
      </c>
    </row>
    <row r="1706" spans="1:1" x14ac:dyDescent="0.25">
      <c r="A1706" t="s">
        <v>7826</v>
      </c>
    </row>
    <row r="1707" spans="1:1" x14ac:dyDescent="0.25">
      <c r="A1707" t="s">
        <v>8514</v>
      </c>
    </row>
    <row r="1708" spans="1:1" x14ac:dyDescent="0.25">
      <c r="A1708" t="s">
        <v>12044</v>
      </c>
    </row>
    <row r="1709" spans="1:1" x14ac:dyDescent="0.25">
      <c r="A1709" t="s">
        <v>12045</v>
      </c>
    </row>
    <row r="1710" spans="1:1" x14ac:dyDescent="0.25">
      <c r="A1710" t="s">
        <v>12046</v>
      </c>
    </row>
    <row r="1711" spans="1:1" x14ac:dyDescent="0.25">
      <c r="A1711" t="s">
        <v>8515</v>
      </c>
    </row>
    <row r="1712" spans="1:1" x14ac:dyDescent="0.25">
      <c r="A1712" t="s">
        <v>12047</v>
      </c>
    </row>
    <row r="1713" spans="1:1" x14ac:dyDescent="0.25">
      <c r="A1713" t="s">
        <v>12048</v>
      </c>
    </row>
    <row r="1714" spans="1:1" x14ac:dyDescent="0.25">
      <c r="A1714" t="s">
        <v>12049</v>
      </c>
    </row>
    <row r="1715" spans="1:1" x14ac:dyDescent="0.25">
      <c r="A1715" t="s">
        <v>12050</v>
      </c>
    </row>
    <row r="1716" spans="1:1" x14ac:dyDescent="0.25">
      <c r="A1716" t="s">
        <v>12051</v>
      </c>
    </row>
    <row r="1717" spans="1:1" x14ac:dyDescent="0.25">
      <c r="A1717" t="s">
        <v>12052</v>
      </c>
    </row>
    <row r="1718" spans="1:1" x14ac:dyDescent="0.25">
      <c r="A1718" t="s">
        <v>12053</v>
      </c>
    </row>
    <row r="1719" spans="1:1" x14ac:dyDescent="0.25">
      <c r="A1719" t="s">
        <v>12054</v>
      </c>
    </row>
    <row r="1720" spans="1:1" x14ac:dyDescent="0.25">
      <c r="A1720" t="s">
        <v>12055</v>
      </c>
    </row>
    <row r="1721" spans="1:1" x14ac:dyDescent="0.25">
      <c r="A1721" t="s">
        <v>12056</v>
      </c>
    </row>
    <row r="1722" spans="1:1" x14ac:dyDescent="0.25">
      <c r="A1722" t="s">
        <v>12057</v>
      </c>
    </row>
    <row r="1723" spans="1:1" x14ac:dyDescent="0.25">
      <c r="A1723" t="s">
        <v>12058</v>
      </c>
    </row>
    <row r="1724" spans="1:1" x14ac:dyDescent="0.25">
      <c r="A1724" t="s">
        <v>12059</v>
      </c>
    </row>
    <row r="1725" spans="1:1" x14ac:dyDescent="0.25">
      <c r="A1725" t="s">
        <v>12060</v>
      </c>
    </row>
    <row r="1726" spans="1:1" x14ac:dyDescent="0.25">
      <c r="A1726" t="s">
        <v>9727</v>
      </c>
    </row>
    <row r="1727" spans="1:1" x14ac:dyDescent="0.25">
      <c r="A1727" t="s">
        <v>12061</v>
      </c>
    </row>
    <row r="1728" spans="1:1" x14ac:dyDescent="0.25">
      <c r="A1728" t="s">
        <v>8521</v>
      </c>
    </row>
    <row r="1729" spans="1:1" x14ac:dyDescent="0.25">
      <c r="A1729" t="s">
        <v>12062</v>
      </c>
    </row>
    <row r="1730" spans="1:1" x14ac:dyDescent="0.25">
      <c r="A1730" t="s">
        <v>12063</v>
      </c>
    </row>
    <row r="1731" spans="1:1" x14ac:dyDescent="0.25">
      <c r="A1731" t="s">
        <v>12064</v>
      </c>
    </row>
    <row r="1732" spans="1:1" x14ac:dyDescent="0.25">
      <c r="A1732" t="s">
        <v>12065</v>
      </c>
    </row>
    <row r="1733" spans="1:1" x14ac:dyDescent="0.25">
      <c r="A1733" t="s">
        <v>8522</v>
      </c>
    </row>
    <row r="1734" spans="1:1" x14ac:dyDescent="0.25">
      <c r="A1734" t="s">
        <v>12066</v>
      </c>
    </row>
    <row r="1735" spans="1:1" x14ac:dyDescent="0.25">
      <c r="A1735" t="s">
        <v>7834</v>
      </c>
    </row>
    <row r="1736" spans="1:1" x14ac:dyDescent="0.25">
      <c r="A1736" t="s">
        <v>12067</v>
      </c>
    </row>
    <row r="1737" spans="1:1" x14ac:dyDescent="0.25">
      <c r="A1737" t="s">
        <v>10794</v>
      </c>
    </row>
    <row r="1738" spans="1:1" x14ac:dyDescent="0.25">
      <c r="A1738" t="s">
        <v>12068</v>
      </c>
    </row>
    <row r="1739" spans="1:1" x14ac:dyDescent="0.25">
      <c r="A1739" t="s">
        <v>12069</v>
      </c>
    </row>
    <row r="1740" spans="1:1" x14ac:dyDescent="0.25">
      <c r="A1740" t="s">
        <v>12070</v>
      </c>
    </row>
    <row r="1741" spans="1:1" x14ac:dyDescent="0.25">
      <c r="A1741" t="s">
        <v>12071</v>
      </c>
    </row>
    <row r="1742" spans="1:1" x14ac:dyDescent="0.25">
      <c r="A1742" t="s">
        <v>12072</v>
      </c>
    </row>
    <row r="1743" spans="1:1" x14ac:dyDescent="0.25">
      <c r="A1743" t="s">
        <v>12073</v>
      </c>
    </row>
    <row r="1744" spans="1:1" x14ac:dyDescent="0.25">
      <c r="A1744" t="s">
        <v>12074</v>
      </c>
    </row>
    <row r="1745" spans="1:1" x14ac:dyDescent="0.25">
      <c r="A1745" t="s">
        <v>7835</v>
      </c>
    </row>
    <row r="1746" spans="1:1" x14ac:dyDescent="0.25">
      <c r="A1746" t="s">
        <v>12075</v>
      </c>
    </row>
    <row r="1747" spans="1:1" x14ac:dyDescent="0.25">
      <c r="A1747" t="s">
        <v>12076</v>
      </c>
    </row>
    <row r="1748" spans="1:1" x14ac:dyDescent="0.25">
      <c r="A1748" t="s">
        <v>12077</v>
      </c>
    </row>
    <row r="1749" spans="1:1" x14ac:dyDescent="0.25">
      <c r="A1749" t="s">
        <v>12078</v>
      </c>
    </row>
    <row r="1750" spans="1:1" x14ac:dyDescent="0.25">
      <c r="A1750" t="s">
        <v>12079</v>
      </c>
    </row>
    <row r="1751" spans="1:1" x14ac:dyDescent="0.25">
      <c r="A1751" t="s">
        <v>9402</v>
      </c>
    </row>
    <row r="1752" spans="1:1" x14ac:dyDescent="0.25">
      <c r="A1752" t="s">
        <v>12080</v>
      </c>
    </row>
    <row r="1753" spans="1:1" x14ac:dyDescent="0.25">
      <c r="A1753" t="s">
        <v>12081</v>
      </c>
    </row>
    <row r="1754" spans="1:1" x14ac:dyDescent="0.25">
      <c r="A1754" t="s">
        <v>12082</v>
      </c>
    </row>
    <row r="1755" spans="1:1" x14ac:dyDescent="0.25">
      <c r="A1755" t="s">
        <v>12083</v>
      </c>
    </row>
    <row r="1756" spans="1:1" x14ac:dyDescent="0.25">
      <c r="A1756" t="s">
        <v>12084</v>
      </c>
    </row>
    <row r="1757" spans="1:1" x14ac:dyDescent="0.25">
      <c r="A1757" t="s">
        <v>12085</v>
      </c>
    </row>
    <row r="1758" spans="1:1" x14ac:dyDescent="0.25">
      <c r="A1758" t="s">
        <v>12086</v>
      </c>
    </row>
    <row r="1759" spans="1:1" x14ac:dyDescent="0.25">
      <c r="A1759" t="s">
        <v>12087</v>
      </c>
    </row>
    <row r="1760" spans="1:1" x14ac:dyDescent="0.25">
      <c r="A1760" t="s">
        <v>12088</v>
      </c>
    </row>
    <row r="1761" spans="1:1" x14ac:dyDescent="0.25">
      <c r="A1761" t="s">
        <v>12089</v>
      </c>
    </row>
    <row r="1762" spans="1:1" x14ac:dyDescent="0.25">
      <c r="A1762" t="s">
        <v>12090</v>
      </c>
    </row>
    <row r="1763" spans="1:1" x14ac:dyDescent="0.25">
      <c r="A1763" t="s">
        <v>12091</v>
      </c>
    </row>
    <row r="1764" spans="1:1" x14ac:dyDescent="0.25">
      <c r="A1764" t="s">
        <v>12092</v>
      </c>
    </row>
    <row r="1765" spans="1:1" x14ac:dyDescent="0.25">
      <c r="A1765" t="s">
        <v>12093</v>
      </c>
    </row>
    <row r="1766" spans="1:1" x14ac:dyDescent="0.25">
      <c r="A1766" t="s">
        <v>12094</v>
      </c>
    </row>
    <row r="1767" spans="1:1" x14ac:dyDescent="0.25">
      <c r="A1767" t="s">
        <v>12095</v>
      </c>
    </row>
    <row r="1768" spans="1:1" x14ac:dyDescent="0.25">
      <c r="A1768" t="s">
        <v>7844</v>
      </c>
    </row>
    <row r="1769" spans="1:1" x14ac:dyDescent="0.25">
      <c r="A1769" t="s">
        <v>12096</v>
      </c>
    </row>
    <row r="1770" spans="1:1" x14ac:dyDescent="0.25">
      <c r="A1770" t="s">
        <v>12097</v>
      </c>
    </row>
    <row r="1771" spans="1:1" x14ac:dyDescent="0.25">
      <c r="A1771" t="s">
        <v>12098</v>
      </c>
    </row>
    <row r="1772" spans="1:1" x14ac:dyDescent="0.25">
      <c r="A1772" t="s">
        <v>12099</v>
      </c>
    </row>
    <row r="1773" spans="1:1" x14ac:dyDescent="0.25">
      <c r="A1773" t="s">
        <v>8810</v>
      </c>
    </row>
    <row r="1774" spans="1:1" x14ac:dyDescent="0.25">
      <c r="A1774" t="s">
        <v>12100</v>
      </c>
    </row>
    <row r="1775" spans="1:1" x14ac:dyDescent="0.25">
      <c r="A1775" t="s">
        <v>12101</v>
      </c>
    </row>
    <row r="1776" spans="1:1" x14ac:dyDescent="0.25">
      <c r="A1776" t="s">
        <v>12102</v>
      </c>
    </row>
    <row r="1777" spans="1:1" x14ac:dyDescent="0.25">
      <c r="A1777" t="s">
        <v>12103</v>
      </c>
    </row>
    <row r="1778" spans="1:1" x14ac:dyDescent="0.25">
      <c r="A1778" t="s">
        <v>12104</v>
      </c>
    </row>
    <row r="1779" spans="1:1" x14ac:dyDescent="0.25">
      <c r="A1779" t="s">
        <v>12105</v>
      </c>
    </row>
    <row r="1780" spans="1:1" x14ac:dyDescent="0.25">
      <c r="A1780" t="s">
        <v>12106</v>
      </c>
    </row>
    <row r="1781" spans="1:1" x14ac:dyDescent="0.25">
      <c r="A1781" t="s">
        <v>12107</v>
      </c>
    </row>
    <row r="1782" spans="1:1" x14ac:dyDescent="0.25">
      <c r="A1782" t="s">
        <v>12108</v>
      </c>
    </row>
    <row r="1783" spans="1:1" x14ac:dyDescent="0.25">
      <c r="A1783" t="s">
        <v>12109</v>
      </c>
    </row>
    <row r="1784" spans="1:1" x14ac:dyDescent="0.25">
      <c r="A1784" t="s">
        <v>12110</v>
      </c>
    </row>
    <row r="1785" spans="1:1" x14ac:dyDescent="0.25">
      <c r="A1785" t="s">
        <v>10722</v>
      </c>
    </row>
    <row r="1786" spans="1:1" x14ac:dyDescent="0.25">
      <c r="A1786" t="s">
        <v>8812</v>
      </c>
    </row>
    <row r="1787" spans="1:1" x14ac:dyDescent="0.25">
      <c r="A1787" t="s">
        <v>12111</v>
      </c>
    </row>
    <row r="1788" spans="1:1" x14ac:dyDescent="0.25">
      <c r="A1788" t="s">
        <v>12112</v>
      </c>
    </row>
    <row r="1789" spans="1:1" x14ac:dyDescent="0.25">
      <c r="A1789" t="s">
        <v>12113</v>
      </c>
    </row>
    <row r="1790" spans="1:1" x14ac:dyDescent="0.25">
      <c r="A1790" t="s">
        <v>9866</v>
      </c>
    </row>
    <row r="1791" spans="1:1" x14ac:dyDescent="0.25">
      <c r="A1791" t="s">
        <v>12114</v>
      </c>
    </row>
    <row r="1792" spans="1:1" x14ac:dyDescent="0.25">
      <c r="A1792" t="s">
        <v>12115</v>
      </c>
    </row>
    <row r="1793" spans="1:1" x14ac:dyDescent="0.25">
      <c r="A1793" t="s">
        <v>12116</v>
      </c>
    </row>
    <row r="1794" spans="1:1" x14ac:dyDescent="0.25">
      <c r="A1794" t="s">
        <v>12117</v>
      </c>
    </row>
    <row r="1795" spans="1:1" x14ac:dyDescent="0.25">
      <c r="A1795" t="s">
        <v>12118</v>
      </c>
    </row>
    <row r="1796" spans="1:1" x14ac:dyDescent="0.25">
      <c r="A1796" t="s">
        <v>12119</v>
      </c>
    </row>
    <row r="1797" spans="1:1" x14ac:dyDescent="0.25">
      <c r="A1797" t="s">
        <v>12120</v>
      </c>
    </row>
    <row r="1798" spans="1:1" x14ac:dyDescent="0.25">
      <c r="A1798" t="s">
        <v>12121</v>
      </c>
    </row>
    <row r="1799" spans="1:1" x14ac:dyDescent="0.25">
      <c r="A1799" t="s">
        <v>12122</v>
      </c>
    </row>
    <row r="1800" spans="1:1" x14ac:dyDescent="0.25">
      <c r="A1800" t="s">
        <v>12123</v>
      </c>
    </row>
    <row r="1801" spans="1:1" x14ac:dyDescent="0.25">
      <c r="A1801" t="s">
        <v>12124</v>
      </c>
    </row>
    <row r="1802" spans="1:1" x14ac:dyDescent="0.25">
      <c r="A1802" t="s">
        <v>12125</v>
      </c>
    </row>
    <row r="1803" spans="1:1" x14ac:dyDescent="0.25">
      <c r="A1803" t="s">
        <v>9732</v>
      </c>
    </row>
    <row r="1804" spans="1:1" x14ac:dyDescent="0.25">
      <c r="A1804" t="s">
        <v>12126</v>
      </c>
    </row>
    <row r="1805" spans="1:1" x14ac:dyDescent="0.25">
      <c r="A1805" t="s">
        <v>8529</v>
      </c>
    </row>
    <row r="1806" spans="1:1" x14ac:dyDescent="0.25">
      <c r="A1806" t="s">
        <v>9983</v>
      </c>
    </row>
    <row r="1807" spans="1:1" x14ac:dyDescent="0.25">
      <c r="A1807" t="s">
        <v>9410</v>
      </c>
    </row>
    <row r="1808" spans="1:1" x14ac:dyDescent="0.25">
      <c r="A1808" t="s">
        <v>12127</v>
      </c>
    </row>
    <row r="1809" spans="1:1" x14ac:dyDescent="0.25">
      <c r="A1809" t="s">
        <v>12128</v>
      </c>
    </row>
    <row r="1810" spans="1:1" x14ac:dyDescent="0.25">
      <c r="A1810" t="s">
        <v>12129</v>
      </c>
    </row>
    <row r="1811" spans="1:1" x14ac:dyDescent="0.25">
      <c r="A1811" t="s">
        <v>12130</v>
      </c>
    </row>
    <row r="1812" spans="1:1" x14ac:dyDescent="0.25">
      <c r="A1812" t="s">
        <v>9412</v>
      </c>
    </row>
    <row r="1813" spans="1:1" x14ac:dyDescent="0.25">
      <c r="A1813" t="s">
        <v>12131</v>
      </c>
    </row>
    <row r="1814" spans="1:1" x14ac:dyDescent="0.25">
      <c r="A1814" t="s">
        <v>8539</v>
      </c>
    </row>
    <row r="1815" spans="1:1" x14ac:dyDescent="0.25">
      <c r="A1815" t="s">
        <v>12132</v>
      </c>
    </row>
    <row r="1816" spans="1:1" x14ac:dyDescent="0.25">
      <c r="A1816" t="s">
        <v>12133</v>
      </c>
    </row>
    <row r="1817" spans="1:1" x14ac:dyDescent="0.25">
      <c r="A1817" t="s">
        <v>12134</v>
      </c>
    </row>
    <row r="1818" spans="1:1" x14ac:dyDescent="0.25">
      <c r="A1818" t="s">
        <v>12135</v>
      </c>
    </row>
    <row r="1819" spans="1:1" x14ac:dyDescent="0.25">
      <c r="A1819" t="s">
        <v>9733</v>
      </c>
    </row>
    <row r="1820" spans="1:1" x14ac:dyDescent="0.25">
      <c r="A1820" t="s">
        <v>12136</v>
      </c>
    </row>
    <row r="1821" spans="1:1" x14ac:dyDescent="0.25">
      <c r="A1821" t="s">
        <v>8813</v>
      </c>
    </row>
    <row r="1822" spans="1:1" x14ac:dyDescent="0.25">
      <c r="A1822" t="s">
        <v>12137</v>
      </c>
    </row>
    <row r="1823" spans="1:1" x14ac:dyDescent="0.25">
      <c r="A1823" t="s">
        <v>12138</v>
      </c>
    </row>
    <row r="1824" spans="1:1" x14ac:dyDescent="0.25">
      <c r="A1824" t="s">
        <v>12139</v>
      </c>
    </row>
    <row r="1825" spans="1:1" x14ac:dyDescent="0.25">
      <c r="A1825" t="s">
        <v>12140</v>
      </c>
    </row>
    <row r="1826" spans="1:1" x14ac:dyDescent="0.25">
      <c r="A1826" t="s">
        <v>12141</v>
      </c>
    </row>
    <row r="1827" spans="1:1" x14ac:dyDescent="0.25">
      <c r="A1827" t="s">
        <v>12142</v>
      </c>
    </row>
    <row r="1828" spans="1:1" x14ac:dyDescent="0.25">
      <c r="A1828" t="s">
        <v>8750</v>
      </c>
    </row>
    <row r="1829" spans="1:1" x14ac:dyDescent="0.25">
      <c r="A1829" t="s">
        <v>9736</v>
      </c>
    </row>
    <row r="1830" spans="1:1" x14ac:dyDescent="0.25">
      <c r="A1830" t="s">
        <v>12143</v>
      </c>
    </row>
    <row r="1831" spans="1:1" x14ac:dyDescent="0.25">
      <c r="A1831" t="s">
        <v>12144</v>
      </c>
    </row>
    <row r="1832" spans="1:1" x14ac:dyDescent="0.25">
      <c r="A1832" t="s">
        <v>12145</v>
      </c>
    </row>
    <row r="1833" spans="1:1" x14ac:dyDescent="0.25">
      <c r="A1833" t="s">
        <v>12146</v>
      </c>
    </row>
    <row r="1834" spans="1:1" x14ac:dyDescent="0.25">
      <c r="A1834" t="s">
        <v>12147</v>
      </c>
    </row>
    <row r="1835" spans="1:1" x14ac:dyDescent="0.25">
      <c r="A1835" t="s">
        <v>9737</v>
      </c>
    </row>
    <row r="1836" spans="1:1" x14ac:dyDescent="0.25">
      <c r="A1836" t="s">
        <v>12148</v>
      </c>
    </row>
    <row r="1837" spans="1:1" x14ac:dyDescent="0.25">
      <c r="A1837" t="s">
        <v>9738</v>
      </c>
    </row>
    <row r="1838" spans="1:1" x14ac:dyDescent="0.25">
      <c r="A1838" t="s">
        <v>12149</v>
      </c>
    </row>
    <row r="1839" spans="1:1" x14ac:dyDescent="0.25">
      <c r="A1839" t="s">
        <v>12150</v>
      </c>
    </row>
    <row r="1840" spans="1:1" x14ac:dyDescent="0.25">
      <c r="A1840" t="s">
        <v>9739</v>
      </c>
    </row>
    <row r="1841" spans="1:1" x14ac:dyDescent="0.25">
      <c r="A1841" t="s">
        <v>12151</v>
      </c>
    </row>
    <row r="1842" spans="1:1" x14ac:dyDescent="0.25">
      <c r="A1842" t="s">
        <v>12152</v>
      </c>
    </row>
    <row r="1843" spans="1:1" x14ac:dyDescent="0.25">
      <c r="A1843" t="s">
        <v>12153</v>
      </c>
    </row>
    <row r="1844" spans="1:1" x14ac:dyDescent="0.25">
      <c r="A1844" t="s">
        <v>9421</v>
      </c>
    </row>
    <row r="1845" spans="1:1" x14ac:dyDescent="0.25">
      <c r="A1845" t="s">
        <v>12154</v>
      </c>
    </row>
    <row r="1846" spans="1:1" x14ac:dyDescent="0.25">
      <c r="A1846" t="s">
        <v>12155</v>
      </c>
    </row>
    <row r="1847" spans="1:1" x14ac:dyDescent="0.25">
      <c r="A1847" t="s">
        <v>7872</v>
      </c>
    </row>
    <row r="1848" spans="1:1" x14ac:dyDescent="0.25">
      <c r="A1848" t="s">
        <v>12156</v>
      </c>
    </row>
    <row r="1849" spans="1:1" x14ac:dyDescent="0.25">
      <c r="A1849" t="s">
        <v>12157</v>
      </c>
    </row>
    <row r="1850" spans="1:1" x14ac:dyDescent="0.25">
      <c r="A1850" t="s">
        <v>12158</v>
      </c>
    </row>
    <row r="1851" spans="1:1" x14ac:dyDescent="0.25">
      <c r="A1851" t="s">
        <v>12159</v>
      </c>
    </row>
    <row r="1852" spans="1:1" x14ac:dyDescent="0.25">
      <c r="A1852" t="s">
        <v>12160</v>
      </c>
    </row>
    <row r="1853" spans="1:1" x14ac:dyDescent="0.25">
      <c r="A1853" t="s">
        <v>12161</v>
      </c>
    </row>
    <row r="1854" spans="1:1" x14ac:dyDescent="0.25">
      <c r="A1854" t="s">
        <v>12162</v>
      </c>
    </row>
    <row r="1855" spans="1:1" x14ac:dyDescent="0.25">
      <c r="A1855" t="s">
        <v>12163</v>
      </c>
    </row>
    <row r="1856" spans="1:1" x14ac:dyDescent="0.25">
      <c r="A1856" t="s">
        <v>12164</v>
      </c>
    </row>
    <row r="1857" spans="1:1" x14ac:dyDescent="0.25">
      <c r="A1857" t="s">
        <v>12165</v>
      </c>
    </row>
    <row r="1858" spans="1:1" x14ac:dyDescent="0.25">
      <c r="A1858" t="s">
        <v>7876</v>
      </c>
    </row>
    <row r="1859" spans="1:1" x14ac:dyDescent="0.25">
      <c r="A1859" t="s">
        <v>12166</v>
      </c>
    </row>
    <row r="1860" spans="1:1" x14ac:dyDescent="0.25">
      <c r="A1860" t="s">
        <v>12167</v>
      </c>
    </row>
    <row r="1861" spans="1:1" x14ac:dyDescent="0.25">
      <c r="A1861" t="s">
        <v>12168</v>
      </c>
    </row>
    <row r="1862" spans="1:1" x14ac:dyDescent="0.25">
      <c r="A1862" t="s">
        <v>12169</v>
      </c>
    </row>
    <row r="1863" spans="1:1" x14ac:dyDescent="0.25">
      <c r="A1863" t="s">
        <v>12170</v>
      </c>
    </row>
    <row r="1864" spans="1:1" x14ac:dyDescent="0.25">
      <c r="A1864" t="s">
        <v>12171</v>
      </c>
    </row>
    <row r="1865" spans="1:1" x14ac:dyDescent="0.25">
      <c r="A1865" t="s">
        <v>12172</v>
      </c>
    </row>
    <row r="1866" spans="1:1" x14ac:dyDescent="0.25">
      <c r="A1866" t="s">
        <v>12173</v>
      </c>
    </row>
    <row r="1867" spans="1:1" x14ac:dyDescent="0.25">
      <c r="A1867" t="s">
        <v>12174</v>
      </c>
    </row>
    <row r="1868" spans="1:1" x14ac:dyDescent="0.25">
      <c r="A1868" t="s">
        <v>7878</v>
      </c>
    </row>
    <row r="1869" spans="1:1" x14ac:dyDescent="0.25">
      <c r="A1869" t="s">
        <v>12175</v>
      </c>
    </row>
    <row r="1870" spans="1:1" x14ac:dyDescent="0.25">
      <c r="A1870" t="s">
        <v>12176</v>
      </c>
    </row>
    <row r="1871" spans="1:1" x14ac:dyDescent="0.25">
      <c r="A1871" t="s">
        <v>12177</v>
      </c>
    </row>
    <row r="1872" spans="1:1" x14ac:dyDescent="0.25">
      <c r="A1872" t="s">
        <v>12178</v>
      </c>
    </row>
    <row r="1873" spans="1:1" x14ac:dyDescent="0.25">
      <c r="A1873" t="s">
        <v>12179</v>
      </c>
    </row>
    <row r="1874" spans="1:1" x14ac:dyDescent="0.25">
      <c r="A1874" t="s">
        <v>12180</v>
      </c>
    </row>
    <row r="1875" spans="1:1" x14ac:dyDescent="0.25">
      <c r="A1875" t="s">
        <v>12181</v>
      </c>
    </row>
    <row r="1876" spans="1:1" x14ac:dyDescent="0.25">
      <c r="A1876" t="s">
        <v>8751</v>
      </c>
    </row>
    <row r="1877" spans="1:1" x14ac:dyDescent="0.25">
      <c r="A1877" t="s">
        <v>12182</v>
      </c>
    </row>
    <row r="1878" spans="1:1" x14ac:dyDescent="0.25">
      <c r="A1878" t="s">
        <v>12183</v>
      </c>
    </row>
    <row r="1879" spans="1:1" x14ac:dyDescent="0.25">
      <c r="A1879" t="s">
        <v>12184</v>
      </c>
    </row>
    <row r="1880" spans="1:1" x14ac:dyDescent="0.25">
      <c r="A1880" t="s">
        <v>12185</v>
      </c>
    </row>
    <row r="1881" spans="1:1" x14ac:dyDescent="0.25">
      <c r="A1881" t="s">
        <v>12186</v>
      </c>
    </row>
    <row r="1882" spans="1:1" x14ac:dyDescent="0.25">
      <c r="A1882" t="s">
        <v>12187</v>
      </c>
    </row>
    <row r="1883" spans="1:1" x14ac:dyDescent="0.25">
      <c r="A1883" t="s">
        <v>12188</v>
      </c>
    </row>
    <row r="1884" spans="1:1" x14ac:dyDescent="0.25">
      <c r="A1884" t="s">
        <v>9741</v>
      </c>
    </row>
    <row r="1885" spans="1:1" x14ac:dyDescent="0.25">
      <c r="A1885" t="s">
        <v>12189</v>
      </c>
    </row>
    <row r="1886" spans="1:1" x14ac:dyDescent="0.25">
      <c r="A1886" t="s">
        <v>12190</v>
      </c>
    </row>
    <row r="1887" spans="1:1" x14ac:dyDescent="0.25">
      <c r="A1887" t="s">
        <v>12191</v>
      </c>
    </row>
    <row r="1888" spans="1:1" x14ac:dyDescent="0.25">
      <c r="A1888" t="s">
        <v>12192</v>
      </c>
    </row>
    <row r="1889" spans="1:1" x14ac:dyDescent="0.25">
      <c r="A1889" t="s">
        <v>12193</v>
      </c>
    </row>
    <row r="1890" spans="1:1" x14ac:dyDescent="0.25">
      <c r="A1890" t="s">
        <v>12194</v>
      </c>
    </row>
    <row r="1891" spans="1:1" x14ac:dyDescent="0.25">
      <c r="A1891" t="s">
        <v>12195</v>
      </c>
    </row>
    <row r="1892" spans="1:1" x14ac:dyDescent="0.25">
      <c r="A1892" t="s">
        <v>12196</v>
      </c>
    </row>
    <row r="1893" spans="1:1" x14ac:dyDescent="0.25">
      <c r="A1893" t="s">
        <v>12197</v>
      </c>
    </row>
    <row r="1894" spans="1:1" x14ac:dyDescent="0.25">
      <c r="A1894" t="s">
        <v>12198</v>
      </c>
    </row>
    <row r="1895" spans="1:1" x14ac:dyDescent="0.25">
      <c r="A1895" t="s">
        <v>12199</v>
      </c>
    </row>
    <row r="1896" spans="1:1" x14ac:dyDescent="0.25">
      <c r="A1896" t="s">
        <v>12200</v>
      </c>
    </row>
    <row r="1897" spans="1:1" x14ac:dyDescent="0.25">
      <c r="A1897" t="s">
        <v>12201</v>
      </c>
    </row>
    <row r="1898" spans="1:1" x14ac:dyDescent="0.25">
      <c r="A1898" t="s">
        <v>12202</v>
      </c>
    </row>
    <row r="1899" spans="1:1" x14ac:dyDescent="0.25">
      <c r="A1899" t="s">
        <v>12203</v>
      </c>
    </row>
    <row r="1900" spans="1:1" x14ac:dyDescent="0.25">
      <c r="A1900" t="s">
        <v>12204</v>
      </c>
    </row>
    <row r="1901" spans="1:1" x14ac:dyDescent="0.25">
      <c r="A1901" t="s">
        <v>12205</v>
      </c>
    </row>
    <row r="1902" spans="1:1" x14ac:dyDescent="0.25">
      <c r="A1902" t="s">
        <v>12206</v>
      </c>
    </row>
    <row r="1903" spans="1:1" x14ac:dyDescent="0.25">
      <c r="A1903" t="s">
        <v>12207</v>
      </c>
    </row>
    <row r="1904" spans="1:1" x14ac:dyDescent="0.25">
      <c r="A1904" t="s">
        <v>12208</v>
      </c>
    </row>
    <row r="1905" spans="1:1" x14ac:dyDescent="0.25">
      <c r="A1905" t="s">
        <v>8815</v>
      </c>
    </row>
    <row r="1906" spans="1:1" x14ac:dyDescent="0.25">
      <c r="A1906" t="s">
        <v>12209</v>
      </c>
    </row>
    <row r="1907" spans="1:1" x14ac:dyDescent="0.25">
      <c r="A1907" t="s">
        <v>12210</v>
      </c>
    </row>
    <row r="1908" spans="1:1" x14ac:dyDescent="0.25">
      <c r="A1908" t="s">
        <v>12211</v>
      </c>
    </row>
    <row r="1909" spans="1:1" x14ac:dyDescent="0.25">
      <c r="A1909" t="s">
        <v>12212</v>
      </c>
    </row>
    <row r="1910" spans="1:1" x14ac:dyDescent="0.25">
      <c r="A1910" t="s">
        <v>12213</v>
      </c>
    </row>
    <row r="1911" spans="1:1" x14ac:dyDescent="0.25">
      <c r="A1911" t="s">
        <v>12214</v>
      </c>
    </row>
    <row r="1912" spans="1:1" x14ac:dyDescent="0.25">
      <c r="A1912" t="s">
        <v>12215</v>
      </c>
    </row>
    <row r="1913" spans="1:1" x14ac:dyDescent="0.25">
      <c r="A1913" t="s">
        <v>12216</v>
      </c>
    </row>
    <row r="1914" spans="1:1" x14ac:dyDescent="0.25">
      <c r="A1914" t="s">
        <v>12217</v>
      </c>
    </row>
    <row r="1915" spans="1:1" x14ac:dyDescent="0.25">
      <c r="A1915" t="s">
        <v>12218</v>
      </c>
    </row>
    <row r="1916" spans="1:1" x14ac:dyDescent="0.25">
      <c r="A1916" t="s">
        <v>12219</v>
      </c>
    </row>
    <row r="1917" spans="1:1" x14ac:dyDescent="0.25">
      <c r="A1917" t="s">
        <v>12220</v>
      </c>
    </row>
    <row r="1918" spans="1:1" x14ac:dyDescent="0.25">
      <c r="A1918" t="s">
        <v>12221</v>
      </c>
    </row>
    <row r="1919" spans="1:1" x14ac:dyDescent="0.25">
      <c r="A1919" t="s">
        <v>12222</v>
      </c>
    </row>
    <row r="1920" spans="1:1" x14ac:dyDescent="0.25">
      <c r="A1920" t="s">
        <v>12223</v>
      </c>
    </row>
    <row r="1921" spans="1:1" x14ac:dyDescent="0.25">
      <c r="A1921" t="s">
        <v>12224</v>
      </c>
    </row>
    <row r="1922" spans="1:1" x14ac:dyDescent="0.25">
      <c r="A1922" t="s">
        <v>12225</v>
      </c>
    </row>
    <row r="1923" spans="1:1" x14ac:dyDescent="0.25">
      <c r="A1923" t="s">
        <v>12226</v>
      </c>
    </row>
    <row r="1924" spans="1:1" x14ac:dyDescent="0.25">
      <c r="A1924" t="s">
        <v>12227</v>
      </c>
    </row>
    <row r="1925" spans="1:1" x14ac:dyDescent="0.25">
      <c r="A1925" t="s">
        <v>8753</v>
      </c>
    </row>
    <row r="1926" spans="1:1" x14ac:dyDescent="0.25">
      <c r="A1926" t="s">
        <v>12228</v>
      </c>
    </row>
    <row r="1927" spans="1:1" x14ac:dyDescent="0.25">
      <c r="A1927" t="s">
        <v>12229</v>
      </c>
    </row>
    <row r="1928" spans="1:1" x14ac:dyDescent="0.25">
      <c r="A1928" t="s">
        <v>12230</v>
      </c>
    </row>
    <row r="1929" spans="1:1" x14ac:dyDescent="0.25">
      <c r="A1929" t="s">
        <v>12231</v>
      </c>
    </row>
    <row r="1930" spans="1:1" x14ac:dyDescent="0.25">
      <c r="A1930" t="s">
        <v>12232</v>
      </c>
    </row>
    <row r="1931" spans="1:1" x14ac:dyDescent="0.25">
      <c r="A1931" t="s">
        <v>12233</v>
      </c>
    </row>
    <row r="1932" spans="1:1" x14ac:dyDescent="0.25">
      <c r="A1932" t="s">
        <v>9742</v>
      </c>
    </row>
    <row r="1933" spans="1:1" x14ac:dyDescent="0.25">
      <c r="A1933" t="s">
        <v>12234</v>
      </c>
    </row>
    <row r="1934" spans="1:1" x14ac:dyDescent="0.25">
      <c r="A1934" t="s">
        <v>12235</v>
      </c>
    </row>
    <row r="1935" spans="1:1" x14ac:dyDescent="0.25">
      <c r="A1935" t="s">
        <v>12236</v>
      </c>
    </row>
    <row r="1936" spans="1:1" x14ac:dyDescent="0.25">
      <c r="A1936" t="s">
        <v>7889</v>
      </c>
    </row>
    <row r="1937" spans="1:1" x14ac:dyDescent="0.25">
      <c r="A1937" t="s">
        <v>12237</v>
      </c>
    </row>
    <row r="1938" spans="1:1" x14ac:dyDescent="0.25">
      <c r="A1938" t="s">
        <v>12238</v>
      </c>
    </row>
    <row r="1939" spans="1:1" x14ac:dyDescent="0.25">
      <c r="A1939" t="s">
        <v>12239</v>
      </c>
    </row>
    <row r="1940" spans="1:1" x14ac:dyDescent="0.25">
      <c r="A1940" t="s">
        <v>12240</v>
      </c>
    </row>
    <row r="1941" spans="1:1" x14ac:dyDescent="0.25">
      <c r="A1941" t="s">
        <v>12241</v>
      </c>
    </row>
    <row r="1942" spans="1:1" x14ac:dyDescent="0.25">
      <c r="A1942" t="s">
        <v>12242</v>
      </c>
    </row>
    <row r="1943" spans="1:1" x14ac:dyDescent="0.25">
      <c r="A1943" t="s">
        <v>12243</v>
      </c>
    </row>
    <row r="1944" spans="1:1" x14ac:dyDescent="0.25">
      <c r="A1944" t="s">
        <v>12244</v>
      </c>
    </row>
    <row r="1945" spans="1:1" x14ac:dyDescent="0.25">
      <c r="A1945" t="s">
        <v>12245</v>
      </c>
    </row>
    <row r="1946" spans="1:1" x14ac:dyDescent="0.25">
      <c r="A1946" t="s">
        <v>12246</v>
      </c>
    </row>
    <row r="1947" spans="1:1" x14ac:dyDescent="0.25">
      <c r="A1947" t="s">
        <v>12247</v>
      </c>
    </row>
    <row r="1948" spans="1:1" x14ac:dyDescent="0.25">
      <c r="A1948" t="s">
        <v>12248</v>
      </c>
    </row>
    <row r="1949" spans="1:1" x14ac:dyDescent="0.25">
      <c r="A1949" t="s">
        <v>12249</v>
      </c>
    </row>
    <row r="1950" spans="1:1" x14ac:dyDescent="0.25">
      <c r="A1950" t="s">
        <v>12250</v>
      </c>
    </row>
    <row r="1951" spans="1:1" x14ac:dyDescent="0.25">
      <c r="A1951" t="s">
        <v>8817</v>
      </c>
    </row>
    <row r="1952" spans="1:1" x14ac:dyDescent="0.25">
      <c r="A1952" t="s">
        <v>12251</v>
      </c>
    </row>
    <row r="1953" spans="1:1" x14ac:dyDescent="0.25">
      <c r="A1953" t="s">
        <v>12252</v>
      </c>
    </row>
    <row r="1954" spans="1:1" x14ac:dyDescent="0.25">
      <c r="A1954" t="s">
        <v>12253</v>
      </c>
    </row>
    <row r="1955" spans="1:1" x14ac:dyDescent="0.25">
      <c r="A1955" t="s">
        <v>12254</v>
      </c>
    </row>
    <row r="1956" spans="1:1" x14ac:dyDescent="0.25">
      <c r="A1956" t="s">
        <v>12255</v>
      </c>
    </row>
    <row r="1957" spans="1:1" x14ac:dyDescent="0.25">
      <c r="A1957" t="s">
        <v>12256</v>
      </c>
    </row>
    <row r="1958" spans="1:1" x14ac:dyDescent="0.25">
      <c r="A1958" t="s">
        <v>12257</v>
      </c>
    </row>
    <row r="1959" spans="1:1" x14ac:dyDescent="0.25">
      <c r="A1959" t="s">
        <v>8555</v>
      </c>
    </row>
    <row r="1960" spans="1:1" x14ac:dyDescent="0.25">
      <c r="A1960" t="s">
        <v>9440</v>
      </c>
    </row>
    <row r="1961" spans="1:1" x14ac:dyDescent="0.25">
      <c r="A1961" t="s">
        <v>12258</v>
      </c>
    </row>
    <row r="1962" spans="1:1" x14ac:dyDescent="0.25">
      <c r="A1962" t="s">
        <v>12259</v>
      </c>
    </row>
    <row r="1963" spans="1:1" x14ac:dyDescent="0.25">
      <c r="A1963" t="s">
        <v>12260</v>
      </c>
    </row>
    <row r="1964" spans="1:1" x14ac:dyDescent="0.25">
      <c r="A1964" t="s">
        <v>12261</v>
      </c>
    </row>
    <row r="1965" spans="1:1" x14ac:dyDescent="0.25">
      <c r="A1965" t="s">
        <v>12262</v>
      </c>
    </row>
    <row r="1966" spans="1:1" x14ac:dyDescent="0.25">
      <c r="A1966" t="s">
        <v>12263</v>
      </c>
    </row>
    <row r="1967" spans="1:1" x14ac:dyDescent="0.25">
      <c r="A1967" t="s">
        <v>12264</v>
      </c>
    </row>
    <row r="1968" spans="1:1" x14ac:dyDescent="0.25">
      <c r="A1968" t="s">
        <v>12265</v>
      </c>
    </row>
    <row r="1969" spans="1:1" x14ac:dyDescent="0.25">
      <c r="A1969" t="s">
        <v>8818</v>
      </c>
    </row>
    <row r="1970" spans="1:1" x14ac:dyDescent="0.25">
      <c r="A1970" t="s">
        <v>12266</v>
      </c>
    </row>
    <row r="1971" spans="1:1" x14ac:dyDescent="0.25">
      <c r="A1971" t="s">
        <v>9743</v>
      </c>
    </row>
    <row r="1972" spans="1:1" x14ac:dyDescent="0.25">
      <c r="A1972" t="s">
        <v>12267</v>
      </c>
    </row>
    <row r="1973" spans="1:1" x14ac:dyDescent="0.25">
      <c r="A1973" t="s">
        <v>12268</v>
      </c>
    </row>
    <row r="1974" spans="1:1" x14ac:dyDescent="0.25">
      <c r="A1974" t="s">
        <v>12269</v>
      </c>
    </row>
    <row r="1975" spans="1:1" x14ac:dyDescent="0.25">
      <c r="A1975" t="s">
        <v>12270</v>
      </c>
    </row>
    <row r="1976" spans="1:1" x14ac:dyDescent="0.25">
      <c r="A1976" t="s">
        <v>12271</v>
      </c>
    </row>
    <row r="1977" spans="1:1" x14ac:dyDescent="0.25">
      <c r="A1977" t="s">
        <v>12272</v>
      </c>
    </row>
    <row r="1978" spans="1:1" x14ac:dyDescent="0.25">
      <c r="A1978" t="s">
        <v>12273</v>
      </c>
    </row>
    <row r="1979" spans="1:1" x14ac:dyDescent="0.25">
      <c r="A1979" t="s">
        <v>12274</v>
      </c>
    </row>
    <row r="1980" spans="1:1" x14ac:dyDescent="0.25">
      <c r="A1980" t="s">
        <v>9988</v>
      </c>
    </row>
    <row r="1981" spans="1:1" x14ac:dyDescent="0.25">
      <c r="A1981" t="s">
        <v>12275</v>
      </c>
    </row>
    <row r="1982" spans="1:1" x14ac:dyDescent="0.25">
      <c r="A1982" t="s">
        <v>12276</v>
      </c>
    </row>
    <row r="1983" spans="1:1" x14ac:dyDescent="0.25">
      <c r="A1983" t="s">
        <v>12277</v>
      </c>
    </row>
    <row r="1984" spans="1:1" x14ac:dyDescent="0.25">
      <c r="A1984" t="s">
        <v>12278</v>
      </c>
    </row>
    <row r="1985" spans="1:1" x14ac:dyDescent="0.25">
      <c r="A1985" t="s">
        <v>12279</v>
      </c>
    </row>
    <row r="1986" spans="1:1" x14ac:dyDescent="0.25">
      <c r="A1986" t="s">
        <v>12280</v>
      </c>
    </row>
    <row r="1987" spans="1:1" x14ac:dyDescent="0.25">
      <c r="A1987" t="s">
        <v>12281</v>
      </c>
    </row>
    <row r="1988" spans="1:1" x14ac:dyDescent="0.25">
      <c r="A1988" t="s">
        <v>12282</v>
      </c>
    </row>
    <row r="1989" spans="1:1" x14ac:dyDescent="0.25">
      <c r="A1989" t="s">
        <v>12283</v>
      </c>
    </row>
    <row r="1990" spans="1:1" x14ac:dyDescent="0.25">
      <c r="A1990" t="s">
        <v>12284</v>
      </c>
    </row>
    <row r="1991" spans="1:1" x14ac:dyDescent="0.25">
      <c r="A1991" t="s">
        <v>12285</v>
      </c>
    </row>
    <row r="1992" spans="1:1" x14ac:dyDescent="0.25">
      <c r="A1992" t="s">
        <v>12286</v>
      </c>
    </row>
    <row r="1993" spans="1:1" x14ac:dyDescent="0.25">
      <c r="A1993" t="s">
        <v>9744</v>
      </c>
    </row>
    <row r="1994" spans="1:1" x14ac:dyDescent="0.25">
      <c r="A1994" t="s">
        <v>9745</v>
      </c>
    </row>
    <row r="1995" spans="1:1" x14ac:dyDescent="0.25">
      <c r="A1995" t="s">
        <v>12287</v>
      </c>
    </row>
    <row r="1996" spans="1:1" x14ac:dyDescent="0.25">
      <c r="A1996" t="s">
        <v>12288</v>
      </c>
    </row>
    <row r="1997" spans="1:1" x14ac:dyDescent="0.25">
      <c r="A1997" t="s">
        <v>12289</v>
      </c>
    </row>
    <row r="1998" spans="1:1" x14ac:dyDescent="0.25">
      <c r="A1998" t="s">
        <v>12290</v>
      </c>
    </row>
    <row r="1999" spans="1:1" x14ac:dyDescent="0.25">
      <c r="A1999" t="s">
        <v>12291</v>
      </c>
    </row>
    <row r="2000" spans="1:1" x14ac:dyDescent="0.25">
      <c r="A2000" t="s">
        <v>12292</v>
      </c>
    </row>
    <row r="2001" spans="1:1" x14ac:dyDescent="0.25">
      <c r="A2001" t="s">
        <v>12293</v>
      </c>
    </row>
    <row r="2002" spans="1:1" x14ac:dyDescent="0.25">
      <c r="A2002" t="s">
        <v>12294</v>
      </c>
    </row>
    <row r="2003" spans="1:1" x14ac:dyDescent="0.25">
      <c r="A2003" t="s">
        <v>12295</v>
      </c>
    </row>
    <row r="2004" spans="1:1" x14ac:dyDescent="0.25">
      <c r="A2004" t="s">
        <v>12296</v>
      </c>
    </row>
    <row r="2005" spans="1:1" x14ac:dyDescent="0.25">
      <c r="A2005" t="s">
        <v>12297</v>
      </c>
    </row>
    <row r="2006" spans="1:1" x14ac:dyDescent="0.25">
      <c r="A2006" t="s">
        <v>12298</v>
      </c>
    </row>
    <row r="2007" spans="1:1" x14ac:dyDescent="0.25">
      <c r="A2007" t="s">
        <v>12299</v>
      </c>
    </row>
    <row r="2008" spans="1:1" x14ac:dyDescent="0.25">
      <c r="A2008" t="s">
        <v>12300</v>
      </c>
    </row>
    <row r="2009" spans="1:1" x14ac:dyDescent="0.25">
      <c r="A2009" t="s">
        <v>12301</v>
      </c>
    </row>
    <row r="2010" spans="1:1" x14ac:dyDescent="0.25">
      <c r="A2010" t="s">
        <v>12302</v>
      </c>
    </row>
    <row r="2011" spans="1:1" x14ac:dyDescent="0.25">
      <c r="A2011" t="s">
        <v>12303</v>
      </c>
    </row>
    <row r="2012" spans="1:1" x14ac:dyDescent="0.25">
      <c r="A2012" t="s">
        <v>12304</v>
      </c>
    </row>
    <row r="2013" spans="1:1" x14ac:dyDescent="0.25">
      <c r="A2013" t="s">
        <v>12305</v>
      </c>
    </row>
    <row r="2014" spans="1:1" x14ac:dyDescent="0.25">
      <c r="A2014" t="s">
        <v>12306</v>
      </c>
    </row>
    <row r="2015" spans="1:1" x14ac:dyDescent="0.25">
      <c r="A2015" t="s">
        <v>12307</v>
      </c>
    </row>
    <row r="2016" spans="1:1" x14ac:dyDescent="0.25">
      <c r="A2016" t="s">
        <v>12308</v>
      </c>
    </row>
    <row r="2017" spans="1:1" x14ac:dyDescent="0.25">
      <c r="A2017" t="s">
        <v>12309</v>
      </c>
    </row>
    <row r="2018" spans="1:1" x14ac:dyDescent="0.25">
      <c r="A2018" t="s">
        <v>12310</v>
      </c>
    </row>
    <row r="2019" spans="1:1" x14ac:dyDescent="0.25">
      <c r="A2019" t="s">
        <v>12311</v>
      </c>
    </row>
    <row r="2020" spans="1:1" x14ac:dyDescent="0.25">
      <c r="A2020" t="s">
        <v>7905</v>
      </c>
    </row>
    <row r="2021" spans="1:1" x14ac:dyDescent="0.25">
      <c r="A2021" t="s">
        <v>12312</v>
      </c>
    </row>
    <row r="2022" spans="1:1" x14ac:dyDescent="0.25">
      <c r="A2022" t="s">
        <v>12313</v>
      </c>
    </row>
    <row r="2023" spans="1:1" x14ac:dyDescent="0.25">
      <c r="A2023" t="s">
        <v>12314</v>
      </c>
    </row>
    <row r="2024" spans="1:1" x14ac:dyDescent="0.25">
      <c r="A2024" t="s">
        <v>12315</v>
      </c>
    </row>
    <row r="2025" spans="1:1" x14ac:dyDescent="0.25">
      <c r="A2025" t="s">
        <v>12316</v>
      </c>
    </row>
    <row r="2026" spans="1:1" x14ac:dyDescent="0.25">
      <c r="A2026" t="s">
        <v>12317</v>
      </c>
    </row>
    <row r="2027" spans="1:1" x14ac:dyDescent="0.25">
      <c r="A2027" t="s">
        <v>12318</v>
      </c>
    </row>
    <row r="2028" spans="1:1" x14ac:dyDescent="0.25">
      <c r="A2028" t="s">
        <v>12319</v>
      </c>
    </row>
    <row r="2029" spans="1:1" x14ac:dyDescent="0.25">
      <c r="A2029" t="s">
        <v>12320</v>
      </c>
    </row>
    <row r="2030" spans="1:1" x14ac:dyDescent="0.25">
      <c r="A2030" t="s">
        <v>12321</v>
      </c>
    </row>
    <row r="2031" spans="1:1" x14ac:dyDescent="0.25">
      <c r="A2031" t="s">
        <v>12322</v>
      </c>
    </row>
    <row r="2032" spans="1:1" x14ac:dyDescent="0.25">
      <c r="A2032" t="s">
        <v>12323</v>
      </c>
    </row>
    <row r="2033" spans="1:1" x14ac:dyDescent="0.25">
      <c r="A2033" t="s">
        <v>12324</v>
      </c>
    </row>
    <row r="2034" spans="1:1" x14ac:dyDescent="0.25">
      <c r="A2034" t="s">
        <v>12325</v>
      </c>
    </row>
    <row r="2035" spans="1:1" x14ac:dyDescent="0.25">
      <c r="A2035" t="s">
        <v>12326</v>
      </c>
    </row>
    <row r="2036" spans="1:1" x14ac:dyDescent="0.25">
      <c r="A2036" t="s">
        <v>12327</v>
      </c>
    </row>
    <row r="2037" spans="1:1" x14ac:dyDescent="0.25">
      <c r="A2037" t="s">
        <v>7910</v>
      </c>
    </row>
    <row r="2038" spans="1:1" x14ac:dyDescent="0.25">
      <c r="A2038" t="s">
        <v>12328</v>
      </c>
    </row>
    <row r="2039" spans="1:1" x14ac:dyDescent="0.25">
      <c r="A2039" t="s">
        <v>12329</v>
      </c>
    </row>
    <row r="2040" spans="1:1" x14ac:dyDescent="0.25">
      <c r="A2040" t="s">
        <v>12330</v>
      </c>
    </row>
    <row r="2041" spans="1:1" x14ac:dyDescent="0.25">
      <c r="A2041" t="s">
        <v>12331</v>
      </c>
    </row>
    <row r="2042" spans="1:1" x14ac:dyDescent="0.25">
      <c r="A2042" t="s">
        <v>12332</v>
      </c>
    </row>
    <row r="2043" spans="1:1" x14ac:dyDescent="0.25">
      <c r="A2043" t="s">
        <v>12333</v>
      </c>
    </row>
    <row r="2044" spans="1:1" x14ac:dyDescent="0.25">
      <c r="A2044" t="s">
        <v>12334</v>
      </c>
    </row>
    <row r="2045" spans="1:1" x14ac:dyDescent="0.25">
      <c r="A2045" t="s">
        <v>12335</v>
      </c>
    </row>
    <row r="2046" spans="1:1" x14ac:dyDescent="0.25">
      <c r="A2046" t="s">
        <v>12336</v>
      </c>
    </row>
    <row r="2047" spans="1:1" x14ac:dyDescent="0.25">
      <c r="A2047" t="s">
        <v>12337</v>
      </c>
    </row>
    <row r="2048" spans="1:1" x14ac:dyDescent="0.25">
      <c r="A2048" t="s">
        <v>12338</v>
      </c>
    </row>
    <row r="2049" spans="1:1" x14ac:dyDescent="0.25">
      <c r="A2049" t="s">
        <v>12339</v>
      </c>
    </row>
    <row r="2050" spans="1:1" x14ac:dyDescent="0.25">
      <c r="A2050" t="s">
        <v>12340</v>
      </c>
    </row>
    <row r="2051" spans="1:1" x14ac:dyDescent="0.25">
      <c r="A2051" t="s">
        <v>12341</v>
      </c>
    </row>
    <row r="2052" spans="1:1" x14ac:dyDescent="0.25">
      <c r="A2052" t="s">
        <v>12342</v>
      </c>
    </row>
    <row r="2053" spans="1:1" x14ac:dyDescent="0.25">
      <c r="A2053" t="s">
        <v>12343</v>
      </c>
    </row>
    <row r="2054" spans="1:1" x14ac:dyDescent="0.25">
      <c r="A2054" t="s">
        <v>12344</v>
      </c>
    </row>
    <row r="2055" spans="1:1" x14ac:dyDescent="0.25">
      <c r="A2055" t="s">
        <v>12345</v>
      </c>
    </row>
    <row r="2056" spans="1:1" x14ac:dyDescent="0.25">
      <c r="A2056" t="s">
        <v>8754</v>
      </c>
    </row>
    <row r="2057" spans="1:1" x14ac:dyDescent="0.25">
      <c r="A2057" t="s">
        <v>12346</v>
      </c>
    </row>
    <row r="2058" spans="1:1" x14ac:dyDescent="0.25">
      <c r="A2058" t="s">
        <v>12347</v>
      </c>
    </row>
    <row r="2059" spans="1:1" x14ac:dyDescent="0.25">
      <c r="A2059" t="s">
        <v>12348</v>
      </c>
    </row>
    <row r="2060" spans="1:1" x14ac:dyDescent="0.25">
      <c r="A2060" t="s">
        <v>12349</v>
      </c>
    </row>
    <row r="2061" spans="1:1" x14ac:dyDescent="0.25">
      <c r="A2061" t="s">
        <v>12350</v>
      </c>
    </row>
    <row r="2062" spans="1:1" x14ac:dyDescent="0.25">
      <c r="A2062" t="s">
        <v>12351</v>
      </c>
    </row>
    <row r="2063" spans="1:1" x14ac:dyDescent="0.25">
      <c r="A2063" t="s">
        <v>12352</v>
      </c>
    </row>
    <row r="2064" spans="1:1" x14ac:dyDescent="0.25">
      <c r="A2064" t="s">
        <v>12353</v>
      </c>
    </row>
    <row r="2065" spans="1:1" x14ac:dyDescent="0.25">
      <c r="A2065" t="s">
        <v>12354</v>
      </c>
    </row>
    <row r="2066" spans="1:1" x14ac:dyDescent="0.25">
      <c r="A2066" t="s">
        <v>12355</v>
      </c>
    </row>
    <row r="2067" spans="1:1" x14ac:dyDescent="0.25">
      <c r="A2067" t="s">
        <v>12356</v>
      </c>
    </row>
    <row r="2068" spans="1:1" x14ac:dyDescent="0.25">
      <c r="A2068" t="s">
        <v>12357</v>
      </c>
    </row>
    <row r="2069" spans="1:1" x14ac:dyDescent="0.25">
      <c r="A2069" t="s">
        <v>12358</v>
      </c>
    </row>
    <row r="2070" spans="1:1" x14ac:dyDescent="0.25">
      <c r="A2070" t="s">
        <v>12359</v>
      </c>
    </row>
    <row r="2071" spans="1:1" x14ac:dyDescent="0.25">
      <c r="A2071" t="s">
        <v>12360</v>
      </c>
    </row>
    <row r="2072" spans="1:1" x14ac:dyDescent="0.25">
      <c r="A2072" t="s">
        <v>12361</v>
      </c>
    </row>
    <row r="2073" spans="1:1" x14ac:dyDescent="0.25">
      <c r="A2073" t="s">
        <v>12362</v>
      </c>
    </row>
    <row r="2074" spans="1:1" x14ac:dyDescent="0.25">
      <c r="A2074" t="s">
        <v>12363</v>
      </c>
    </row>
    <row r="2075" spans="1:1" x14ac:dyDescent="0.25">
      <c r="A2075" t="s">
        <v>12364</v>
      </c>
    </row>
    <row r="2076" spans="1:1" x14ac:dyDescent="0.25">
      <c r="A2076" t="s">
        <v>12365</v>
      </c>
    </row>
    <row r="2077" spans="1:1" x14ac:dyDescent="0.25">
      <c r="A2077" t="s">
        <v>12366</v>
      </c>
    </row>
    <row r="2078" spans="1:1" x14ac:dyDescent="0.25">
      <c r="A2078" t="s">
        <v>7938</v>
      </c>
    </row>
    <row r="2079" spans="1:1" x14ac:dyDescent="0.25">
      <c r="A2079" t="s">
        <v>12367</v>
      </c>
    </row>
    <row r="2080" spans="1:1" x14ac:dyDescent="0.25">
      <c r="A2080" t="s">
        <v>8002</v>
      </c>
    </row>
    <row r="2081" spans="1:1" x14ac:dyDescent="0.25">
      <c r="A2081" t="s">
        <v>12368</v>
      </c>
    </row>
    <row r="2082" spans="1:1" x14ac:dyDescent="0.25">
      <c r="A2082" t="s">
        <v>8575</v>
      </c>
    </row>
    <row r="2083" spans="1:1" x14ac:dyDescent="0.25">
      <c r="A2083" t="s">
        <v>12369</v>
      </c>
    </row>
    <row r="2084" spans="1:1" x14ac:dyDescent="0.25">
      <c r="A2084" t="s">
        <v>12370</v>
      </c>
    </row>
    <row r="2085" spans="1:1" x14ac:dyDescent="0.25">
      <c r="A2085" t="s">
        <v>12371</v>
      </c>
    </row>
    <row r="2086" spans="1:1" x14ac:dyDescent="0.25">
      <c r="A2086" t="s">
        <v>12372</v>
      </c>
    </row>
    <row r="2087" spans="1:1" x14ac:dyDescent="0.25">
      <c r="A2087" t="s">
        <v>10797</v>
      </c>
    </row>
    <row r="2088" spans="1:1" x14ac:dyDescent="0.25">
      <c r="A2088" t="s">
        <v>12373</v>
      </c>
    </row>
    <row r="2089" spans="1:1" x14ac:dyDescent="0.25">
      <c r="A2089" t="s">
        <v>12374</v>
      </c>
    </row>
    <row r="2090" spans="1:1" x14ac:dyDescent="0.25">
      <c r="A2090" t="s">
        <v>12375</v>
      </c>
    </row>
    <row r="2091" spans="1:1" x14ac:dyDescent="0.25">
      <c r="A2091" t="s">
        <v>12376</v>
      </c>
    </row>
    <row r="2092" spans="1:1" x14ac:dyDescent="0.25">
      <c r="A2092" t="s">
        <v>12377</v>
      </c>
    </row>
    <row r="2093" spans="1:1" x14ac:dyDescent="0.25">
      <c r="A2093" t="s">
        <v>8821</v>
      </c>
    </row>
    <row r="2094" spans="1:1" x14ac:dyDescent="0.25">
      <c r="A2094" t="s">
        <v>12378</v>
      </c>
    </row>
    <row r="2095" spans="1:1" x14ac:dyDescent="0.25">
      <c r="A2095" t="s">
        <v>9458</v>
      </c>
    </row>
    <row r="2096" spans="1:1" x14ac:dyDescent="0.25">
      <c r="A2096" t="s">
        <v>12379</v>
      </c>
    </row>
    <row r="2097" spans="1:1" x14ac:dyDescent="0.25">
      <c r="A2097" t="s">
        <v>12380</v>
      </c>
    </row>
    <row r="2098" spans="1:1" x14ac:dyDescent="0.25">
      <c r="A2098" t="s">
        <v>8579</v>
      </c>
    </row>
    <row r="2099" spans="1:1" x14ac:dyDescent="0.25">
      <c r="A2099" t="s">
        <v>12381</v>
      </c>
    </row>
    <row r="2100" spans="1:1" x14ac:dyDescent="0.25">
      <c r="A2100" t="s">
        <v>12382</v>
      </c>
    </row>
    <row r="2101" spans="1:1" x14ac:dyDescent="0.25">
      <c r="A2101" t="s">
        <v>12383</v>
      </c>
    </row>
    <row r="2102" spans="1:1" x14ac:dyDescent="0.25">
      <c r="A2102" t="s">
        <v>12384</v>
      </c>
    </row>
    <row r="2103" spans="1:1" x14ac:dyDescent="0.25">
      <c r="A2103" t="s">
        <v>12385</v>
      </c>
    </row>
    <row r="2104" spans="1:1" x14ac:dyDescent="0.25">
      <c r="A2104" t="s">
        <v>12386</v>
      </c>
    </row>
    <row r="2105" spans="1:1" x14ac:dyDescent="0.25">
      <c r="A2105" t="s">
        <v>12387</v>
      </c>
    </row>
    <row r="2106" spans="1:1" x14ac:dyDescent="0.25">
      <c r="A2106" t="s">
        <v>12388</v>
      </c>
    </row>
    <row r="2107" spans="1:1" x14ac:dyDescent="0.25">
      <c r="A2107" t="s">
        <v>9993</v>
      </c>
    </row>
    <row r="2108" spans="1:1" x14ac:dyDescent="0.25">
      <c r="A2108" t="s">
        <v>12389</v>
      </c>
    </row>
    <row r="2109" spans="1:1" x14ac:dyDescent="0.25">
      <c r="A2109" t="s">
        <v>12390</v>
      </c>
    </row>
    <row r="2110" spans="1:1" x14ac:dyDescent="0.25">
      <c r="A2110" t="s">
        <v>12391</v>
      </c>
    </row>
    <row r="2111" spans="1:1" x14ac:dyDescent="0.25">
      <c r="A2111" t="s">
        <v>12392</v>
      </c>
    </row>
    <row r="2112" spans="1:1" x14ac:dyDescent="0.25">
      <c r="A2112" t="s">
        <v>12393</v>
      </c>
    </row>
    <row r="2113" spans="1:1" x14ac:dyDescent="0.25">
      <c r="A2113" t="s">
        <v>12394</v>
      </c>
    </row>
    <row r="2114" spans="1:1" x14ac:dyDescent="0.25">
      <c r="A2114" t="s">
        <v>12395</v>
      </c>
    </row>
    <row r="2115" spans="1:1" x14ac:dyDescent="0.25">
      <c r="A2115" t="s">
        <v>9460</v>
      </c>
    </row>
    <row r="2116" spans="1:1" x14ac:dyDescent="0.25">
      <c r="A2116" t="s">
        <v>12396</v>
      </c>
    </row>
    <row r="2117" spans="1:1" x14ac:dyDescent="0.25">
      <c r="A2117" t="s">
        <v>12397</v>
      </c>
    </row>
    <row r="2118" spans="1:1" x14ac:dyDescent="0.25">
      <c r="A2118" t="s">
        <v>12398</v>
      </c>
    </row>
    <row r="2119" spans="1:1" x14ac:dyDescent="0.25">
      <c r="A2119" t="s">
        <v>9461</v>
      </c>
    </row>
    <row r="2120" spans="1:1" x14ac:dyDescent="0.25">
      <c r="A2120" t="s">
        <v>12399</v>
      </c>
    </row>
    <row r="2121" spans="1:1" x14ac:dyDescent="0.25">
      <c r="A2121" t="s">
        <v>12400</v>
      </c>
    </row>
    <row r="2122" spans="1:1" x14ac:dyDescent="0.25">
      <c r="A2122" t="s">
        <v>12401</v>
      </c>
    </row>
    <row r="2123" spans="1:1" x14ac:dyDescent="0.25">
      <c r="A2123" t="s">
        <v>12402</v>
      </c>
    </row>
    <row r="2124" spans="1:1" x14ac:dyDescent="0.25">
      <c r="A2124" t="s">
        <v>12403</v>
      </c>
    </row>
    <row r="2125" spans="1:1" x14ac:dyDescent="0.25">
      <c r="A2125" t="s">
        <v>12404</v>
      </c>
    </row>
    <row r="2126" spans="1:1" x14ac:dyDescent="0.25">
      <c r="A2126" t="s">
        <v>9747</v>
      </c>
    </row>
    <row r="2127" spans="1:1" x14ac:dyDescent="0.25">
      <c r="A2127" t="s">
        <v>9463</v>
      </c>
    </row>
    <row r="2128" spans="1:1" x14ac:dyDescent="0.25">
      <c r="A2128" t="s">
        <v>12405</v>
      </c>
    </row>
    <row r="2129" spans="1:1" x14ac:dyDescent="0.25">
      <c r="A2129" t="s">
        <v>12406</v>
      </c>
    </row>
    <row r="2130" spans="1:1" x14ac:dyDescent="0.25">
      <c r="A2130" t="s">
        <v>12407</v>
      </c>
    </row>
    <row r="2131" spans="1:1" x14ac:dyDescent="0.25">
      <c r="A2131" t="s">
        <v>12408</v>
      </c>
    </row>
    <row r="2132" spans="1:1" x14ac:dyDescent="0.25">
      <c r="A2132" t="s">
        <v>12409</v>
      </c>
    </row>
    <row r="2133" spans="1:1" x14ac:dyDescent="0.25">
      <c r="A2133" t="s">
        <v>12410</v>
      </c>
    </row>
    <row r="2134" spans="1:1" x14ac:dyDescent="0.25">
      <c r="A2134" t="s">
        <v>12411</v>
      </c>
    </row>
    <row r="2135" spans="1:1" x14ac:dyDescent="0.25">
      <c r="A2135" t="s">
        <v>9465</v>
      </c>
    </row>
    <row r="2136" spans="1:1" x14ac:dyDescent="0.25">
      <c r="A2136" t="s">
        <v>12412</v>
      </c>
    </row>
    <row r="2137" spans="1:1" x14ac:dyDescent="0.25">
      <c r="A2137" t="s">
        <v>12413</v>
      </c>
    </row>
    <row r="2138" spans="1:1" x14ac:dyDescent="0.25">
      <c r="A2138" t="s">
        <v>12414</v>
      </c>
    </row>
    <row r="2139" spans="1:1" x14ac:dyDescent="0.25">
      <c r="A2139" t="s">
        <v>12415</v>
      </c>
    </row>
    <row r="2140" spans="1:1" x14ac:dyDescent="0.25">
      <c r="A2140" t="s">
        <v>12416</v>
      </c>
    </row>
    <row r="2141" spans="1:1" x14ac:dyDescent="0.25">
      <c r="A2141" t="s">
        <v>12417</v>
      </c>
    </row>
    <row r="2142" spans="1:1" x14ac:dyDescent="0.25">
      <c r="A2142" t="s">
        <v>12418</v>
      </c>
    </row>
    <row r="2143" spans="1:1" x14ac:dyDescent="0.25">
      <c r="A2143" t="s">
        <v>12419</v>
      </c>
    </row>
    <row r="2144" spans="1:1" x14ac:dyDescent="0.25">
      <c r="A2144" t="s">
        <v>12420</v>
      </c>
    </row>
    <row r="2145" spans="1:1" x14ac:dyDescent="0.25">
      <c r="A2145" t="s">
        <v>12421</v>
      </c>
    </row>
    <row r="2146" spans="1:1" x14ac:dyDescent="0.25">
      <c r="A2146" t="s">
        <v>12422</v>
      </c>
    </row>
    <row r="2147" spans="1:1" x14ac:dyDescent="0.25">
      <c r="A2147" t="s">
        <v>12423</v>
      </c>
    </row>
    <row r="2148" spans="1:1" x14ac:dyDescent="0.25">
      <c r="A2148" t="s">
        <v>9466</v>
      </c>
    </row>
    <row r="2149" spans="1:1" x14ac:dyDescent="0.25">
      <c r="A2149" t="s">
        <v>12424</v>
      </c>
    </row>
    <row r="2150" spans="1:1" x14ac:dyDescent="0.25">
      <c r="A2150" t="s">
        <v>12425</v>
      </c>
    </row>
    <row r="2151" spans="1:1" x14ac:dyDescent="0.25">
      <c r="A2151" t="s">
        <v>12426</v>
      </c>
    </row>
    <row r="2152" spans="1:1" x14ac:dyDescent="0.25">
      <c r="A2152" t="s">
        <v>12427</v>
      </c>
    </row>
    <row r="2153" spans="1:1" x14ac:dyDescent="0.25">
      <c r="A2153" t="s">
        <v>12428</v>
      </c>
    </row>
    <row r="2154" spans="1:1" x14ac:dyDescent="0.25">
      <c r="A2154" t="s">
        <v>12429</v>
      </c>
    </row>
    <row r="2155" spans="1:1" x14ac:dyDescent="0.25">
      <c r="A2155" t="s">
        <v>12430</v>
      </c>
    </row>
    <row r="2156" spans="1:1" x14ac:dyDescent="0.25">
      <c r="A2156" t="s">
        <v>12431</v>
      </c>
    </row>
    <row r="2157" spans="1:1" x14ac:dyDescent="0.25">
      <c r="A2157" t="s">
        <v>12432</v>
      </c>
    </row>
    <row r="2158" spans="1:1" x14ac:dyDescent="0.25">
      <c r="A2158" t="s">
        <v>12433</v>
      </c>
    </row>
    <row r="2159" spans="1:1" x14ac:dyDescent="0.25">
      <c r="A2159" t="s">
        <v>12434</v>
      </c>
    </row>
    <row r="2160" spans="1:1" x14ac:dyDescent="0.25">
      <c r="A2160" t="s">
        <v>9749</v>
      </c>
    </row>
    <row r="2161" spans="1:1" x14ac:dyDescent="0.25">
      <c r="A2161" t="s">
        <v>12435</v>
      </c>
    </row>
    <row r="2162" spans="1:1" x14ac:dyDescent="0.25">
      <c r="A2162" t="s">
        <v>8029</v>
      </c>
    </row>
    <row r="2163" spans="1:1" x14ac:dyDescent="0.25">
      <c r="A2163" t="s">
        <v>12436</v>
      </c>
    </row>
    <row r="2164" spans="1:1" x14ac:dyDescent="0.25">
      <c r="A2164" t="s">
        <v>12437</v>
      </c>
    </row>
    <row r="2165" spans="1:1" x14ac:dyDescent="0.25">
      <c r="A2165" t="s">
        <v>12438</v>
      </c>
    </row>
    <row r="2166" spans="1:1" x14ac:dyDescent="0.25">
      <c r="A2166" t="s">
        <v>8030</v>
      </c>
    </row>
    <row r="2167" spans="1:1" x14ac:dyDescent="0.25">
      <c r="A2167" t="s">
        <v>12439</v>
      </c>
    </row>
    <row r="2168" spans="1:1" x14ac:dyDescent="0.25">
      <c r="A2168" t="s">
        <v>12440</v>
      </c>
    </row>
    <row r="2169" spans="1:1" x14ac:dyDescent="0.25">
      <c r="A2169" t="s">
        <v>12441</v>
      </c>
    </row>
    <row r="2170" spans="1:1" x14ac:dyDescent="0.25">
      <c r="A2170" t="s">
        <v>12442</v>
      </c>
    </row>
    <row r="2171" spans="1:1" x14ac:dyDescent="0.25">
      <c r="A2171" t="s">
        <v>12443</v>
      </c>
    </row>
    <row r="2172" spans="1:1" x14ac:dyDescent="0.25">
      <c r="A2172" t="s">
        <v>12444</v>
      </c>
    </row>
    <row r="2173" spans="1:1" x14ac:dyDescent="0.25">
      <c r="A2173" t="s">
        <v>12445</v>
      </c>
    </row>
    <row r="2174" spans="1:1" x14ac:dyDescent="0.25">
      <c r="A2174" t="s">
        <v>12446</v>
      </c>
    </row>
    <row r="2175" spans="1:1" x14ac:dyDescent="0.25">
      <c r="A2175" t="s">
        <v>12447</v>
      </c>
    </row>
    <row r="2176" spans="1:1" x14ac:dyDescent="0.25">
      <c r="A2176" t="s">
        <v>12448</v>
      </c>
    </row>
    <row r="2177" spans="1:1" x14ac:dyDescent="0.25">
      <c r="A2177" t="s">
        <v>12449</v>
      </c>
    </row>
    <row r="2178" spans="1:1" x14ac:dyDescent="0.25">
      <c r="A2178" t="s">
        <v>12450</v>
      </c>
    </row>
    <row r="2179" spans="1:1" x14ac:dyDescent="0.25">
      <c r="A2179" t="s">
        <v>12451</v>
      </c>
    </row>
    <row r="2180" spans="1:1" x14ac:dyDescent="0.25">
      <c r="A2180" t="s">
        <v>12452</v>
      </c>
    </row>
    <row r="2181" spans="1:1" x14ac:dyDescent="0.25">
      <c r="A2181" t="s">
        <v>8755</v>
      </c>
    </row>
    <row r="2182" spans="1:1" x14ac:dyDescent="0.25">
      <c r="A2182" t="s">
        <v>12453</v>
      </c>
    </row>
    <row r="2183" spans="1:1" x14ac:dyDescent="0.25">
      <c r="A2183" t="s">
        <v>12454</v>
      </c>
    </row>
    <row r="2184" spans="1:1" x14ac:dyDescent="0.25">
      <c r="A2184" t="s">
        <v>12455</v>
      </c>
    </row>
    <row r="2185" spans="1:1" x14ac:dyDescent="0.25">
      <c r="A2185" t="s">
        <v>8757</v>
      </c>
    </row>
    <row r="2186" spans="1:1" x14ac:dyDescent="0.25">
      <c r="A2186" t="s">
        <v>12456</v>
      </c>
    </row>
    <row r="2187" spans="1:1" x14ac:dyDescent="0.25">
      <c r="A2187" t="s">
        <v>12457</v>
      </c>
    </row>
    <row r="2188" spans="1:1" x14ac:dyDescent="0.25">
      <c r="A2188" t="s">
        <v>12458</v>
      </c>
    </row>
    <row r="2189" spans="1:1" x14ac:dyDescent="0.25">
      <c r="A2189" t="s">
        <v>12459</v>
      </c>
    </row>
    <row r="2190" spans="1:1" x14ac:dyDescent="0.25">
      <c r="A2190" t="s">
        <v>12460</v>
      </c>
    </row>
    <row r="2191" spans="1:1" x14ac:dyDescent="0.25">
      <c r="A2191" t="s">
        <v>12461</v>
      </c>
    </row>
    <row r="2192" spans="1:1" x14ac:dyDescent="0.25">
      <c r="A2192" t="s">
        <v>12462</v>
      </c>
    </row>
    <row r="2193" spans="1:1" x14ac:dyDescent="0.25">
      <c r="A2193" t="s">
        <v>12463</v>
      </c>
    </row>
    <row r="2194" spans="1:1" x14ac:dyDescent="0.25">
      <c r="A2194" t="s">
        <v>8033</v>
      </c>
    </row>
    <row r="2195" spans="1:1" x14ac:dyDescent="0.25">
      <c r="A2195" t="s">
        <v>12464</v>
      </c>
    </row>
    <row r="2196" spans="1:1" x14ac:dyDescent="0.25">
      <c r="A2196" t="s">
        <v>12465</v>
      </c>
    </row>
    <row r="2197" spans="1:1" x14ac:dyDescent="0.25">
      <c r="A2197" t="s">
        <v>12466</v>
      </c>
    </row>
    <row r="2198" spans="1:1" x14ac:dyDescent="0.25">
      <c r="A2198" t="s">
        <v>12467</v>
      </c>
    </row>
    <row r="2199" spans="1:1" x14ac:dyDescent="0.25">
      <c r="A2199" t="s">
        <v>9750</v>
      </c>
    </row>
    <row r="2200" spans="1:1" x14ac:dyDescent="0.25">
      <c r="A2200" t="s">
        <v>12468</v>
      </c>
    </row>
    <row r="2201" spans="1:1" x14ac:dyDescent="0.25">
      <c r="A2201" t="s">
        <v>12469</v>
      </c>
    </row>
    <row r="2202" spans="1:1" x14ac:dyDescent="0.25">
      <c r="A2202" t="s">
        <v>12470</v>
      </c>
    </row>
    <row r="2203" spans="1:1" x14ac:dyDescent="0.25">
      <c r="A2203" t="s">
        <v>12471</v>
      </c>
    </row>
    <row r="2204" spans="1:1" x14ac:dyDescent="0.25">
      <c r="A2204" t="s">
        <v>12472</v>
      </c>
    </row>
    <row r="2205" spans="1:1" x14ac:dyDescent="0.25">
      <c r="A2205" t="s">
        <v>12473</v>
      </c>
    </row>
    <row r="2206" spans="1:1" x14ac:dyDescent="0.25">
      <c r="A2206" t="s">
        <v>12474</v>
      </c>
    </row>
    <row r="2207" spans="1:1" x14ac:dyDescent="0.25">
      <c r="A2207" t="s">
        <v>12475</v>
      </c>
    </row>
    <row r="2208" spans="1:1" x14ac:dyDescent="0.25">
      <c r="A2208" t="s">
        <v>12476</v>
      </c>
    </row>
    <row r="2209" spans="1:1" x14ac:dyDescent="0.25">
      <c r="A2209" t="s">
        <v>12477</v>
      </c>
    </row>
    <row r="2210" spans="1:1" x14ac:dyDescent="0.25">
      <c r="A2210" t="s">
        <v>12478</v>
      </c>
    </row>
    <row r="2211" spans="1:1" x14ac:dyDescent="0.25">
      <c r="A2211" t="s">
        <v>12479</v>
      </c>
    </row>
    <row r="2212" spans="1:1" x14ac:dyDescent="0.25">
      <c r="A2212" t="s">
        <v>12480</v>
      </c>
    </row>
    <row r="2213" spans="1:1" x14ac:dyDescent="0.25">
      <c r="A2213" t="s">
        <v>8601</v>
      </c>
    </row>
    <row r="2214" spans="1:1" x14ac:dyDescent="0.25">
      <c r="A2214" t="s">
        <v>12481</v>
      </c>
    </row>
    <row r="2215" spans="1:1" x14ac:dyDescent="0.25">
      <c r="A2215" t="s">
        <v>12482</v>
      </c>
    </row>
    <row r="2216" spans="1:1" x14ac:dyDescent="0.25">
      <c r="A2216" t="s">
        <v>12483</v>
      </c>
    </row>
    <row r="2217" spans="1:1" x14ac:dyDescent="0.25">
      <c r="A2217" t="s">
        <v>12484</v>
      </c>
    </row>
    <row r="2218" spans="1:1" x14ac:dyDescent="0.25">
      <c r="A2218" t="s">
        <v>12485</v>
      </c>
    </row>
    <row r="2219" spans="1:1" x14ac:dyDescent="0.25">
      <c r="A2219" t="s">
        <v>12486</v>
      </c>
    </row>
    <row r="2220" spans="1:1" x14ac:dyDescent="0.25">
      <c r="A2220" t="s">
        <v>12487</v>
      </c>
    </row>
    <row r="2221" spans="1:1" x14ac:dyDescent="0.25">
      <c r="A2221" t="s">
        <v>12488</v>
      </c>
    </row>
    <row r="2222" spans="1:1" x14ac:dyDescent="0.25">
      <c r="A2222" t="s">
        <v>12489</v>
      </c>
    </row>
    <row r="2223" spans="1:1" x14ac:dyDescent="0.25">
      <c r="A2223" t="s">
        <v>9752</v>
      </c>
    </row>
    <row r="2224" spans="1:1" x14ac:dyDescent="0.25">
      <c r="A2224" t="s">
        <v>12490</v>
      </c>
    </row>
    <row r="2225" spans="1:1" x14ac:dyDescent="0.25">
      <c r="A2225" t="s">
        <v>12491</v>
      </c>
    </row>
    <row r="2226" spans="1:1" x14ac:dyDescent="0.25">
      <c r="A2226" t="s">
        <v>12492</v>
      </c>
    </row>
    <row r="2227" spans="1:1" x14ac:dyDescent="0.25">
      <c r="A2227" t="s">
        <v>9476</v>
      </c>
    </row>
    <row r="2228" spans="1:1" x14ac:dyDescent="0.25">
      <c r="A2228" t="s">
        <v>12493</v>
      </c>
    </row>
    <row r="2229" spans="1:1" x14ac:dyDescent="0.25">
      <c r="A2229" t="s">
        <v>12494</v>
      </c>
    </row>
    <row r="2230" spans="1:1" x14ac:dyDescent="0.25">
      <c r="A2230" t="s">
        <v>12495</v>
      </c>
    </row>
    <row r="2231" spans="1:1" x14ac:dyDescent="0.25">
      <c r="A2231" t="s">
        <v>12496</v>
      </c>
    </row>
    <row r="2232" spans="1:1" x14ac:dyDescent="0.25">
      <c r="A2232" t="s">
        <v>12497</v>
      </c>
    </row>
    <row r="2233" spans="1:1" x14ac:dyDescent="0.25">
      <c r="A2233" t="s">
        <v>12498</v>
      </c>
    </row>
    <row r="2234" spans="1:1" x14ac:dyDescent="0.25">
      <c r="A2234" t="s">
        <v>12499</v>
      </c>
    </row>
    <row r="2235" spans="1:1" x14ac:dyDescent="0.25">
      <c r="A2235" t="s">
        <v>12500</v>
      </c>
    </row>
    <row r="2236" spans="1:1" x14ac:dyDescent="0.25">
      <c r="A2236" t="s">
        <v>12501</v>
      </c>
    </row>
    <row r="2237" spans="1:1" x14ac:dyDescent="0.25">
      <c r="A2237" t="s">
        <v>12502</v>
      </c>
    </row>
    <row r="2238" spans="1:1" x14ac:dyDescent="0.25">
      <c r="A2238" t="s">
        <v>12503</v>
      </c>
    </row>
    <row r="2239" spans="1:1" x14ac:dyDescent="0.25">
      <c r="A2239" t="s">
        <v>12504</v>
      </c>
    </row>
    <row r="2240" spans="1:1" x14ac:dyDescent="0.25">
      <c r="A2240" t="s">
        <v>12505</v>
      </c>
    </row>
    <row r="2241" spans="1:1" x14ac:dyDescent="0.25">
      <c r="A2241" t="s">
        <v>12506</v>
      </c>
    </row>
    <row r="2242" spans="1:1" x14ac:dyDescent="0.25">
      <c r="A2242" t="s">
        <v>12507</v>
      </c>
    </row>
    <row r="2243" spans="1:1" x14ac:dyDescent="0.25">
      <c r="A2243" t="s">
        <v>12508</v>
      </c>
    </row>
    <row r="2244" spans="1:1" x14ac:dyDescent="0.25">
      <c r="A2244" t="s">
        <v>12509</v>
      </c>
    </row>
    <row r="2245" spans="1:1" x14ac:dyDescent="0.25">
      <c r="A2245" t="s">
        <v>12510</v>
      </c>
    </row>
    <row r="2246" spans="1:1" x14ac:dyDescent="0.25">
      <c r="A2246" t="s">
        <v>8604</v>
      </c>
    </row>
    <row r="2247" spans="1:1" x14ac:dyDescent="0.25">
      <c r="A2247" t="s">
        <v>12511</v>
      </c>
    </row>
    <row r="2248" spans="1:1" x14ac:dyDescent="0.25">
      <c r="A2248" t="s">
        <v>12512</v>
      </c>
    </row>
    <row r="2249" spans="1:1" x14ac:dyDescent="0.25">
      <c r="A2249" t="s">
        <v>12513</v>
      </c>
    </row>
    <row r="2250" spans="1:1" x14ac:dyDescent="0.25">
      <c r="A2250" t="s">
        <v>12514</v>
      </c>
    </row>
    <row r="2251" spans="1:1" x14ac:dyDescent="0.25">
      <c r="A2251" t="s">
        <v>12515</v>
      </c>
    </row>
    <row r="2252" spans="1:1" x14ac:dyDescent="0.25">
      <c r="A2252" t="s">
        <v>12516</v>
      </c>
    </row>
    <row r="2253" spans="1:1" x14ac:dyDescent="0.25">
      <c r="A2253" t="s">
        <v>12517</v>
      </c>
    </row>
    <row r="2254" spans="1:1" x14ac:dyDescent="0.25">
      <c r="A2254" t="s">
        <v>12518</v>
      </c>
    </row>
    <row r="2255" spans="1:1" x14ac:dyDescent="0.25">
      <c r="A2255" t="s">
        <v>12519</v>
      </c>
    </row>
    <row r="2256" spans="1:1" x14ac:dyDescent="0.25">
      <c r="A2256" t="s">
        <v>12520</v>
      </c>
    </row>
    <row r="2257" spans="1:1" x14ac:dyDescent="0.25">
      <c r="A2257" t="s">
        <v>12521</v>
      </c>
    </row>
    <row r="2258" spans="1:1" x14ac:dyDescent="0.25">
      <c r="A2258" t="s">
        <v>12522</v>
      </c>
    </row>
    <row r="2259" spans="1:1" x14ac:dyDescent="0.25">
      <c r="A2259" t="s">
        <v>12523</v>
      </c>
    </row>
    <row r="2260" spans="1:1" x14ac:dyDescent="0.25">
      <c r="A2260" t="s">
        <v>12524</v>
      </c>
    </row>
    <row r="2261" spans="1:1" x14ac:dyDescent="0.25">
      <c r="A2261" t="s">
        <v>12525</v>
      </c>
    </row>
    <row r="2262" spans="1:1" x14ac:dyDescent="0.25">
      <c r="A2262" t="s">
        <v>12526</v>
      </c>
    </row>
    <row r="2263" spans="1:1" x14ac:dyDescent="0.25">
      <c r="A2263" t="s">
        <v>12527</v>
      </c>
    </row>
    <row r="2264" spans="1:1" x14ac:dyDescent="0.25">
      <c r="A2264" t="s">
        <v>12528</v>
      </c>
    </row>
    <row r="2265" spans="1:1" x14ac:dyDescent="0.25">
      <c r="A2265" t="s">
        <v>12529</v>
      </c>
    </row>
    <row r="2266" spans="1:1" x14ac:dyDescent="0.25">
      <c r="A2266" t="s">
        <v>12530</v>
      </c>
    </row>
    <row r="2267" spans="1:1" x14ac:dyDescent="0.25">
      <c r="A2267" t="s">
        <v>12531</v>
      </c>
    </row>
    <row r="2268" spans="1:1" x14ac:dyDescent="0.25">
      <c r="A2268" t="s">
        <v>12532</v>
      </c>
    </row>
    <row r="2269" spans="1:1" x14ac:dyDescent="0.25">
      <c r="A2269" t="s">
        <v>12533</v>
      </c>
    </row>
    <row r="2270" spans="1:1" x14ac:dyDescent="0.25">
      <c r="A2270" t="s">
        <v>12534</v>
      </c>
    </row>
    <row r="2271" spans="1:1" x14ac:dyDescent="0.25">
      <c r="A2271" t="s">
        <v>12535</v>
      </c>
    </row>
    <row r="2272" spans="1:1" x14ac:dyDescent="0.25">
      <c r="A2272" t="s">
        <v>12536</v>
      </c>
    </row>
    <row r="2273" spans="1:1" x14ac:dyDescent="0.25">
      <c r="A2273" t="s">
        <v>12537</v>
      </c>
    </row>
    <row r="2274" spans="1:1" x14ac:dyDescent="0.25">
      <c r="A2274" t="s">
        <v>8759</v>
      </c>
    </row>
    <row r="2275" spans="1:1" x14ac:dyDescent="0.25">
      <c r="A2275" t="s">
        <v>12538</v>
      </c>
    </row>
    <row r="2276" spans="1:1" x14ac:dyDescent="0.25">
      <c r="A2276" t="s">
        <v>9482</v>
      </c>
    </row>
    <row r="2277" spans="1:1" x14ac:dyDescent="0.25">
      <c r="A2277" t="s">
        <v>12539</v>
      </c>
    </row>
    <row r="2278" spans="1:1" x14ac:dyDescent="0.25">
      <c r="A2278" t="s">
        <v>12540</v>
      </c>
    </row>
    <row r="2279" spans="1:1" x14ac:dyDescent="0.25">
      <c r="A2279" t="s">
        <v>12541</v>
      </c>
    </row>
    <row r="2280" spans="1:1" x14ac:dyDescent="0.25">
      <c r="A2280" t="s">
        <v>12542</v>
      </c>
    </row>
    <row r="2281" spans="1:1" x14ac:dyDescent="0.25">
      <c r="A2281" t="s">
        <v>12543</v>
      </c>
    </row>
    <row r="2282" spans="1:1" x14ac:dyDescent="0.25">
      <c r="A2282" t="s">
        <v>12544</v>
      </c>
    </row>
    <row r="2283" spans="1:1" x14ac:dyDescent="0.25">
      <c r="A2283" t="s">
        <v>12545</v>
      </c>
    </row>
    <row r="2284" spans="1:1" x14ac:dyDescent="0.25">
      <c r="A2284" t="s">
        <v>12546</v>
      </c>
    </row>
    <row r="2285" spans="1:1" x14ac:dyDescent="0.25">
      <c r="A2285" t="s">
        <v>12547</v>
      </c>
    </row>
    <row r="2286" spans="1:1" x14ac:dyDescent="0.25">
      <c r="A2286" t="s">
        <v>12548</v>
      </c>
    </row>
    <row r="2287" spans="1:1" x14ac:dyDescent="0.25">
      <c r="A2287" t="s">
        <v>12549</v>
      </c>
    </row>
    <row r="2288" spans="1:1" x14ac:dyDescent="0.25">
      <c r="A2288" t="s">
        <v>12550</v>
      </c>
    </row>
    <row r="2289" spans="1:1" x14ac:dyDescent="0.25">
      <c r="A2289" t="s">
        <v>12551</v>
      </c>
    </row>
    <row r="2290" spans="1:1" x14ac:dyDescent="0.25">
      <c r="A2290" t="s">
        <v>12552</v>
      </c>
    </row>
    <row r="2291" spans="1:1" x14ac:dyDescent="0.25">
      <c r="A2291" t="s">
        <v>12553</v>
      </c>
    </row>
    <row r="2292" spans="1:1" x14ac:dyDescent="0.25">
      <c r="A2292" t="s">
        <v>12554</v>
      </c>
    </row>
    <row r="2293" spans="1:1" x14ac:dyDescent="0.25">
      <c r="A2293" t="s">
        <v>12555</v>
      </c>
    </row>
    <row r="2294" spans="1:1" x14ac:dyDescent="0.25">
      <c r="A2294" t="s">
        <v>12556</v>
      </c>
    </row>
    <row r="2295" spans="1:1" x14ac:dyDescent="0.25">
      <c r="A2295" t="s">
        <v>12557</v>
      </c>
    </row>
    <row r="2296" spans="1:1" x14ac:dyDescent="0.25">
      <c r="A2296" t="s">
        <v>12558</v>
      </c>
    </row>
    <row r="2297" spans="1:1" x14ac:dyDescent="0.25">
      <c r="A2297" t="s">
        <v>12559</v>
      </c>
    </row>
    <row r="2298" spans="1:1" x14ac:dyDescent="0.25">
      <c r="A2298" t="s">
        <v>12560</v>
      </c>
    </row>
    <row r="2299" spans="1:1" x14ac:dyDescent="0.25">
      <c r="A2299" t="s">
        <v>12561</v>
      </c>
    </row>
    <row r="2300" spans="1:1" x14ac:dyDescent="0.25">
      <c r="A2300" t="s">
        <v>8608</v>
      </c>
    </row>
    <row r="2301" spans="1:1" x14ac:dyDescent="0.25">
      <c r="A2301" t="s">
        <v>12562</v>
      </c>
    </row>
    <row r="2302" spans="1:1" x14ac:dyDescent="0.25">
      <c r="A2302" t="s">
        <v>9486</v>
      </c>
    </row>
    <row r="2303" spans="1:1" x14ac:dyDescent="0.25">
      <c r="A2303" t="s">
        <v>12563</v>
      </c>
    </row>
    <row r="2304" spans="1:1" x14ac:dyDescent="0.25">
      <c r="A2304" t="s">
        <v>12564</v>
      </c>
    </row>
    <row r="2305" spans="1:1" x14ac:dyDescent="0.25">
      <c r="A2305" t="s">
        <v>12565</v>
      </c>
    </row>
    <row r="2306" spans="1:1" x14ac:dyDescent="0.25">
      <c r="A2306" t="s">
        <v>12566</v>
      </c>
    </row>
    <row r="2307" spans="1:1" x14ac:dyDescent="0.25">
      <c r="A2307" t="s">
        <v>12567</v>
      </c>
    </row>
    <row r="2308" spans="1:1" x14ac:dyDescent="0.25">
      <c r="A2308" t="s">
        <v>12568</v>
      </c>
    </row>
    <row r="2309" spans="1:1" x14ac:dyDescent="0.25">
      <c r="A2309" t="s">
        <v>12569</v>
      </c>
    </row>
    <row r="2310" spans="1:1" x14ac:dyDescent="0.25">
      <c r="A2310" t="s">
        <v>12570</v>
      </c>
    </row>
    <row r="2311" spans="1:1" x14ac:dyDescent="0.25">
      <c r="A2311" t="s">
        <v>12571</v>
      </c>
    </row>
    <row r="2312" spans="1:1" x14ac:dyDescent="0.25">
      <c r="A2312" t="s">
        <v>12572</v>
      </c>
    </row>
    <row r="2313" spans="1:1" x14ac:dyDescent="0.25">
      <c r="A2313" t="s">
        <v>8610</v>
      </c>
    </row>
    <row r="2314" spans="1:1" x14ac:dyDescent="0.25">
      <c r="A2314" t="s">
        <v>12573</v>
      </c>
    </row>
    <row r="2315" spans="1:1" x14ac:dyDescent="0.25">
      <c r="A2315" t="s">
        <v>12574</v>
      </c>
    </row>
    <row r="2316" spans="1:1" x14ac:dyDescent="0.25">
      <c r="A2316" t="s">
        <v>12575</v>
      </c>
    </row>
    <row r="2317" spans="1:1" x14ac:dyDescent="0.25">
      <c r="A2317" t="s">
        <v>12576</v>
      </c>
    </row>
    <row r="2318" spans="1:1" x14ac:dyDescent="0.25">
      <c r="A2318" t="s">
        <v>12577</v>
      </c>
    </row>
    <row r="2319" spans="1:1" x14ac:dyDescent="0.25">
      <c r="A2319" t="s">
        <v>12578</v>
      </c>
    </row>
    <row r="2320" spans="1:1" x14ac:dyDescent="0.25">
      <c r="A2320" t="s">
        <v>12579</v>
      </c>
    </row>
    <row r="2321" spans="1:1" x14ac:dyDescent="0.25">
      <c r="A2321" t="s">
        <v>12580</v>
      </c>
    </row>
    <row r="2322" spans="1:1" x14ac:dyDescent="0.25">
      <c r="A2322" t="s">
        <v>12581</v>
      </c>
    </row>
    <row r="2323" spans="1:1" x14ac:dyDescent="0.25">
      <c r="A2323" t="s">
        <v>12582</v>
      </c>
    </row>
    <row r="2324" spans="1:1" x14ac:dyDescent="0.25">
      <c r="A2324" t="s">
        <v>12583</v>
      </c>
    </row>
    <row r="2325" spans="1:1" x14ac:dyDescent="0.25">
      <c r="A2325" t="s">
        <v>8761</v>
      </c>
    </row>
    <row r="2326" spans="1:1" x14ac:dyDescent="0.25">
      <c r="A2326" t="s">
        <v>12584</v>
      </c>
    </row>
    <row r="2327" spans="1:1" x14ac:dyDescent="0.25">
      <c r="A2327" t="s">
        <v>12585</v>
      </c>
    </row>
    <row r="2328" spans="1:1" x14ac:dyDescent="0.25">
      <c r="A2328" t="s">
        <v>9490</v>
      </c>
    </row>
    <row r="2329" spans="1:1" x14ac:dyDescent="0.25">
      <c r="A2329" t="s">
        <v>12586</v>
      </c>
    </row>
    <row r="2330" spans="1:1" x14ac:dyDescent="0.25">
      <c r="A2330" t="s">
        <v>12587</v>
      </c>
    </row>
    <row r="2331" spans="1:1" x14ac:dyDescent="0.25">
      <c r="A2331" t="s">
        <v>8823</v>
      </c>
    </row>
    <row r="2332" spans="1:1" x14ac:dyDescent="0.25">
      <c r="A2332" t="s">
        <v>9491</v>
      </c>
    </row>
    <row r="2333" spans="1:1" x14ac:dyDescent="0.25">
      <c r="A2333" t="s">
        <v>8763</v>
      </c>
    </row>
    <row r="2334" spans="1:1" x14ac:dyDescent="0.25">
      <c r="A2334" t="s">
        <v>9492</v>
      </c>
    </row>
    <row r="2335" spans="1:1" x14ac:dyDescent="0.25">
      <c r="A2335" t="s">
        <v>12588</v>
      </c>
    </row>
    <row r="2336" spans="1:1" x14ac:dyDescent="0.25">
      <c r="A2336" t="s">
        <v>9755</v>
      </c>
    </row>
    <row r="2337" spans="1:1" x14ac:dyDescent="0.25">
      <c r="A2337" t="s">
        <v>12589</v>
      </c>
    </row>
    <row r="2338" spans="1:1" x14ac:dyDescent="0.25">
      <c r="A2338" t="s">
        <v>12590</v>
      </c>
    </row>
    <row r="2339" spans="1:1" x14ac:dyDescent="0.25">
      <c r="A2339" t="s">
        <v>12591</v>
      </c>
    </row>
    <row r="2340" spans="1:1" x14ac:dyDescent="0.25">
      <c r="A2340" t="s">
        <v>12592</v>
      </c>
    </row>
    <row r="2341" spans="1:1" x14ac:dyDescent="0.25">
      <c r="A2341" t="s">
        <v>12593</v>
      </c>
    </row>
    <row r="2342" spans="1:1" x14ac:dyDescent="0.25">
      <c r="A2342" t="s">
        <v>12594</v>
      </c>
    </row>
    <row r="2343" spans="1:1" x14ac:dyDescent="0.25">
      <c r="A2343" t="s">
        <v>12595</v>
      </c>
    </row>
    <row r="2344" spans="1:1" x14ac:dyDescent="0.25">
      <c r="A2344" t="s">
        <v>12596</v>
      </c>
    </row>
    <row r="2345" spans="1:1" x14ac:dyDescent="0.25">
      <c r="A2345" t="s">
        <v>12597</v>
      </c>
    </row>
    <row r="2346" spans="1:1" x14ac:dyDescent="0.25">
      <c r="A2346" t="s">
        <v>12598</v>
      </c>
    </row>
    <row r="2347" spans="1:1" x14ac:dyDescent="0.25">
      <c r="A2347" t="s">
        <v>12599</v>
      </c>
    </row>
    <row r="2348" spans="1:1" x14ac:dyDescent="0.25">
      <c r="A2348" t="s">
        <v>12600</v>
      </c>
    </row>
    <row r="2349" spans="1:1" x14ac:dyDescent="0.25">
      <c r="A2349" t="s">
        <v>12601</v>
      </c>
    </row>
    <row r="2350" spans="1:1" x14ac:dyDescent="0.25">
      <c r="A2350" t="s">
        <v>12602</v>
      </c>
    </row>
    <row r="2351" spans="1:1" x14ac:dyDescent="0.25">
      <c r="A2351" t="s">
        <v>12603</v>
      </c>
    </row>
    <row r="2352" spans="1:1" x14ac:dyDescent="0.25">
      <c r="A2352" t="s">
        <v>12604</v>
      </c>
    </row>
    <row r="2353" spans="1:1" x14ac:dyDescent="0.25">
      <c r="A2353" t="s">
        <v>8824</v>
      </c>
    </row>
    <row r="2354" spans="1:1" x14ac:dyDescent="0.25">
      <c r="A2354" t="s">
        <v>12605</v>
      </c>
    </row>
    <row r="2355" spans="1:1" x14ac:dyDescent="0.25">
      <c r="A2355" t="s">
        <v>9498</v>
      </c>
    </row>
    <row r="2356" spans="1:1" x14ac:dyDescent="0.25">
      <c r="A2356" t="s">
        <v>12606</v>
      </c>
    </row>
    <row r="2357" spans="1:1" x14ac:dyDescent="0.25">
      <c r="A2357" t="s">
        <v>12607</v>
      </c>
    </row>
    <row r="2358" spans="1:1" x14ac:dyDescent="0.25">
      <c r="A2358" t="s">
        <v>12608</v>
      </c>
    </row>
    <row r="2359" spans="1:1" x14ac:dyDescent="0.25">
      <c r="A2359" t="s">
        <v>9998</v>
      </c>
    </row>
    <row r="2360" spans="1:1" x14ac:dyDescent="0.25">
      <c r="A2360" t="s">
        <v>12609</v>
      </c>
    </row>
    <row r="2361" spans="1:1" x14ac:dyDescent="0.25">
      <c r="A2361" t="s">
        <v>12610</v>
      </c>
    </row>
    <row r="2362" spans="1:1" x14ac:dyDescent="0.25">
      <c r="A2362" t="s">
        <v>12611</v>
      </c>
    </row>
    <row r="2363" spans="1:1" x14ac:dyDescent="0.25">
      <c r="A2363" t="s">
        <v>12612</v>
      </c>
    </row>
    <row r="2364" spans="1:1" x14ac:dyDescent="0.25">
      <c r="A2364" t="s">
        <v>8079</v>
      </c>
    </row>
    <row r="2365" spans="1:1" x14ac:dyDescent="0.25">
      <c r="A2365" t="s">
        <v>12613</v>
      </c>
    </row>
    <row r="2366" spans="1:1" x14ac:dyDescent="0.25">
      <c r="A2366" t="s">
        <v>12614</v>
      </c>
    </row>
    <row r="2367" spans="1:1" x14ac:dyDescent="0.25">
      <c r="A2367" t="s">
        <v>12615</v>
      </c>
    </row>
    <row r="2368" spans="1:1" x14ac:dyDescent="0.25">
      <c r="A2368" t="s">
        <v>12616</v>
      </c>
    </row>
    <row r="2369" spans="1:1" x14ac:dyDescent="0.25">
      <c r="A2369" t="s">
        <v>12617</v>
      </c>
    </row>
    <row r="2370" spans="1:1" x14ac:dyDescent="0.25">
      <c r="A2370" t="s">
        <v>12618</v>
      </c>
    </row>
    <row r="2371" spans="1:1" x14ac:dyDescent="0.25">
      <c r="A2371" t="s">
        <v>12619</v>
      </c>
    </row>
    <row r="2372" spans="1:1" x14ac:dyDescent="0.25">
      <c r="A2372" t="s">
        <v>12620</v>
      </c>
    </row>
    <row r="2373" spans="1:1" x14ac:dyDescent="0.25">
      <c r="A2373" t="s">
        <v>12621</v>
      </c>
    </row>
    <row r="2374" spans="1:1" x14ac:dyDescent="0.25">
      <c r="A2374" t="s">
        <v>12622</v>
      </c>
    </row>
    <row r="2375" spans="1:1" x14ac:dyDescent="0.25">
      <c r="A2375" t="s">
        <v>12623</v>
      </c>
    </row>
    <row r="2376" spans="1:1" x14ac:dyDescent="0.25">
      <c r="A2376" t="s">
        <v>12624</v>
      </c>
    </row>
    <row r="2377" spans="1:1" x14ac:dyDescent="0.25">
      <c r="A2377" t="s">
        <v>8826</v>
      </c>
    </row>
    <row r="2378" spans="1:1" x14ac:dyDescent="0.25">
      <c r="A2378" t="s">
        <v>12625</v>
      </c>
    </row>
    <row r="2379" spans="1:1" x14ac:dyDescent="0.25">
      <c r="A2379" t="s">
        <v>12626</v>
      </c>
    </row>
    <row r="2380" spans="1:1" x14ac:dyDescent="0.25">
      <c r="A2380" t="s">
        <v>12627</v>
      </c>
    </row>
    <row r="2381" spans="1:1" x14ac:dyDescent="0.25">
      <c r="A2381" t="s">
        <v>12628</v>
      </c>
    </row>
    <row r="2382" spans="1:1" x14ac:dyDescent="0.25">
      <c r="A2382" t="s">
        <v>12629</v>
      </c>
    </row>
    <row r="2383" spans="1:1" x14ac:dyDescent="0.25">
      <c r="A2383" t="s">
        <v>12630</v>
      </c>
    </row>
    <row r="2384" spans="1:1" x14ac:dyDescent="0.25">
      <c r="A2384" t="s">
        <v>12631</v>
      </c>
    </row>
    <row r="2385" spans="1:1" x14ac:dyDescent="0.25">
      <c r="A2385" t="s">
        <v>12632</v>
      </c>
    </row>
    <row r="2386" spans="1:1" x14ac:dyDescent="0.25">
      <c r="A2386" t="s">
        <v>8628</v>
      </c>
    </row>
    <row r="2387" spans="1:1" x14ac:dyDescent="0.25">
      <c r="A2387" t="s">
        <v>8765</v>
      </c>
    </row>
    <row r="2388" spans="1:1" x14ac:dyDescent="0.25">
      <c r="A2388" t="s">
        <v>12633</v>
      </c>
    </row>
    <row r="2389" spans="1:1" x14ac:dyDescent="0.25">
      <c r="A2389" t="s">
        <v>12634</v>
      </c>
    </row>
    <row r="2390" spans="1:1" x14ac:dyDescent="0.25">
      <c r="A2390" t="s">
        <v>9506</v>
      </c>
    </row>
    <row r="2391" spans="1:1" x14ac:dyDescent="0.25">
      <c r="A2391" t="s">
        <v>12635</v>
      </c>
    </row>
    <row r="2392" spans="1:1" x14ac:dyDescent="0.25">
      <c r="A2392" t="s">
        <v>12636</v>
      </c>
    </row>
    <row r="2393" spans="1:1" x14ac:dyDescent="0.25">
      <c r="A2393" t="s">
        <v>12637</v>
      </c>
    </row>
    <row r="2394" spans="1:1" x14ac:dyDescent="0.25">
      <c r="A2394" t="s">
        <v>12638</v>
      </c>
    </row>
    <row r="2395" spans="1:1" x14ac:dyDescent="0.25">
      <c r="A2395" t="s">
        <v>12639</v>
      </c>
    </row>
    <row r="2396" spans="1:1" x14ac:dyDescent="0.25">
      <c r="A2396" t="s">
        <v>12640</v>
      </c>
    </row>
    <row r="2397" spans="1:1" x14ac:dyDescent="0.25">
      <c r="A2397" t="s">
        <v>12641</v>
      </c>
    </row>
    <row r="2398" spans="1:1" x14ac:dyDescent="0.25">
      <c r="A2398" t="s">
        <v>12642</v>
      </c>
    </row>
    <row r="2399" spans="1:1" x14ac:dyDescent="0.25">
      <c r="A2399" t="s">
        <v>12643</v>
      </c>
    </row>
    <row r="2400" spans="1:1" x14ac:dyDescent="0.25">
      <c r="A2400" t="s">
        <v>12644</v>
      </c>
    </row>
    <row r="2401" spans="1:1" x14ac:dyDescent="0.25">
      <c r="A2401" t="s">
        <v>12645</v>
      </c>
    </row>
    <row r="2402" spans="1:1" x14ac:dyDescent="0.25">
      <c r="A2402" t="s">
        <v>12646</v>
      </c>
    </row>
    <row r="2403" spans="1:1" x14ac:dyDescent="0.25">
      <c r="A2403" t="s">
        <v>12647</v>
      </c>
    </row>
    <row r="2404" spans="1:1" x14ac:dyDescent="0.25">
      <c r="A2404" t="s">
        <v>12648</v>
      </c>
    </row>
    <row r="2405" spans="1:1" x14ac:dyDescent="0.25">
      <c r="A2405" t="s">
        <v>12649</v>
      </c>
    </row>
    <row r="2406" spans="1:1" x14ac:dyDescent="0.25">
      <c r="A2406" t="s">
        <v>9759</v>
      </c>
    </row>
    <row r="2407" spans="1:1" x14ac:dyDescent="0.25">
      <c r="A2407" t="s">
        <v>12650</v>
      </c>
    </row>
    <row r="2408" spans="1:1" x14ac:dyDescent="0.25">
      <c r="A2408" t="s">
        <v>12651</v>
      </c>
    </row>
    <row r="2409" spans="1:1" x14ac:dyDescent="0.25">
      <c r="A2409" t="s">
        <v>12652</v>
      </c>
    </row>
    <row r="2410" spans="1:1" x14ac:dyDescent="0.25">
      <c r="A2410" t="s">
        <v>12653</v>
      </c>
    </row>
    <row r="2411" spans="1:1" x14ac:dyDescent="0.25">
      <c r="A2411" t="s">
        <v>12654</v>
      </c>
    </row>
    <row r="2412" spans="1:1" x14ac:dyDescent="0.25">
      <c r="A2412" t="s">
        <v>12655</v>
      </c>
    </row>
    <row r="2413" spans="1:1" x14ac:dyDescent="0.25">
      <c r="A2413" t="s">
        <v>12656</v>
      </c>
    </row>
    <row r="2414" spans="1:1" x14ac:dyDescent="0.25">
      <c r="A2414" t="s">
        <v>12657</v>
      </c>
    </row>
    <row r="2415" spans="1:1" x14ac:dyDescent="0.25">
      <c r="A2415" t="s">
        <v>12658</v>
      </c>
    </row>
    <row r="2416" spans="1:1" x14ac:dyDescent="0.25">
      <c r="A2416" t="s">
        <v>12659</v>
      </c>
    </row>
    <row r="2417" spans="1:1" x14ac:dyDescent="0.25">
      <c r="A2417" t="s">
        <v>12660</v>
      </c>
    </row>
    <row r="2418" spans="1:1" x14ac:dyDescent="0.25">
      <c r="A2418" t="s">
        <v>12661</v>
      </c>
    </row>
    <row r="2419" spans="1:1" x14ac:dyDescent="0.25">
      <c r="A2419" t="s">
        <v>12662</v>
      </c>
    </row>
    <row r="2420" spans="1:1" x14ac:dyDescent="0.25">
      <c r="A2420" t="s">
        <v>12663</v>
      </c>
    </row>
    <row r="2421" spans="1:1" x14ac:dyDescent="0.25">
      <c r="A2421" t="s">
        <v>12664</v>
      </c>
    </row>
    <row r="2422" spans="1:1" x14ac:dyDescent="0.25">
      <c r="A2422" t="s">
        <v>12665</v>
      </c>
    </row>
    <row r="2423" spans="1:1" x14ac:dyDescent="0.25">
      <c r="A2423" t="s">
        <v>12666</v>
      </c>
    </row>
    <row r="2424" spans="1:1" x14ac:dyDescent="0.25">
      <c r="A2424" t="s">
        <v>12667</v>
      </c>
    </row>
    <row r="2425" spans="1:1" x14ac:dyDescent="0.25">
      <c r="A2425" t="s">
        <v>8767</v>
      </c>
    </row>
    <row r="2426" spans="1:1" x14ac:dyDescent="0.25">
      <c r="A2426" t="s">
        <v>8828</v>
      </c>
    </row>
    <row r="2427" spans="1:1" x14ac:dyDescent="0.25">
      <c r="A2427" t="s">
        <v>12668</v>
      </c>
    </row>
    <row r="2428" spans="1:1" x14ac:dyDescent="0.25">
      <c r="A2428" t="s">
        <v>12669</v>
      </c>
    </row>
    <row r="2429" spans="1:1" x14ac:dyDescent="0.25">
      <c r="A2429" t="s">
        <v>12670</v>
      </c>
    </row>
    <row r="2430" spans="1:1" x14ac:dyDescent="0.25">
      <c r="A2430" t="s">
        <v>12671</v>
      </c>
    </row>
    <row r="2431" spans="1:1" x14ac:dyDescent="0.25">
      <c r="A2431" t="s">
        <v>12672</v>
      </c>
    </row>
    <row r="2432" spans="1:1" x14ac:dyDescent="0.25">
      <c r="A2432" t="s">
        <v>12673</v>
      </c>
    </row>
    <row r="2433" spans="1:1" x14ac:dyDescent="0.25">
      <c r="A2433" t="s">
        <v>12674</v>
      </c>
    </row>
    <row r="2434" spans="1:1" x14ac:dyDescent="0.25">
      <c r="A2434" t="s">
        <v>12675</v>
      </c>
    </row>
    <row r="2435" spans="1:1" x14ac:dyDescent="0.25">
      <c r="A2435" t="s">
        <v>12676</v>
      </c>
    </row>
    <row r="2436" spans="1:1" x14ac:dyDescent="0.25">
      <c r="A2436" t="s">
        <v>12677</v>
      </c>
    </row>
    <row r="2437" spans="1:1" x14ac:dyDescent="0.25">
      <c r="A2437" t="s">
        <v>12678</v>
      </c>
    </row>
    <row r="2438" spans="1:1" x14ac:dyDescent="0.25">
      <c r="A2438" t="s">
        <v>12679</v>
      </c>
    </row>
    <row r="2439" spans="1:1" x14ac:dyDescent="0.25">
      <c r="A2439" t="s">
        <v>12680</v>
      </c>
    </row>
    <row r="2440" spans="1:1" x14ac:dyDescent="0.25">
      <c r="A2440" t="s">
        <v>9509</v>
      </c>
    </row>
    <row r="2441" spans="1:1" x14ac:dyDescent="0.25">
      <c r="A2441" t="s">
        <v>12681</v>
      </c>
    </row>
    <row r="2442" spans="1:1" x14ac:dyDescent="0.25">
      <c r="A2442" t="s">
        <v>12682</v>
      </c>
    </row>
    <row r="2443" spans="1:1" x14ac:dyDescent="0.25">
      <c r="A2443" t="s">
        <v>12683</v>
      </c>
    </row>
    <row r="2444" spans="1:1" x14ac:dyDescent="0.25">
      <c r="A2444" t="s">
        <v>12684</v>
      </c>
    </row>
    <row r="2445" spans="1:1" x14ac:dyDescent="0.25">
      <c r="A2445" t="s">
        <v>12685</v>
      </c>
    </row>
    <row r="2446" spans="1:1" x14ac:dyDescent="0.25">
      <c r="A2446" t="s">
        <v>12686</v>
      </c>
    </row>
    <row r="2447" spans="1:1" x14ac:dyDescent="0.25">
      <c r="A2447" t="s">
        <v>12687</v>
      </c>
    </row>
    <row r="2448" spans="1:1" x14ac:dyDescent="0.25">
      <c r="A2448" t="s">
        <v>12688</v>
      </c>
    </row>
    <row r="2449" spans="1:1" x14ac:dyDescent="0.25">
      <c r="A2449" t="s">
        <v>12689</v>
      </c>
    </row>
    <row r="2450" spans="1:1" x14ac:dyDescent="0.25">
      <c r="A2450" t="s">
        <v>12690</v>
      </c>
    </row>
    <row r="2451" spans="1:1" x14ac:dyDescent="0.25">
      <c r="A2451" t="s">
        <v>12691</v>
      </c>
    </row>
    <row r="2452" spans="1:1" x14ac:dyDescent="0.25">
      <c r="A2452" t="s">
        <v>8769</v>
      </c>
    </row>
    <row r="2453" spans="1:1" x14ac:dyDescent="0.25">
      <c r="A2453" t="s">
        <v>12692</v>
      </c>
    </row>
    <row r="2454" spans="1:1" x14ac:dyDescent="0.25">
      <c r="A2454" t="s">
        <v>8642</v>
      </c>
    </row>
    <row r="2455" spans="1:1" x14ac:dyDescent="0.25">
      <c r="A2455" t="s">
        <v>12693</v>
      </c>
    </row>
    <row r="2456" spans="1:1" x14ac:dyDescent="0.25">
      <c r="A2456" t="s">
        <v>8106</v>
      </c>
    </row>
    <row r="2457" spans="1:1" x14ac:dyDescent="0.25">
      <c r="A2457" t="s">
        <v>12694</v>
      </c>
    </row>
    <row r="2458" spans="1:1" x14ac:dyDescent="0.25">
      <c r="A2458" t="s">
        <v>12695</v>
      </c>
    </row>
    <row r="2459" spans="1:1" x14ac:dyDescent="0.25">
      <c r="A2459" t="s">
        <v>9760</v>
      </c>
    </row>
    <row r="2460" spans="1:1" x14ac:dyDescent="0.25">
      <c r="A2460" t="s">
        <v>12696</v>
      </c>
    </row>
    <row r="2461" spans="1:1" x14ac:dyDescent="0.25">
      <c r="A2461" t="s">
        <v>12697</v>
      </c>
    </row>
    <row r="2462" spans="1:1" x14ac:dyDescent="0.25">
      <c r="A2462" t="s">
        <v>9517</v>
      </c>
    </row>
    <row r="2463" spans="1:1" x14ac:dyDescent="0.25">
      <c r="A2463" t="s">
        <v>12698</v>
      </c>
    </row>
    <row r="2464" spans="1:1" x14ac:dyDescent="0.25">
      <c r="A2464" t="s">
        <v>8112</v>
      </c>
    </row>
    <row r="2465" spans="1:1" x14ac:dyDescent="0.25">
      <c r="A2465" t="s">
        <v>12699</v>
      </c>
    </row>
    <row r="2466" spans="1:1" x14ac:dyDescent="0.25">
      <c r="A2466" t="s">
        <v>12700</v>
      </c>
    </row>
    <row r="2467" spans="1:1" x14ac:dyDescent="0.25">
      <c r="A2467" t="s">
        <v>12701</v>
      </c>
    </row>
    <row r="2468" spans="1:1" x14ac:dyDescent="0.25">
      <c r="A2468" t="s">
        <v>12702</v>
      </c>
    </row>
    <row r="2469" spans="1:1" x14ac:dyDescent="0.25">
      <c r="A2469" t="s">
        <v>12703</v>
      </c>
    </row>
    <row r="2470" spans="1:1" x14ac:dyDescent="0.25">
      <c r="A2470" t="s">
        <v>12704</v>
      </c>
    </row>
    <row r="2471" spans="1:1" x14ac:dyDescent="0.25">
      <c r="A2471" t="s">
        <v>12705</v>
      </c>
    </row>
    <row r="2472" spans="1:1" x14ac:dyDescent="0.25">
      <c r="A2472" t="s">
        <v>12706</v>
      </c>
    </row>
    <row r="2473" spans="1:1" x14ac:dyDescent="0.25">
      <c r="A2473" t="s">
        <v>12707</v>
      </c>
    </row>
    <row r="2474" spans="1:1" x14ac:dyDescent="0.25">
      <c r="A2474" t="s">
        <v>12708</v>
      </c>
    </row>
    <row r="2475" spans="1:1" x14ac:dyDescent="0.25">
      <c r="A2475" t="s">
        <v>12709</v>
      </c>
    </row>
    <row r="2476" spans="1:1" x14ac:dyDescent="0.25">
      <c r="A2476" t="s">
        <v>12710</v>
      </c>
    </row>
    <row r="2477" spans="1:1" x14ac:dyDescent="0.25">
      <c r="A2477" t="s">
        <v>12711</v>
      </c>
    </row>
    <row r="2478" spans="1:1" x14ac:dyDescent="0.25">
      <c r="A2478" t="s">
        <v>12712</v>
      </c>
    </row>
    <row r="2479" spans="1:1" x14ac:dyDescent="0.25">
      <c r="A2479" t="s">
        <v>12713</v>
      </c>
    </row>
    <row r="2480" spans="1:1" x14ac:dyDescent="0.25">
      <c r="A2480" t="s">
        <v>12714</v>
      </c>
    </row>
    <row r="2481" spans="1:1" x14ac:dyDescent="0.25">
      <c r="A2481" t="s">
        <v>12715</v>
      </c>
    </row>
    <row r="2482" spans="1:1" x14ac:dyDescent="0.25">
      <c r="A2482" t="s">
        <v>12716</v>
      </c>
    </row>
    <row r="2483" spans="1:1" x14ac:dyDescent="0.25">
      <c r="A2483" t="s">
        <v>12717</v>
      </c>
    </row>
    <row r="2484" spans="1:1" x14ac:dyDescent="0.25">
      <c r="A2484" t="s">
        <v>12718</v>
      </c>
    </row>
    <row r="2485" spans="1:1" x14ac:dyDescent="0.25">
      <c r="A2485" t="s">
        <v>12719</v>
      </c>
    </row>
    <row r="2486" spans="1:1" x14ac:dyDescent="0.25">
      <c r="A2486" t="s">
        <v>12720</v>
      </c>
    </row>
    <row r="2487" spans="1:1" x14ac:dyDescent="0.25">
      <c r="A2487" t="s">
        <v>12721</v>
      </c>
    </row>
    <row r="2488" spans="1:1" x14ac:dyDescent="0.25">
      <c r="A2488" t="s">
        <v>12722</v>
      </c>
    </row>
    <row r="2489" spans="1:1" x14ac:dyDescent="0.25">
      <c r="A2489" t="s">
        <v>12723</v>
      </c>
    </row>
    <row r="2490" spans="1:1" x14ac:dyDescent="0.25">
      <c r="A2490" t="s">
        <v>10800</v>
      </c>
    </row>
    <row r="2491" spans="1:1" x14ac:dyDescent="0.25">
      <c r="A2491" t="s">
        <v>9524</v>
      </c>
    </row>
    <row r="2492" spans="1:1" x14ac:dyDescent="0.25">
      <c r="A2492" t="s">
        <v>12724</v>
      </c>
    </row>
    <row r="2493" spans="1:1" x14ac:dyDescent="0.25">
      <c r="A2493" t="s">
        <v>12725</v>
      </c>
    </row>
    <row r="2494" spans="1:1" x14ac:dyDescent="0.25">
      <c r="A2494" t="s">
        <v>12726</v>
      </c>
    </row>
    <row r="2495" spans="1:1" x14ac:dyDescent="0.25">
      <c r="A2495" t="s">
        <v>12727</v>
      </c>
    </row>
    <row r="2496" spans="1:1" x14ac:dyDescent="0.25">
      <c r="A2496" t="s">
        <v>12728</v>
      </c>
    </row>
    <row r="2497" spans="1:1" x14ac:dyDescent="0.25">
      <c r="A2497" t="s">
        <v>12729</v>
      </c>
    </row>
    <row r="2498" spans="1:1" x14ac:dyDescent="0.25">
      <c r="A2498" t="s">
        <v>12730</v>
      </c>
    </row>
    <row r="2499" spans="1:1" x14ac:dyDescent="0.25">
      <c r="A2499" t="s">
        <v>12731</v>
      </c>
    </row>
    <row r="2500" spans="1:1" x14ac:dyDescent="0.25">
      <c r="A2500" t="s">
        <v>12732</v>
      </c>
    </row>
    <row r="2501" spans="1:1" x14ac:dyDescent="0.25">
      <c r="A2501" t="s">
        <v>12733</v>
      </c>
    </row>
    <row r="2502" spans="1:1" x14ac:dyDescent="0.25">
      <c r="A2502" t="s">
        <v>12734</v>
      </c>
    </row>
    <row r="2503" spans="1:1" x14ac:dyDescent="0.25">
      <c r="A2503" t="s">
        <v>12735</v>
      </c>
    </row>
    <row r="2504" spans="1:1" x14ac:dyDescent="0.25">
      <c r="A2504" t="s">
        <v>8651</v>
      </c>
    </row>
    <row r="2505" spans="1:1" x14ac:dyDescent="0.25">
      <c r="A2505" t="s">
        <v>12736</v>
      </c>
    </row>
    <row r="2506" spans="1:1" x14ac:dyDescent="0.25">
      <c r="A2506" t="s">
        <v>12737</v>
      </c>
    </row>
    <row r="2507" spans="1:1" x14ac:dyDescent="0.25">
      <c r="A2507" t="s">
        <v>12738</v>
      </c>
    </row>
    <row r="2508" spans="1:1" x14ac:dyDescent="0.25">
      <c r="A2508" t="s">
        <v>12739</v>
      </c>
    </row>
    <row r="2509" spans="1:1" x14ac:dyDescent="0.25">
      <c r="A2509" t="s">
        <v>12740</v>
      </c>
    </row>
    <row r="2510" spans="1:1" x14ac:dyDescent="0.25">
      <c r="A2510" t="s">
        <v>12741</v>
      </c>
    </row>
    <row r="2511" spans="1:1" x14ac:dyDescent="0.25">
      <c r="A2511" t="s">
        <v>12742</v>
      </c>
    </row>
    <row r="2512" spans="1:1" x14ac:dyDescent="0.25">
      <c r="A2512" t="s">
        <v>12743</v>
      </c>
    </row>
    <row r="2513" spans="1:1" x14ac:dyDescent="0.25">
      <c r="A2513" t="s">
        <v>12744</v>
      </c>
    </row>
    <row r="2514" spans="1:1" x14ac:dyDescent="0.25">
      <c r="A2514" t="s">
        <v>12745</v>
      </c>
    </row>
    <row r="2515" spans="1:1" x14ac:dyDescent="0.25">
      <c r="A2515" t="s">
        <v>12746</v>
      </c>
    </row>
    <row r="2516" spans="1:1" x14ac:dyDescent="0.25">
      <c r="A2516" t="s">
        <v>12747</v>
      </c>
    </row>
    <row r="2517" spans="1:1" x14ac:dyDescent="0.25">
      <c r="A2517" t="s">
        <v>12748</v>
      </c>
    </row>
    <row r="2518" spans="1:1" x14ac:dyDescent="0.25">
      <c r="A2518" t="s">
        <v>12749</v>
      </c>
    </row>
    <row r="2519" spans="1:1" x14ac:dyDescent="0.25">
      <c r="A2519" t="s">
        <v>12750</v>
      </c>
    </row>
    <row r="2520" spans="1:1" x14ac:dyDescent="0.25">
      <c r="A2520" t="s">
        <v>12751</v>
      </c>
    </row>
    <row r="2521" spans="1:1" x14ac:dyDescent="0.25">
      <c r="A2521" t="s">
        <v>12752</v>
      </c>
    </row>
    <row r="2522" spans="1:1" x14ac:dyDescent="0.25">
      <c r="A2522" t="s">
        <v>12753</v>
      </c>
    </row>
    <row r="2523" spans="1:1" x14ac:dyDescent="0.25">
      <c r="A2523" t="s">
        <v>12754</v>
      </c>
    </row>
    <row r="2524" spans="1:1" x14ac:dyDescent="0.25">
      <c r="A2524" t="s">
        <v>12755</v>
      </c>
    </row>
    <row r="2525" spans="1:1" x14ac:dyDescent="0.25">
      <c r="A2525" t="s">
        <v>9761</v>
      </c>
    </row>
    <row r="2526" spans="1:1" x14ac:dyDescent="0.25">
      <c r="A2526" t="s">
        <v>12756</v>
      </c>
    </row>
    <row r="2527" spans="1:1" x14ac:dyDescent="0.25">
      <c r="A2527" t="s">
        <v>12757</v>
      </c>
    </row>
    <row r="2528" spans="1:1" x14ac:dyDescent="0.25">
      <c r="A2528" t="s">
        <v>12758</v>
      </c>
    </row>
    <row r="2529" spans="1:1" x14ac:dyDescent="0.25">
      <c r="A2529" t="s">
        <v>12759</v>
      </c>
    </row>
    <row r="2530" spans="1:1" x14ac:dyDescent="0.25">
      <c r="A2530" t="s">
        <v>12760</v>
      </c>
    </row>
    <row r="2531" spans="1:1" x14ac:dyDescent="0.25">
      <c r="A2531" t="s">
        <v>12761</v>
      </c>
    </row>
    <row r="2532" spans="1:1" x14ac:dyDescent="0.25">
      <c r="A2532" t="s">
        <v>12762</v>
      </c>
    </row>
    <row r="2533" spans="1:1" x14ac:dyDescent="0.25">
      <c r="A2533" t="s">
        <v>12763</v>
      </c>
    </row>
    <row r="2534" spans="1:1" x14ac:dyDescent="0.25">
      <c r="A2534" t="s">
        <v>12764</v>
      </c>
    </row>
    <row r="2535" spans="1:1" x14ac:dyDescent="0.25">
      <c r="A2535" t="s">
        <v>12765</v>
      </c>
    </row>
    <row r="2536" spans="1:1" x14ac:dyDescent="0.25">
      <c r="A2536" t="s">
        <v>12766</v>
      </c>
    </row>
    <row r="2537" spans="1:1" x14ac:dyDescent="0.25">
      <c r="A2537" t="s">
        <v>12767</v>
      </c>
    </row>
    <row r="2538" spans="1:1" x14ac:dyDescent="0.25">
      <c r="A2538" t="s">
        <v>12768</v>
      </c>
    </row>
    <row r="2539" spans="1:1" x14ac:dyDescent="0.25">
      <c r="A2539" t="s">
        <v>12769</v>
      </c>
    </row>
    <row r="2540" spans="1:1" x14ac:dyDescent="0.25">
      <c r="A2540" t="s">
        <v>12770</v>
      </c>
    </row>
    <row r="2541" spans="1:1" x14ac:dyDescent="0.25">
      <c r="A2541" t="s">
        <v>12771</v>
      </c>
    </row>
    <row r="2542" spans="1:1" x14ac:dyDescent="0.25">
      <c r="A2542" t="s">
        <v>12772</v>
      </c>
    </row>
    <row r="2543" spans="1:1" x14ac:dyDescent="0.25">
      <c r="A2543" t="s">
        <v>12773</v>
      </c>
    </row>
    <row r="2544" spans="1:1" x14ac:dyDescent="0.25">
      <c r="A2544" t="s">
        <v>12774</v>
      </c>
    </row>
    <row r="2545" spans="1:1" x14ac:dyDescent="0.25">
      <c r="A2545" t="s">
        <v>12775</v>
      </c>
    </row>
    <row r="2546" spans="1:1" x14ac:dyDescent="0.25">
      <c r="A2546" t="s">
        <v>12776</v>
      </c>
    </row>
    <row r="2547" spans="1:1" x14ac:dyDescent="0.25">
      <c r="A2547" t="s">
        <v>12777</v>
      </c>
    </row>
    <row r="2548" spans="1:1" x14ac:dyDescent="0.25">
      <c r="A2548" t="s">
        <v>12778</v>
      </c>
    </row>
    <row r="2549" spans="1:1" x14ac:dyDescent="0.25">
      <c r="A2549" t="s">
        <v>12779</v>
      </c>
    </row>
    <row r="2550" spans="1:1" x14ac:dyDescent="0.25">
      <c r="A2550" t="s">
        <v>12780</v>
      </c>
    </row>
    <row r="2551" spans="1:1" x14ac:dyDescent="0.25">
      <c r="A2551" t="s">
        <v>12781</v>
      </c>
    </row>
    <row r="2552" spans="1:1" x14ac:dyDescent="0.25">
      <c r="A2552" t="s">
        <v>12782</v>
      </c>
    </row>
    <row r="2553" spans="1:1" x14ac:dyDescent="0.25">
      <c r="A2553" t="s">
        <v>12783</v>
      </c>
    </row>
    <row r="2554" spans="1:1" x14ac:dyDescent="0.25">
      <c r="A2554" t="s">
        <v>12784</v>
      </c>
    </row>
    <row r="2555" spans="1:1" x14ac:dyDescent="0.25">
      <c r="A2555" t="s">
        <v>12785</v>
      </c>
    </row>
    <row r="2556" spans="1:1" x14ac:dyDescent="0.25">
      <c r="A2556" t="s">
        <v>12786</v>
      </c>
    </row>
    <row r="2557" spans="1:1" x14ac:dyDescent="0.25">
      <c r="A2557" t="s">
        <v>12787</v>
      </c>
    </row>
    <row r="2558" spans="1:1" x14ac:dyDescent="0.25">
      <c r="A2558" t="s">
        <v>12788</v>
      </c>
    </row>
    <row r="2559" spans="1:1" x14ac:dyDescent="0.25">
      <c r="A2559" t="s">
        <v>12789</v>
      </c>
    </row>
    <row r="2560" spans="1:1" x14ac:dyDescent="0.25">
      <c r="A2560" t="s">
        <v>12790</v>
      </c>
    </row>
    <row r="2561" spans="1:1" x14ac:dyDescent="0.25">
      <c r="A2561" t="s">
        <v>12791</v>
      </c>
    </row>
    <row r="2562" spans="1:1" x14ac:dyDescent="0.25">
      <c r="A2562" t="s">
        <v>12792</v>
      </c>
    </row>
    <row r="2563" spans="1:1" x14ac:dyDescent="0.25">
      <c r="A2563" t="s">
        <v>9763</v>
      </c>
    </row>
    <row r="2564" spans="1:1" x14ac:dyDescent="0.25">
      <c r="A2564" t="s">
        <v>12793</v>
      </c>
    </row>
    <row r="2565" spans="1:1" x14ac:dyDescent="0.25">
      <c r="A2565" t="s">
        <v>8771</v>
      </c>
    </row>
    <row r="2566" spans="1:1" x14ac:dyDescent="0.25">
      <c r="A2566" t="s">
        <v>12794</v>
      </c>
    </row>
    <row r="2567" spans="1:1" x14ac:dyDescent="0.25">
      <c r="A2567" t="s">
        <v>12795</v>
      </c>
    </row>
    <row r="2568" spans="1:1" x14ac:dyDescent="0.25">
      <c r="A2568" t="s">
        <v>12796</v>
      </c>
    </row>
    <row r="2569" spans="1:1" x14ac:dyDescent="0.25">
      <c r="A2569" t="s">
        <v>12797</v>
      </c>
    </row>
    <row r="2570" spans="1:1" x14ac:dyDescent="0.25">
      <c r="A2570" t="s">
        <v>12798</v>
      </c>
    </row>
    <row r="2571" spans="1:1" x14ac:dyDescent="0.25">
      <c r="A2571" t="s">
        <v>9881</v>
      </c>
    </row>
    <row r="2572" spans="1:1" x14ac:dyDescent="0.25">
      <c r="A2572" t="s">
        <v>12799</v>
      </c>
    </row>
    <row r="2573" spans="1:1" x14ac:dyDescent="0.25">
      <c r="A2573" t="s">
        <v>12800</v>
      </c>
    </row>
    <row r="2574" spans="1:1" x14ac:dyDescent="0.25">
      <c r="A2574" t="s">
        <v>9536</v>
      </c>
    </row>
    <row r="2575" spans="1:1" x14ac:dyDescent="0.25">
      <c r="A2575" t="s">
        <v>12801</v>
      </c>
    </row>
    <row r="2576" spans="1:1" x14ac:dyDescent="0.25">
      <c r="A2576" t="s">
        <v>12802</v>
      </c>
    </row>
    <row r="2577" spans="1:1" x14ac:dyDescent="0.25">
      <c r="A2577" t="s">
        <v>12803</v>
      </c>
    </row>
    <row r="2578" spans="1:1" x14ac:dyDescent="0.25">
      <c r="A2578" t="s">
        <v>12804</v>
      </c>
    </row>
    <row r="2579" spans="1:1" x14ac:dyDescent="0.25">
      <c r="A2579" t="s">
        <v>12805</v>
      </c>
    </row>
    <row r="2580" spans="1:1" x14ac:dyDescent="0.25">
      <c r="A2580" t="s">
        <v>8772</v>
      </c>
    </row>
    <row r="2581" spans="1:1" x14ac:dyDescent="0.25">
      <c r="A2581" t="s">
        <v>8774</v>
      </c>
    </row>
    <row r="2582" spans="1:1" x14ac:dyDescent="0.25">
      <c r="A2582" t="s">
        <v>12806</v>
      </c>
    </row>
    <row r="2583" spans="1:1" x14ac:dyDescent="0.25">
      <c r="A2583" t="s">
        <v>12807</v>
      </c>
    </row>
    <row r="2584" spans="1:1" x14ac:dyDescent="0.25">
      <c r="A2584" t="s">
        <v>12808</v>
      </c>
    </row>
    <row r="2585" spans="1:1" x14ac:dyDescent="0.25">
      <c r="A2585" t="s">
        <v>12809</v>
      </c>
    </row>
    <row r="2586" spans="1:1" x14ac:dyDescent="0.25">
      <c r="A2586" t="s">
        <v>12810</v>
      </c>
    </row>
    <row r="2587" spans="1:1" x14ac:dyDescent="0.25">
      <c r="A2587" t="s">
        <v>12811</v>
      </c>
    </row>
    <row r="2588" spans="1:1" x14ac:dyDescent="0.25">
      <c r="A2588" t="s">
        <v>8663</v>
      </c>
    </row>
    <row r="2589" spans="1:1" x14ac:dyDescent="0.25">
      <c r="A2589" t="s">
        <v>12812</v>
      </c>
    </row>
    <row r="2590" spans="1:1" x14ac:dyDescent="0.25">
      <c r="A2590" t="s">
        <v>12813</v>
      </c>
    </row>
    <row r="2591" spans="1:1" x14ac:dyDescent="0.25">
      <c r="A2591" t="s">
        <v>12814</v>
      </c>
    </row>
    <row r="2592" spans="1:1" x14ac:dyDescent="0.25">
      <c r="A2592" t="s">
        <v>12815</v>
      </c>
    </row>
    <row r="2593" spans="1:1" x14ac:dyDescent="0.25">
      <c r="A2593" t="s">
        <v>12816</v>
      </c>
    </row>
    <row r="2594" spans="1:1" x14ac:dyDescent="0.25">
      <c r="A2594" t="s">
        <v>12817</v>
      </c>
    </row>
    <row r="2595" spans="1:1" x14ac:dyDescent="0.25">
      <c r="A2595" t="s">
        <v>12818</v>
      </c>
    </row>
    <row r="2596" spans="1:1" x14ac:dyDescent="0.25">
      <c r="A2596" t="s">
        <v>12819</v>
      </c>
    </row>
    <row r="2597" spans="1:1" x14ac:dyDescent="0.25">
      <c r="A2597" t="s">
        <v>12820</v>
      </c>
    </row>
    <row r="2598" spans="1:1" x14ac:dyDescent="0.25">
      <c r="A2598" t="s">
        <v>12821</v>
      </c>
    </row>
    <row r="2599" spans="1:1" x14ac:dyDescent="0.25">
      <c r="A2599" t="s">
        <v>12822</v>
      </c>
    </row>
    <row r="2600" spans="1:1" x14ac:dyDescent="0.25">
      <c r="A2600" t="s">
        <v>8776</v>
      </c>
    </row>
    <row r="2601" spans="1:1" x14ac:dyDescent="0.25">
      <c r="A2601" t="s">
        <v>12823</v>
      </c>
    </row>
    <row r="2602" spans="1:1" x14ac:dyDescent="0.25">
      <c r="A2602" t="s">
        <v>12824</v>
      </c>
    </row>
    <row r="2603" spans="1:1" x14ac:dyDescent="0.25">
      <c r="A2603" t="s">
        <v>12825</v>
      </c>
    </row>
    <row r="2604" spans="1:1" x14ac:dyDescent="0.25">
      <c r="A2604" t="s">
        <v>12826</v>
      </c>
    </row>
    <row r="2605" spans="1:1" x14ac:dyDescent="0.25">
      <c r="A2605" t="s">
        <v>12827</v>
      </c>
    </row>
    <row r="2606" spans="1:1" x14ac:dyDescent="0.25">
      <c r="A2606" t="s">
        <v>12828</v>
      </c>
    </row>
    <row r="2607" spans="1:1" x14ac:dyDescent="0.25">
      <c r="A2607" t="s">
        <v>12829</v>
      </c>
    </row>
    <row r="2608" spans="1:1" x14ac:dyDescent="0.25">
      <c r="A2608" t="s">
        <v>12830</v>
      </c>
    </row>
    <row r="2609" spans="1:1" x14ac:dyDescent="0.25">
      <c r="A2609" t="s">
        <v>8669</v>
      </c>
    </row>
    <row r="2610" spans="1:1" x14ac:dyDescent="0.25">
      <c r="A2610" t="s">
        <v>9543</v>
      </c>
    </row>
    <row r="2611" spans="1:1" x14ac:dyDescent="0.25">
      <c r="A2611" t="s">
        <v>12831</v>
      </c>
    </row>
    <row r="2612" spans="1:1" x14ac:dyDescent="0.25">
      <c r="A2612" t="s">
        <v>12832</v>
      </c>
    </row>
    <row r="2613" spans="1:1" x14ac:dyDescent="0.25">
      <c r="A2613" t="s">
        <v>12833</v>
      </c>
    </row>
    <row r="2614" spans="1:1" x14ac:dyDescent="0.25">
      <c r="A2614" t="s">
        <v>12834</v>
      </c>
    </row>
    <row r="2615" spans="1:1" x14ac:dyDescent="0.25">
      <c r="A2615" t="s">
        <v>12835</v>
      </c>
    </row>
    <row r="2616" spans="1:1" x14ac:dyDescent="0.25">
      <c r="A2616" t="s">
        <v>9545</v>
      </c>
    </row>
    <row r="2617" spans="1:1" x14ac:dyDescent="0.25">
      <c r="A2617" t="s">
        <v>12836</v>
      </c>
    </row>
    <row r="2618" spans="1:1" x14ac:dyDescent="0.25">
      <c r="A2618" t="s">
        <v>12837</v>
      </c>
    </row>
    <row r="2619" spans="1:1" x14ac:dyDescent="0.25">
      <c r="A2619" t="s">
        <v>12838</v>
      </c>
    </row>
    <row r="2620" spans="1:1" x14ac:dyDescent="0.25">
      <c r="A2620" t="s">
        <v>12839</v>
      </c>
    </row>
    <row r="2621" spans="1:1" x14ac:dyDescent="0.25">
      <c r="A2621" t="s">
        <v>12840</v>
      </c>
    </row>
    <row r="2622" spans="1:1" x14ac:dyDescent="0.25">
      <c r="A2622" t="s">
        <v>12841</v>
      </c>
    </row>
    <row r="2623" spans="1:1" x14ac:dyDescent="0.25">
      <c r="A2623" t="s">
        <v>12842</v>
      </c>
    </row>
    <row r="2624" spans="1:1" x14ac:dyDescent="0.25">
      <c r="A2624" t="s">
        <v>12843</v>
      </c>
    </row>
    <row r="2625" spans="1:1" x14ac:dyDescent="0.25">
      <c r="A2625" t="s">
        <v>12844</v>
      </c>
    </row>
    <row r="2626" spans="1:1" x14ac:dyDescent="0.25">
      <c r="A2626" t="s">
        <v>12845</v>
      </c>
    </row>
    <row r="2627" spans="1:1" x14ac:dyDescent="0.25">
      <c r="A2627" t="s">
        <v>12846</v>
      </c>
    </row>
    <row r="2628" spans="1:1" x14ac:dyDescent="0.25">
      <c r="A2628" t="s">
        <v>12847</v>
      </c>
    </row>
    <row r="2629" spans="1:1" x14ac:dyDescent="0.25">
      <c r="A2629" t="s">
        <v>12848</v>
      </c>
    </row>
    <row r="2630" spans="1:1" x14ac:dyDescent="0.25">
      <c r="A2630" t="s">
        <v>12849</v>
      </c>
    </row>
    <row r="2631" spans="1:1" x14ac:dyDescent="0.25">
      <c r="A2631" t="s">
        <v>12850</v>
      </c>
    </row>
    <row r="2632" spans="1:1" x14ac:dyDescent="0.25">
      <c r="A2632" t="s">
        <v>12851</v>
      </c>
    </row>
    <row r="2633" spans="1:1" x14ac:dyDescent="0.25">
      <c r="A2633" t="s">
        <v>12852</v>
      </c>
    </row>
    <row r="2634" spans="1:1" x14ac:dyDescent="0.25">
      <c r="A2634" t="s">
        <v>12853</v>
      </c>
    </row>
    <row r="2635" spans="1:1" x14ac:dyDescent="0.25">
      <c r="A2635" t="s">
        <v>12854</v>
      </c>
    </row>
    <row r="2636" spans="1:1" x14ac:dyDescent="0.25">
      <c r="A2636" t="s">
        <v>12855</v>
      </c>
    </row>
    <row r="2637" spans="1:1" x14ac:dyDescent="0.25">
      <c r="A2637" t="s">
        <v>12856</v>
      </c>
    </row>
    <row r="2638" spans="1:1" x14ac:dyDescent="0.25">
      <c r="A2638" t="s">
        <v>12857</v>
      </c>
    </row>
    <row r="2639" spans="1:1" x14ac:dyDescent="0.25">
      <c r="A2639" t="s">
        <v>12858</v>
      </c>
    </row>
    <row r="2640" spans="1:1" x14ac:dyDescent="0.25">
      <c r="A2640" t="s">
        <v>12859</v>
      </c>
    </row>
    <row r="2641" spans="1:1" x14ac:dyDescent="0.25">
      <c r="A2641" t="s">
        <v>8830</v>
      </c>
    </row>
    <row r="2642" spans="1:1" x14ac:dyDescent="0.25">
      <c r="A2642" t="s">
        <v>12860</v>
      </c>
    </row>
    <row r="2643" spans="1:1" x14ac:dyDescent="0.25">
      <c r="A2643" t="s">
        <v>12861</v>
      </c>
    </row>
    <row r="2644" spans="1:1" x14ac:dyDescent="0.25">
      <c r="A2644" t="s">
        <v>12862</v>
      </c>
    </row>
    <row r="2645" spans="1:1" x14ac:dyDescent="0.25">
      <c r="A2645" t="s">
        <v>12863</v>
      </c>
    </row>
    <row r="2646" spans="1:1" x14ac:dyDescent="0.25">
      <c r="A2646" t="s">
        <v>12864</v>
      </c>
    </row>
    <row r="2647" spans="1:1" x14ac:dyDescent="0.25">
      <c r="A2647" t="s">
        <v>12865</v>
      </c>
    </row>
    <row r="2648" spans="1:1" x14ac:dyDescent="0.25">
      <c r="A2648" t="s">
        <v>12866</v>
      </c>
    </row>
    <row r="2649" spans="1:1" x14ac:dyDescent="0.25">
      <c r="A2649" t="s">
        <v>12867</v>
      </c>
    </row>
    <row r="2650" spans="1:1" x14ac:dyDescent="0.25">
      <c r="A2650" t="s">
        <v>12868</v>
      </c>
    </row>
    <row r="2651" spans="1:1" x14ac:dyDescent="0.25">
      <c r="A2651" t="s">
        <v>12869</v>
      </c>
    </row>
    <row r="2652" spans="1:1" x14ac:dyDescent="0.25">
      <c r="A2652" t="s">
        <v>9675</v>
      </c>
    </row>
    <row r="2653" spans="1:1" x14ac:dyDescent="0.25">
      <c r="A2653" t="s">
        <v>12870</v>
      </c>
    </row>
    <row r="2654" spans="1:1" x14ac:dyDescent="0.25">
      <c r="A2654" t="s">
        <v>12871</v>
      </c>
    </row>
    <row r="2655" spans="1:1" x14ac:dyDescent="0.25">
      <c r="A2655" t="s">
        <v>12872</v>
      </c>
    </row>
    <row r="2656" spans="1:1" x14ac:dyDescent="0.25">
      <c r="A2656" t="s">
        <v>12873</v>
      </c>
    </row>
    <row r="2657" spans="1:1" x14ac:dyDescent="0.25">
      <c r="A2657" t="s">
        <v>12874</v>
      </c>
    </row>
    <row r="2658" spans="1:1" x14ac:dyDescent="0.25">
      <c r="A2658" t="s">
        <v>12875</v>
      </c>
    </row>
    <row r="2659" spans="1:1" x14ac:dyDescent="0.25">
      <c r="A2659" t="s">
        <v>12876</v>
      </c>
    </row>
    <row r="2660" spans="1:1" x14ac:dyDescent="0.25">
      <c r="A2660" t="s">
        <v>12877</v>
      </c>
    </row>
    <row r="2661" spans="1:1" x14ac:dyDescent="0.25">
      <c r="A2661" t="s">
        <v>12878</v>
      </c>
    </row>
    <row r="2662" spans="1:1" x14ac:dyDescent="0.25">
      <c r="A2662" t="s">
        <v>12879</v>
      </c>
    </row>
    <row r="2663" spans="1:1" x14ac:dyDescent="0.25">
      <c r="A2663" t="s">
        <v>12880</v>
      </c>
    </row>
    <row r="2664" spans="1:1" x14ac:dyDescent="0.25">
      <c r="A2664" t="s">
        <v>12881</v>
      </c>
    </row>
    <row r="2665" spans="1:1" x14ac:dyDescent="0.25">
      <c r="A2665" t="s">
        <v>12882</v>
      </c>
    </row>
    <row r="2666" spans="1:1" x14ac:dyDescent="0.25">
      <c r="A2666" t="s">
        <v>12883</v>
      </c>
    </row>
    <row r="2667" spans="1:1" x14ac:dyDescent="0.25">
      <c r="A2667" t="s">
        <v>12884</v>
      </c>
    </row>
    <row r="2668" spans="1:1" x14ac:dyDescent="0.25">
      <c r="A2668" t="s">
        <v>12885</v>
      </c>
    </row>
    <row r="2669" spans="1:1" x14ac:dyDescent="0.25">
      <c r="A2669" t="s">
        <v>12886</v>
      </c>
    </row>
    <row r="2670" spans="1:1" x14ac:dyDescent="0.25">
      <c r="A2670" t="s">
        <v>10727</v>
      </c>
    </row>
    <row r="2671" spans="1:1" x14ac:dyDescent="0.25">
      <c r="A2671" t="s">
        <v>12887</v>
      </c>
    </row>
    <row r="2672" spans="1:1" x14ac:dyDescent="0.25">
      <c r="A2672" t="s">
        <v>12888</v>
      </c>
    </row>
    <row r="2673" spans="1:1" x14ac:dyDescent="0.25">
      <c r="A2673" t="s">
        <v>12889</v>
      </c>
    </row>
    <row r="2674" spans="1:1" x14ac:dyDescent="0.25">
      <c r="A2674" t="s">
        <v>12890</v>
      </c>
    </row>
    <row r="2675" spans="1:1" x14ac:dyDescent="0.25">
      <c r="A2675" t="s">
        <v>12891</v>
      </c>
    </row>
    <row r="2676" spans="1:1" x14ac:dyDescent="0.25">
      <c r="A2676" t="s">
        <v>12892</v>
      </c>
    </row>
    <row r="2677" spans="1:1" x14ac:dyDescent="0.25">
      <c r="A2677" t="s">
        <v>12893</v>
      </c>
    </row>
    <row r="2678" spans="1:1" x14ac:dyDescent="0.25">
      <c r="A2678" t="s">
        <v>12894</v>
      </c>
    </row>
    <row r="2679" spans="1:1" x14ac:dyDescent="0.25">
      <c r="A2679" t="s">
        <v>12895</v>
      </c>
    </row>
    <row r="2680" spans="1:1" x14ac:dyDescent="0.25">
      <c r="A2680" t="s">
        <v>12896</v>
      </c>
    </row>
    <row r="2681" spans="1:1" x14ac:dyDescent="0.25">
      <c r="A2681" t="s">
        <v>12897</v>
      </c>
    </row>
    <row r="2682" spans="1:1" x14ac:dyDescent="0.25">
      <c r="A2682" t="s">
        <v>12898</v>
      </c>
    </row>
    <row r="2683" spans="1:1" x14ac:dyDescent="0.25">
      <c r="A2683" t="s">
        <v>12899</v>
      </c>
    </row>
    <row r="2684" spans="1:1" x14ac:dyDescent="0.25">
      <c r="A2684" t="s">
        <v>12900</v>
      </c>
    </row>
    <row r="2685" spans="1:1" x14ac:dyDescent="0.25">
      <c r="A2685" t="s">
        <v>12901</v>
      </c>
    </row>
    <row r="2686" spans="1:1" x14ac:dyDescent="0.25">
      <c r="A2686" t="s">
        <v>12902</v>
      </c>
    </row>
    <row r="2687" spans="1:1" x14ac:dyDescent="0.25">
      <c r="A2687" t="s">
        <v>12903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3.7109375" customWidth="1"/>
    <col min="3" max="3" width="14.85546875" customWidth="1"/>
    <col min="4" max="4" width="45.7109375" customWidth="1"/>
  </cols>
  <sheetData>
    <row r="1" spans="1:9" ht="20.25" x14ac:dyDescent="0.3">
      <c r="A1" s="12" t="s">
        <v>12904</v>
      </c>
    </row>
    <row r="2" spans="1:9" x14ac:dyDescent="0.25">
      <c r="A2" s="6" t="s">
        <v>12905</v>
      </c>
      <c r="B2" s="18">
        <f>152/6855</f>
        <v>2.2173595915390226E-2</v>
      </c>
      <c r="C2" t="s">
        <v>2</v>
      </c>
      <c r="D2">
        <v>110</v>
      </c>
    </row>
    <row r="3" spans="1:9" x14ac:dyDescent="0.25">
      <c r="A3" t="s">
        <v>6882</v>
      </c>
      <c r="C3" t="s">
        <v>4</v>
      </c>
      <c r="D3">
        <v>77079</v>
      </c>
    </row>
    <row r="4" spans="1:9" x14ac:dyDescent="0.25">
      <c r="A4" t="s">
        <v>6883</v>
      </c>
      <c r="C4" t="s">
        <v>6</v>
      </c>
      <c r="D4" t="s">
        <v>7</v>
      </c>
    </row>
    <row r="5" spans="1:9" x14ac:dyDescent="0.25">
      <c r="A5" t="s">
        <v>6940</v>
      </c>
      <c r="C5" t="s">
        <v>9</v>
      </c>
      <c r="D5" t="s">
        <v>10</v>
      </c>
    </row>
    <row r="6" spans="1:9" x14ac:dyDescent="0.25">
      <c r="A6" t="s">
        <v>6954</v>
      </c>
      <c r="C6" t="s">
        <v>12</v>
      </c>
      <c r="D6" t="s">
        <v>13</v>
      </c>
    </row>
    <row r="7" spans="1:9" x14ac:dyDescent="0.25">
      <c r="A7" t="s">
        <v>6956</v>
      </c>
      <c r="C7" t="s">
        <v>15</v>
      </c>
      <c r="D7" t="s">
        <v>16</v>
      </c>
    </row>
    <row r="8" spans="1:9" x14ac:dyDescent="0.25">
      <c r="A8" t="s">
        <v>6963</v>
      </c>
      <c r="C8" t="s">
        <v>18</v>
      </c>
      <c r="D8" t="s">
        <v>19</v>
      </c>
    </row>
    <row r="9" spans="1:9" x14ac:dyDescent="0.25">
      <c r="A9" t="s">
        <v>6968</v>
      </c>
      <c r="C9" t="s">
        <v>21</v>
      </c>
      <c r="D9">
        <v>3</v>
      </c>
    </row>
    <row r="10" spans="1:9" x14ac:dyDescent="0.25">
      <c r="A10" t="s">
        <v>6988</v>
      </c>
    </row>
    <row r="11" spans="1:9" x14ac:dyDescent="0.25">
      <c r="A11" t="s">
        <v>7051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8201</v>
      </c>
      <c r="C12" s="3" t="str">
        <f>HYPERLINK("http://amigo.geneontology.org/amigo/term/GO:0004867","GO:0004867")</f>
        <v>GO:0004867</v>
      </c>
      <c r="D12" t="s">
        <v>7084</v>
      </c>
      <c r="E12">
        <v>335</v>
      </c>
      <c r="F12">
        <v>9</v>
      </c>
      <c r="G12" s="4">
        <v>1.56988367957864E-9</v>
      </c>
      <c r="H12" s="4">
        <v>7.0880248132975896E-6</v>
      </c>
      <c r="I12" t="s">
        <v>12906</v>
      </c>
    </row>
    <row r="13" spans="1:9" x14ac:dyDescent="0.25">
      <c r="A13" t="s">
        <v>8937</v>
      </c>
      <c r="C13" s="3" t="str">
        <f>HYPERLINK("http://amigo.geneontology.org/amigo/term/GO:0016798","GO:0016798")</f>
        <v>GO:0016798</v>
      </c>
      <c r="D13" t="s">
        <v>177</v>
      </c>
      <c r="E13">
        <v>1691</v>
      </c>
      <c r="F13">
        <v>16</v>
      </c>
      <c r="G13" s="4">
        <v>2.7027613662048999E-9</v>
      </c>
      <c r="H13" s="4">
        <v>6.1001324035244703E-6</v>
      </c>
      <c r="I13" t="s">
        <v>12907</v>
      </c>
    </row>
    <row r="14" spans="1:9" x14ac:dyDescent="0.25">
      <c r="A14" t="s">
        <v>8939</v>
      </c>
      <c r="C14" s="3" t="str">
        <f>HYPERLINK("http://amigo.geneontology.org/amigo/term/GO:0004553","GO:0004553")</f>
        <v>GO:0004553</v>
      </c>
      <c r="D14" t="s">
        <v>174</v>
      </c>
      <c r="E14">
        <v>1509</v>
      </c>
      <c r="F14">
        <v>15</v>
      </c>
      <c r="G14" s="4">
        <v>4.5970001776060997E-9</v>
      </c>
      <c r="H14" s="4">
        <v>6.9184852672971899E-6</v>
      </c>
      <c r="I14" t="s">
        <v>12908</v>
      </c>
    </row>
    <row r="15" spans="1:9" x14ac:dyDescent="0.25">
      <c r="A15" t="s">
        <v>7072</v>
      </c>
      <c r="C15" s="3" t="str">
        <f>HYPERLINK("http://amigo.geneontology.org/amigo/term/GO:0061134","GO:0061134")</f>
        <v>GO:0061134</v>
      </c>
      <c r="D15" t="s">
        <v>7169</v>
      </c>
      <c r="E15">
        <v>445</v>
      </c>
      <c r="F15">
        <v>9</v>
      </c>
      <c r="G15" s="4">
        <v>1.8241070613740301E-8</v>
      </c>
      <c r="H15" s="4">
        <v>1.1765490545862501E-5</v>
      </c>
      <c r="I15" t="s">
        <v>12906</v>
      </c>
    </row>
    <row r="16" spans="1:9" x14ac:dyDescent="0.25">
      <c r="A16" t="s">
        <v>9569</v>
      </c>
      <c r="C16" s="3" t="str">
        <f>HYPERLINK("http://amigo.geneontology.org/amigo/term/GO:0030414","GO:0030414")</f>
        <v>GO:0030414</v>
      </c>
      <c r="D16" t="s">
        <v>7171</v>
      </c>
      <c r="E16">
        <v>445</v>
      </c>
      <c r="F16">
        <v>9</v>
      </c>
      <c r="G16" s="4">
        <v>1.8241070613740301E-8</v>
      </c>
      <c r="H16" s="4">
        <v>1.37172851015327E-5</v>
      </c>
      <c r="I16" t="s">
        <v>12906</v>
      </c>
    </row>
    <row r="17" spans="1:9" x14ac:dyDescent="0.25">
      <c r="A17" t="s">
        <v>12909</v>
      </c>
      <c r="C17" s="3" t="str">
        <f>HYPERLINK("http://amigo.geneontology.org/amigo/term/GO:0061135","GO:0061135")</f>
        <v>GO:0061135</v>
      </c>
      <c r="D17" t="s">
        <v>7173</v>
      </c>
      <c r="E17">
        <v>445</v>
      </c>
      <c r="F17">
        <v>9</v>
      </c>
      <c r="G17" s="4">
        <v>1.8241070613740301E-8</v>
      </c>
      <c r="H17" s="4">
        <v>1.6471686764207499E-5</v>
      </c>
      <c r="I17" t="s">
        <v>12906</v>
      </c>
    </row>
    <row r="18" spans="1:9" x14ac:dyDescent="0.25">
      <c r="A18" t="s">
        <v>7124</v>
      </c>
      <c r="C18" s="3" t="str">
        <f>HYPERLINK("http://amigo.geneontology.org/amigo/term/GO:0004866","GO:0004866")</f>
        <v>GO:0004866</v>
      </c>
      <c r="D18" t="s">
        <v>7175</v>
      </c>
      <c r="E18">
        <v>445</v>
      </c>
      <c r="F18">
        <v>9</v>
      </c>
      <c r="G18" s="4">
        <v>1.8241070613740301E-8</v>
      </c>
      <c r="H18" s="4">
        <v>2.0575927652299101E-5</v>
      </c>
      <c r="I18" t="s">
        <v>12906</v>
      </c>
    </row>
    <row r="19" spans="1:9" x14ac:dyDescent="0.25">
      <c r="A19" t="s">
        <v>12910</v>
      </c>
      <c r="C19" s="3" t="str">
        <f>HYPERLINK("http://amigo.geneontology.org/amigo/term/GO:0052547","GO:0052547")</f>
        <v>GO:0052547</v>
      </c>
      <c r="D19" t="s">
        <v>6982</v>
      </c>
      <c r="E19">
        <v>77</v>
      </c>
      <c r="F19">
        <v>5</v>
      </c>
      <c r="G19" s="4">
        <v>9.8300438977353705E-8</v>
      </c>
      <c r="H19" s="4">
        <v>4.0303179980715E-5</v>
      </c>
      <c r="I19" t="s">
        <v>12911</v>
      </c>
    </row>
    <row r="20" spans="1:9" x14ac:dyDescent="0.25">
      <c r="A20" t="s">
        <v>10055</v>
      </c>
      <c r="C20" s="3" t="str">
        <f>HYPERLINK("http://amigo.geneontology.org/amigo/term/GO:0010466","GO:0010466")</f>
        <v>GO:0010466</v>
      </c>
      <c r="D20" t="s">
        <v>6985</v>
      </c>
      <c r="E20">
        <v>77</v>
      </c>
      <c r="F20">
        <v>5</v>
      </c>
      <c r="G20" s="4">
        <v>9.8300438977353705E-8</v>
      </c>
      <c r="H20" s="4">
        <v>4.43334979787865E-5</v>
      </c>
      <c r="I20" t="s">
        <v>12911</v>
      </c>
    </row>
    <row r="21" spans="1:9" x14ac:dyDescent="0.25">
      <c r="A21" t="s">
        <v>7137</v>
      </c>
      <c r="C21" s="3" t="str">
        <f>HYPERLINK("http://amigo.geneontology.org/amigo/term/GO:0052548","GO:0052548")</f>
        <v>GO:0052548</v>
      </c>
      <c r="D21" t="s">
        <v>6987</v>
      </c>
      <c r="E21">
        <v>77</v>
      </c>
      <c r="F21">
        <v>5</v>
      </c>
      <c r="G21" s="4">
        <v>9.8300438977353705E-8</v>
      </c>
      <c r="H21" s="4">
        <v>4.92485199276542E-5</v>
      </c>
      <c r="I21" t="s">
        <v>12911</v>
      </c>
    </row>
    <row r="22" spans="1:9" x14ac:dyDescent="0.25">
      <c r="A22" t="s">
        <v>7140</v>
      </c>
      <c r="C22" s="3" t="str">
        <f>HYPERLINK("http://amigo.geneontology.org/amigo/term/GO:0010951","GO:0010951")</f>
        <v>GO:0010951</v>
      </c>
      <c r="D22" t="s">
        <v>6989</v>
      </c>
      <c r="E22">
        <v>77</v>
      </c>
      <c r="F22">
        <v>5</v>
      </c>
      <c r="G22" s="4">
        <v>9.8300438977353705E-8</v>
      </c>
      <c r="H22" s="4">
        <v>5.54414475832275E-5</v>
      </c>
      <c r="I22" t="s">
        <v>12911</v>
      </c>
    </row>
    <row r="23" spans="1:9" x14ac:dyDescent="0.25">
      <c r="A23" t="s">
        <v>7142</v>
      </c>
      <c r="C23" s="3" t="str">
        <f>HYPERLINK("http://amigo.geneontology.org/amigo/term/GO:0045861","GO:0045861")</f>
        <v>GO:0045861</v>
      </c>
      <c r="D23" t="s">
        <v>6994</v>
      </c>
      <c r="E23">
        <v>78</v>
      </c>
      <c r="F23">
        <v>5</v>
      </c>
      <c r="G23" s="4">
        <v>1.04914290384967E-7</v>
      </c>
      <c r="H23" s="4">
        <v>3.9447773184747703E-5</v>
      </c>
      <c r="I23" t="s">
        <v>12911</v>
      </c>
    </row>
    <row r="24" spans="1:9" x14ac:dyDescent="0.25">
      <c r="A24" t="s">
        <v>7144</v>
      </c>
      <c r="C24" s="3" t="str">
        <f>HYPERLINK("http://amigo.geneontology.org/amigo/term/GO:0030162","GO:0030162")</f>
        <v>GO:0030162</v>
      </c>
      <c r="D24" t="s">
        <v>7004</v>
      </c>
      <c r="E24">
        <v>82</v>
      </c>
      <c r="F24">
        <v>5</v>
      </c>
      <c r="G24" s="4">
        <v>1.3498428044351701E-7</v>
      </c>
      <c r="H24" s="4">
        <v>4.6839545313900701E-5</v>
      </c>
      <c r="I24" t="s">
        <v>12911</v>
      </c>
    </row>
    <row r="25" spans="1:9" x14ac:dyDescent="0.25">
      <c r="A25" t="s">
        <v>7155</v>
      </c>
      <c r="C25" s="3" t="str">
        <f>HYPERLINK("http://amigo.geneontology.org/amigo/term/GO:0004568","GO:0004568")</f>
        <v>GO:0004568</v>
      </c>
      <c r="D25" t="s">
        <v>6938</v>
      </c>
      <c r="E25">
        <v>84</v>
      </c>
      <c r="F25">
        <v>5</v>
      </c>
      <c r="G25" s="4">
        <v>1.5238207925864899E-7</v>
      </c>
      <c r="H25" s="4">
        <v>3.6114552784299902E-5</v>
      </c>
      <c r="I25" t="s">
        <v>12912</v>
      </c>
    </row>
    <row r="26" spans="1:9" x14ac:dyDescent="0.25">
      <c r="A26" t="s">
        <v>9003</v>
      </c>
      <c r="C26" s="3" t="str">
        <f>HYPERLINK("http://amigo.geneontology.org/amigo/term/GO:0006026","GO:0006026")</f>
        <v>GO:0006026</v>
      </c>
      <c r="D26" t="s">
        <v>6941</v>
      </c>
      <c r="E26">
        <v>84</v>
      </c>
      <c r="F26">
        <v>5</v>
      </c>
      <c r="G26" s="4">
        <v>1.5238207925864899E-7</v>
      </c>
      <c r="H26" s="4">
        <v>3.8095519814662397E-5</v>
      </c>
      <c r="I26" t="s">
        <v>12912</v>
      </c>
    </row>
    <row r="27" spans="1:9" x14ac:dyDescent="0.25">
      <c r="A27" t="s">
        <v>7160</v>
      </c>
      <c r="C27" s="3" t="str">
        <f>HYPERLINK("http://amigo.geneontology.org/amigo/term/GO:0006030","GO:0006030")</f>
        <v>GO:0006030</v>
      </c>
      <c r="D27" t="s">
        <v>6943</v>
      </c>
      <c r="E27">
        <v>84</v>
      </c>
      <c r="F27">
        <v>5</v>
      </c>
      <c r="G27" s="4">
        <v>1.5238207925864899E-7</v>
      </c>
      <c r="H27" s="4">
        <v>4.03812510035421E-5</v>
      </c>
      <c r="I27" t="s">
        <v>12912</v>
      </c>
    </row>
    <row r="28" spans="1:9" x14ac:dyDescent="0.25">
      <c r="A28" t="s">
        <v>10071</v>
      </c>
      <c r="C28" s="3" t="str">
        <f>HYPERLINK("http://amigo.geneontology.org/amigo/term/GO:0046348","GO:0046348")</f>
        <v>GO:0046348</v>
      </c>
      <c r="D28" t="s">
        <v>6945</v>
      </c>
      <c r="E28">
        <v>84</v>
      </c>
      <c r="F28">
        <v>5</v>
      </c>
      <c r="G28" s="4">
        <v>1.5238207925864899E-7</v>
      </c>
      <c r="H28" s="4">
        <v>4.2971746350939201E-5</v>
      </c>
      <c r="I28" t="s">
        <v>12912</v>
      </c>
    </row>
    <row r="29" spans="1:9" x14ac:dyDescent="0.25">
      <c r="A29" t="s">
        <v>7170</v>
      </c>
      <c r="C29" s="3" t="str">
        <f>HYPERLINK("http://amigo.geneontology.org/amigo/term/GO:1901072","GO:1901072")</f>
        <v>GO:1901072</v>
      </c>
      <c r="D29" t="s">
        <v>6947</v>
      </c>
      <c r="E29">
        <v>84</v>
      </c>
      <c r="F29">
        <v>5</v>
      </c>
      <c r="G29" s="4">
        <v>1.5238207925864899E-7</v>
      </c>
      <c r="H29" s="4">
        <v>4.5867005856853502E-5</v>
      </c>
      <c r="I29" t="s">
        <v>12912</v>
      </c>
    </row>
    <row r="30" spans="1:9" x14ac:dyDescent="0.25">
      <c r="A30" t="s">
        <v>7212</v>
      </c>
      <c r="C30" s="3" t="str">
        <f>HYPERLINK("http://amigo.geneontology.org/amigo/term/GO:0006032","GO:0006032")</f>
        <v>GO:0006032</v>
      </c>
      <c r="D30" t="s">
        <v>6949</v>
      </c>
      <c r="E30">
        <v>84</v>
      </c>
      <c r="F30">
        <v>5</v>
      </c>
      <c r="G30" s="4">
        <v>1.5238207925864899E-7</v>
      </c>
      <c r="H30" s="4">
        <v>4.90670295212852E-5</v>
      </c>
      <c r="I30" t="s">
        <v>12912</v>
      </c>
    </row>
    <row r="31" spans="1:9" x14ac:dyDescent="0.25">
      <c r="A31" t="s">
        <v>7214</v>
      </c>
      <c r="C31" s="3" t="str">
        <f>HYPERLINK("http://amigo.geneontology.org/amigo/term/GO:0016998","GO:0016998")</f>
        <v>GO:0016998</v>
      </c>
      <c r="D31" t="s">
        <v>6933</v>
      </c>
      <c r="E31">
        <v>86</v>
      </c>
      <c r="F31">
        <v>5</v>
      </c>
      <c r="G31" s="4">
        <v>1.7151074162135901E-7</v>
      </c>
      <c r="H31" s="4">
        <v>3.8589916864805797E-5</v>
      </c>
      <c r="I31" t="s">
        <v>12912</v>
      </c>
    </row>
    <row r="32" spans="1:9" x14ac:dyDescent="0.25">
      <c r="A32" t="s">
        <v>12913</v>
      </c>
      <c r="C32" s="3" t="str">
        <f>HYPERLINK("http://amigo.geneontology.org/amigo/term/GO:0051346","GO:0051346")</f>
        <v>GO:0051346</v>
      </c>
      <c r="D32" t="s">
        <v>7015</v>
      </c>
      <c r="E32">
        <v>87</v>
      </c>
      <c r="F32">
        <v>5</v>
      </c>
      <c r="G32" s="4">
        <v>1.8176249299827001E-7</v>
      </c>
      <c r="H32" s="4">
        <v>3.7261311064645499E-5</v>
      </c>
      <c r="I32" t="s">
        <v>12911</v>
      </c>
    </row>
    <row r="33" spans="1:9" x14ac:dyDescent="0.25">
      <c r="A33" t="s">
        <v>9119</v>
      </c>
      <c r="C33" s="3" t="str">
        <f>HYPERLINK("http://amigo.geneontology.org/amigo/term/GO:1901071","GO:1901071")</f>
        <v>GO:1901071</v>
      </c>
      <c r="D33" t="s">
        <v>6953</v>
      </c>
      <c r="E33">
        <v>87</v>
      </c>
      <c r="F33">
        <v>5</v>
      </c>
      <c r="G33" s="4">
        <v>1.8176249299827001E-7</v>
      </c>
      <c r="H33" s="4">
        <v>3.90789359946282E-5</v>
      </c>
      <c r="I33" t="s">
        <v>12912</v>
      </c>
    </row>
    <row r="34" spans="1:9" x14ac:dyDescent="0.25">
      <c r="A34" t="s">
        <v>12914</v>
      </c>
      <c r="C34" s="3" t="str">
        <f>HYPERLINK("http://amigo.geneontology.org/amigo/term/GO:0006040","GO:0006040")</f>
        <v>GO:0006040</v>
      </c>
      <c r="D34" t="s">
        <v>6955</v>
      </c>
      <c r="E34">
        <v>93</v>
      </c>
      <c r="F34">
        <v>5</v>
      </c>
      <c r="G34" s="4">
        <v>2.53922069964911E-7</v>
      </c>
      <c r="H34" s="4">
        <v>4.9768725713122702E-5</v>
      </c>
      <c r="I34" t="s">
        <v>12912</v>
      </c>
    </row>
    <row r="35" spans="1:9" x14ac:dyDescent="0.25">
      <c r="A35" t="s">
        <v>9792</v>
      </c>
      <c r="C35" s="3" t="str">
        <f>HYPERLINK("http://amigo.geneontology.org/amigo/term/GO:0006022","GO:0006022")</f>
        <v>GO:0006022</v>
      </c>
      <c r="D35" t="s">
        <v>6974</v>
      </c>
      <c r="E35">
        <v>101</v>
      </c>
      <c r="F35">
        <v>5</v>
      </c>
      <c r="G35" s="4">
        <v>3.8350534981928901E-7</v>
      </c>
      <c r="H35" s="4">
        <v>7.2099005766026303E-5</v>
      </c>
      <c r="I35" t="s">
        <v>12912</v>
      </c>
    </row>
    <row r="36" spans="1:9" x14ac:dyDescent="0.25">
      <c r="A36" t="s">
        <v>9794</v>
      </c>
      <c r="C36" s="3" t="str">
        <f>HYPERLINK("http://amigo.geneontology.org/amigo/term/GO:0051248","GO:0051248")</f>
        <v>GO:0051248</v>
      </c>
      <c r="D36" t="s">
        <v>6227</v>
      </c>
      <c r="E36">
        <v>228</v>
      </c>
      <c r="F36">
        <v>6</v>
      </c>
      <c r="G36" s="4">
        <v>1.03907981525974E-6</v>
      </c>
      <c r="H36" s="4">
        <v>1.7976080803993599E-4</v>
      </c>
      <c r="I36" t="s">
        <v>12915</v>
      </c>
    </row>
    <row r="37" spans="1:9" x14ac:dyDescent="0.25">
      <c r="A37" t="s">
        <v>9796</v>
      </c>
      <c r="C37" s="3" t="str">
        <f>HYPERLINK("http://amigo.geneontology.org/amigo/term/GO:0032269","GO:0032269")</f>
        <v>GO:0032269</v>
      </c>
      <c r="D37" t="s">
        <v>6230</v>
      </c>
      <c r="E37">
        <v>228</v>
      </c>
      <c r="F37">
        <v>6</v>
      </c>
      <c r="G37" s="4">
        <v>1.03907981525974E-6</v>
      </c>
      <c r="H37" s="4">
        <v>1.8703436674675399E-4</v>
      </c>
      <c r="I37" t="s">
        <v>12915</v>
      </c>
    </row>
    <row r="38" spans="1:9" x14ac:dyDescent="0.25">
      <c r="A38" t="s">
        <v>9799</v>
      </c>
      <c r="C38" s="3" t="str">
        <f>HYPERLINK("http://amigo.geneontology.org/amigo/term/GO:1901136","GO:1901136")</f>
        <v>GO:1901136</v>
      </c>
      <c r="D38" t="s">
        <v>6302</v>
      </c>
      <c r="E38">
        <v>132</v>
      </c>
      <c r="F38">
        <v>5</v>
      </c>
      <c r="G38" s="4">
        <v>1.4459371985234399E-6</v>
      </c>
      <c r="H38" s="4">
        <v>2.4147151215341399E-4</v>
      </c>
      <c r="I38" t="s">
        <v>12912</v>
      </c>
    </row>
    <row r="39" spans="1:9" x14ac:dyDescent="0.25">
      <c r="A39" t="s">
        <v>7376</v>
      </c>
      <c r="C39" s="3" t="str">
        <f>HYPERLINK("http://amigo.geneontology.org/amigo/term/GO:0016787","GO:0016787")</f>
        <v>GO:0016787</v>
      </c>
      <c r="D39" t="s">
        <v>98</v>
      </c>
      <c r="E39">
        <v>9814</v>
      </c>
      <c r="F39">
        <v>33</v>
      </c>
      <c r="G39" s="4">
        <v>1.4765959960721499E-6</v>
      </c>
      <c r="H39" s="4">
        <v>2.37731955367617E-4</v>
      </c>
      <c r="I39" t="s">
        <v>12916</v>
      </c>
    </row>
    <row r="40" spans="1:9" x14ac:dyDescent="0.25">
      <c r="A40" t="s">
        <v>7408</v>
      </c>
      <c r="C40" s="3" t="str">
        <f>HYPERLINK("http://amigo.geneontology.org/amigo/term/GO:0044036","GO:0044036")</f>
        <v>GO:0044036</v>
      </c>
      <c r="D40" t="s">
        <v>828</v>
      </c>
      <c r="E40">
        <v>388</v>
      </c>
      <c r="F40">
        <v>7</v>
      </c>
      <c r="G40" s="4">
        <v>1.5818060077721799E-6</v>
      </c>
      <c r="H40" s="4">
        <v>2.4517993120468898E-4</v>
      </c>
      <c r="I40" t="s">
        <v>12917</v>
      </c>
    </row>
    <row r="41" spans="1:9" x14ac:dyDescent="0.25">
      <c r="A41" t="s">
        <v>9809</v>
      </c>
      <c r="C41" s="3" t="str">
        <f>HYPERLINK("http://amigo.geneontology.org/amigo/term/GO:0004364","GO:0004364")</f>
        <v>GO:0004364</v>
      </c>
      <c r="D41" t="s">
        <v>7113</v>
      </c>
      <c r="E41">
        <v>17</v>
      </c>
      <c r="F41">
        <v>3</v>
      </c>
      <c r="G41" s="4">
        <v>1.8950871066502099E-6</v>
      </c>
      <c r="H41" s="4">
        <v>2.8426306599753202E-4</v>
      </c>
      <c r="I41" t="s">
        <v>12918</v>
      </c>
    </row>
    <row r="42" spans="1:9" x14ac:dyDescent="0.25">
      <c r="A42" t="s">
        <v>7474</v>
      </c>
      <c r="C42" s="3" t="str">
        <f>HYPERLINK("http://amigo.geneontology.org/amigo/term/GO:0051336","GO:0051336")</f>
        <v>GO:0051336</v>
      </c>
      <c r="D42" t="s">
        <v>7071</v>
      </c>
      <c r="E42">
        <v>148</v>
      </c>
      <c r="F42">
        <v>5</v>
      </c>
      <c r="G42" s="4">
        <v>2.5371943743562402E-6</v>
      </c>
      <c r="H42" s="4">
        <v>3.6789318428165498E-4</v>
      </c>
      <c r="I42" t="s">
        <v>12911</v>
      </c>
    </row>
    <row r="43" spans="1:9" x14ac:dyDescent="0.25">
      <c r="A43" t="s">
        <v>12919</v>
      </c>
      <c r="C43" s="3" t="str">
        <f>HYPERLINK("http://amigo.geneontology.org/amigo/term/GO:0070001","GO:0070001")</f>
        <v>GO:0070001</v>
      </c>
      <c r="D43" t="s">
        <v>6232</v>
      </c>
      <c r="E43">
        <v>442</v>
      </c>
      <c r="F43">
        <v>7</v>
      </c>
      <c r="G43" s="4">
        <v>3.72253896054439E-6</v>
      </c>
      <c r="H43" s="4">
        <v>5.0626529863403698E-4</v>
      </c>
      <c r="I43" t="s">
        <v>12920</v>
      </c>
    </row>
    <row r="44" spans="1:9" x14ac:dyDescent="0.25">
      <c r="A44" t="s">
        <v>12921</v>
      </c>
      <c r="C44" s="3" t="str">
        <f>HYPERLINK("http://amigo.geneontology.org/amigo/term/GO:0004190","GO:0004190")</f>
        <v>GO:0004190</v>
      </c>
      <c r="D44" t="s">
        <v>6234</v>
      </c>
      <c r="E44">
        <v>442</v>
      </c>
      <c r="F44">
        <v>7</v>
      </c>
      <c r="G44" s="4">
        <v>3.72253896054439E-6</v>
      </c>
      <c r="H44" s="4">
        <v>5.2487799343675905E-4</v>
      </c>
      <c r="I44" t="s">
        <v>12920</v>
      </c>
    </row>
    <row r="45" spans="1:9" x14ac:dyDescent="0.25">
      <c r="A45" t="s">
        <v>9244</v>
      </c>
      <c r="C45" s="3" t="str">
        <f>HYPERLINK("http://amigo.geneontology.org/amigo/term/GO:0004857","GO:0004857")</f>
        <v>GO:0004857</v>
      </c>
      <c r="D45" t="s">
        <v>347</v>
      </c>
      <c r="E45">
        <v>860</v>
      </c>
      <c r="F45">
        <v>9</v>
      </c>
      <c r="G45" s="4">
        <v>4.3738065004534801E-6</v>
      </c>
      <c r="H45" s="4">
        <v>5.7734245805985903E-4</v>
      </c>
      <c r="I45" t="s">
        <v>12906</v>
      </c>
    </row>
    <row r="46" spans="1:9" x14ac:dyDescent="0.25">
      <c r="A46" t="s">
        <v>12922</v>
      </c>
      <c r="C46" s="3" t="str">
        <f>HYPERLINK("http://amigo.geneontology.org/amigo/term/GO:0004175","GO:0004175")</f>
        <v>GO:0004175</v>
      </c>
      <c r="D46" t="s">
        <v>4314</v>
      </c>
      <c r="E46">
        <v>1198</v>
      </c>
      <c r="F46">
        <v>10</v>
      </c>
      <c r="G46" s="4">
        <v>9.1383138222217403E-6</v>
      </c>
      <c r="H46">
        <v>1.1788424830666E-3</v>
      </c>
      <c r="I46" t="s">
        <v>12923</v>
      </c>
    </row>
    <row r="47" spans="1:9" x14ac:dyDescent="0.25">
      <c r="A47" t="s">
        <v>7553</v>
      </c>
      <c r="C47" s="3" t="str">
        <f>HYPERLINK("http://amigo.geneontology.org/amigo/term/GO:0043086","GO:0043086")</f>
        <v>GO:0043086</v>
      </c>
      <c r="D47" t="s">
        <v>510</v>
      </c>
      <c r="E47">
        <v>209</v>
      </c>
      <c r="F47">
        <v>5</v>
      </c>
      <c r="G47" s="4">
        <v>1.3567976516708799E-5</v>
      </c>
      <c r="H47">
        <v>1.6959970645886099E-3</v>
      </c>
      <c r="I47" t="s">
        <v>12911</v>
      </c>
    </row>
    <row r="48" spans="1:9" x14ac:dyDescent="0.25">
      <c r="A48" t="s">
        <v>9261</v>
      </c>
      <c r="C48" s="3" t="str">
        <f>HYPERLINK("http://amigo.geneontology.org/amigo/term/GO:0016491","GO:0016491")</f>
        <v>GO:0016491</v>
      </c>
      <c r="D48" t="s">
        <v>315</v>
      </c>
      <c r="E48">
        <v>6975</v>
      </c>
      <c r="F48">
        <v>25</v>
      </c>
      <c r="G48" s="4">
        <v>1.35882265904199E-5</v>
      </c>
      <c r="H48">
        <v>1.6577636440312301E-3</v>
      </c>
      <c r="I48" t="s">
        <v>12924</v>
      </c>
    </row>
    <row r="49" spans="1:9" x14ac:dyDescent="0.25">
      <c r="A49" t="s">
        <v>7603</v>
      </c>
      <c r="C49" s="3" t="str">
        <f>HYPERLINK("http://amigo.geneontology.org/amigo/term/GO:0044092","GO:0044092")</f>
        <v>GO:0044092</v>
      </c>
      <c r="D49" t="s">
        <v>552</v>
      </c>
      <c r="E49">
        <v>221</v>
      </c>
      <c r="F49">
        <v>5</v>
      </c>
      <c r="G49" s="4">
        <v>1.77417782561137E-5</v>
      </c>
      <c r="H49">
        <v>2.0935298342214101E-3</v>
      </c>
      <c r="I49" t="s">
        <v>12911</v>
      </c>
    </row>
    <row r="50" spans="1:9" x14ac:dyDescent="0.25">
      <c r="A50" t="s">
        <v>12925</v>
      </c>
      <c r="C50" s="3" t="str">
        <f>HYPERLINK("http://amigo.geneontology.org/amigo/term/GO:0055114","GO:0055114")</f>
        <v>GO:0055114</v>
      </c>
      <c r="D50" t="s">
        <v>454</v>
      </c>
      <c r="E50">
        <v>6698</v>
      </c>
      <c r="F50">
        <v>24</v>
      </c>
      <c r="G50" s="4">
        <v>2.1145833758673801E-5</v>
      </c>
      <c r="H50">
        <v>2.4317708822474801E-3</v>
      </c>
      <c r="I50" t="s">
        <v>12926</v>
      </c>
    </row>
    <row r="51" spans="1:9" x14ac:dyDescent="0.25">
      <c r="A51" t="s">
        <v>8399</v>
      </c>
      <c r="C51" s="3" t="str">
        <f>HYPERLINK("http://amigo.geneontology.org/amigo/term/GO:0005975","GO:0005975")</f>
        <v>GO:0005975</v>
      </c>
      <c r="D51" t="s">
        <v>171</v>
      </c>
      <c r="E51">
        <v>2990</v>
      </c>
      <c r="F51">
        <v>15</v>
      </c>
      <c r="G51" s="4">
        <v>2.3828694207168099E-5</v>
      </c>
      <c r="H51">
        <v>2.6688137512028299E-3</v>
      </c>
      <c r="I51" t="s">
        <v>12927</v>
      </c>
    </row>
    <row r="52" spans="1:9" x14ac:dyDescent="0.25">
      <c r="A52" t="s">
        <v>7612</v>
      </c>
      <c r="C52" s="3" t="str">
        <f>HYPERLINK("http://amigo.geneontology.org/amigo/term/GO:0030234","GO:0030234")</f>
        <v>GO:0030234</v>
      </c>
      <c r="D52" t="s">
        <v>353</v>
      </c>
      <c r="E52">
        <v>1103</v>
      </c>
      <c r="F52">
        <v>9</v>
      </c>
      <c r="G52" s="4">
        <v>3.1132971399247098E-5</v>
      </c>
      <c r="H52">
        <v>3.4246268539171801E-3</v>
      </c>
      <c r="I52" t="s">
        <v>12906</v>
      </c>
    </row>
    <row r="53" spans="1:9" x14ac:dyDescent="0.25">
      <c r="A53" t="s">
        <v>10217</v>
      </c>
      <c r="C53" s="3" t="str">
        <f>HYPERLINK("http://amigo.geneontology.org/amigo/term/GO:0042737","GO:0042737")</f>
        <v>GO:0042737</v>
      </c>
      <c r="D53" t="s">
        <v>1072</v>
      </c>
      <c r="E53">
        <v>473</v>
      </c>
      <c r="F53">
        <v>6</v>
      </c>
      <c r="G53" s="4">
        <v>6.4660636666420004E-5</v>
      </c>
      <c r="H53">
        <v>6.9186881233069403E-3</v>
      </c>
      <c r="I53" t="s">
        <v>12928</v>
      </c>
    </row>
    <row r="54" spans="1:9" x14ac:dyDescent="0.25">
      <c r="A54" t="s">
        <v>12929</v>
      </c>
      <c r="C54" s="3" t="str">
        <f>HYPERLINK("http://amigo.geneontology.org/amigo/term/GO:0051172","GO:0051172")</f>
        <v>GO:0051172</v>
      </c>
      <c r="D54" t="s">
        <v>7163</v>
      </c>
      <c r="E54">
        <v>479</v>
      </c>
      <c r="F54">
        <v>6</v>
      </c>
      <c r="G54" s="4">
        <v>6.9289078745123507E-5</v>
      </c>
      <c r="H54">
        <v>7.2753532682379701E-3</v>
      </c>
      <c r="I54" t="s">
        <v>12915</v>
      </c>
    </row>
    <row r="55" spans="1:9" x14ac:dyDescent="0.25">
      <c r="A55" t="s">
        <v>10219</v>
      </c>
      <c r="C55" s="3" t="str">
        <f>HYPERLINK("http://amigo.geneontology.org/amigo/term/GO:0031324","GO:0031324")</f>
        <v>GO:0031324</v>
      </c>
      <c r="D55" t="s">
        <v>7179</v>
      </c>
      <c r="E55">
        <v>488</v>
      </c>
      <c r="F55">
        <v>6</v>
      </c>
      <c r="G55" s="4">
        <v>7.6723957620117905E-5</v>
      </c>
      <c r="H55">
        <v>7.8258436772520208E-3</v>
      </c>
      <c r="I55" t="s">
        <v>12915</v>
      </c>
    </row>
    <row r="56" spans="1:9" x14ac:dyDescent="0.25">
      <c r="A56" t="s">
        <v>10222</v>
      </c>
      <c r="C56" s="3" t="str">
        <f>HYPERLINK("http://amigo.geneontology.org/amigo/term/GO:0045493","GO:0045493")</f>
        <v>GO:0045493</v>
      </c>
      <c r="D56" t="s">
        <v>7309</v>
      </c>
      <c r="E56">
        <v>10</v>
      </c>
      <c r="F56">
        <v>2</v>
      </c>
      <c r="G56" s="4">
        <v>9.0140380558036893E-5</v>
      </c>
      <c r="H56">
        <v>9.0140380558036901E-3</v>
      </c>
      <c r="I56" t="s">
        <v>7310</v>
      </c>
    </row>
    <row r="57" spans="1:9" x14ac:dyDescent="0.25">
      <c r="A57" t="s">
        <v>12930</v>
      </c>
      <c r="C57" s="3" t="str">
        <f>HYPERLINK("http://amigo.geneontology.org/amigo/term/GO:0005506","GO:0005506")</f>
        <v>GO:0005506</v>
      </c>
      <c r="D57" t="s">
        <v>1214</v>
      </c>
      <c r="E57">
        <v>1961</v>
      </c>
      <c r="F57">
        <v>11</v>
      </c>
      <c r="G57" s="4">
        <v>1.19808882170661E-4</v>
      </c>
      <c r="H57">
        <v>1.17412704527248E-2</v>
      </c>
      <c r="I57" t="s">
        <v>12931</v>
      </c>
    </row>
    <row r="58" spans="1:9" x14ac:dyDescent="0.25">
      <c r="A58" t="s">
        <v>7628</v>
      </c>
      <c r="C58" s="3" t="str">
        <f>HYPERLINK("http://amigo.geneontology.org/amigo/term/GO:0032268","GO:0032268")</f>
        <v>GO:0032268</v>
      </c>
      <c r="D58" t="s">
        <v>7306</v>
      </c>
      <c r="E58">
        <v>554</v>
      </c>
      <c r="F58">
        <v>6</v>
      </c>
      <c r="G58" s="4">
        <v>1.5280878813936699E-4</v>
      </c>
      <c r="H58">
        <v>1.46696436613793E-2</v>
      </c>
      <c r="I58" t="s">
        <v>12915</v>
      </c>
    </row>
    <row r="59" spans="1:9" x14ac:dyDescent="0.25">
      <c r="A59" t="s">
        <v>9290</v>
      </c>
      <c r="C59" s="3" t="str">
        <f>HYPERLINK("http://amigo.geneontology.org/amigo/term/GO:0051246","GO:0051246")</f>
        <v>GO:0051246</v>
      </c>
      <c r="D59" t="s">
        <v>7327</v>
      </c>
      <c r="E59">
        <v>576</v>
      </c>
      <c r="F59">
        <v>6</v>
      </c>
      <c r="G59" s="4">
        <v>1.8841263898688901E-4</v>
      </c>
      <c r="H59">
        <v>1.7710788064767499E-2</v>
      </c>
      <c r="I59" t="s">
        <v>12915</v>
      </c>
    </row>
    <row r="60" spans="1:9" x14ac:dyDescent="0.25">
      <c r="A60" t="s">
        <v>7640</v>
      </c>
      <c r="C60" s="3" t="str">
        <f>HYPERLINK("http://amigo.geneontology.org/amigo/term/GO:0016705","GO:0016705")</f>
        <v>GO:0016705</v>
      </c>
      <c r="D60" t="s">
        <v>4121</v>
      </c>
      <c r="E60">
        <v>2131</v>
      </c>
      <c r="F60">
        <v>11</v>
      </c>
      <c r="G60" s="4">
        <v>2.45082642682273E-4</v>
      </c>
      <c r="H60">
        <v>2.2547603126769102E-2</v>
      </c>
      <c r="I60" t="s">
        <v>12932</v>
      </c>
    </row>
    <row r="61" spans="1:9" x14ac:dyDescent="0.25">
      <c r="A61" t="s">
        <v>9294</v>
      </c>
      <c r="C61" s="3" t="str">
        <f>HYPERLINK("http://amigo.geneontology.org/amigo/term/GO:0048037","GO:0048037")</f>
        <v>GO:0048037</v>
      </c>
      <c r="D61" t="s">
        <v>4125</v>
      </c>
      <c r="E61">
        <v>4750</v>
      </c>
      <c r="F61">
        <v>17</v>
      </c>
      <c r="G61" s="4">
        <v>4.0956664470410801E-4</v>
      </c>
      <c r="H61">
        <v>3.6860998023369701E-2</v>
      </c>
      <c r="I61" t="s">
        <v>12933</v>
      </c>
    </row>
    <row r="62" spans="1:9" x14ac:dyDescent="0.25">
      <c r="A62" t="s">
        <v>7644</v>
      </c>
      <c r="C62" s="3" t="str">
        <f>HYPERLINK("http://amigo.geneontology.org/amigo/term/GO:0048523","GO:0048523")</f>
        <v>GO:0048523</v>
      </c>
      <c r="D62" t="s">
        <v>7240</v>
      </c>
      <c r="E62">
        <v>682</v>
      </c>
      <c r="F62">
        <v>6</v>
      </c>
      <c r="G62" s="4">
        <v>4.6160212607222599E-4</v>
      </c>
      <c r="H62">
        <v>4.0620987094355902E-2</v>
      </c>
      <c r="I62" t="s">
        <v>12915</v>
      </c>
    </row>
    <row r="63" spans="1:9" x14ac:dyDescent="0.25">
      <c r="A63" t="s">
        <v>9853</v>
      </c>
      <c r="C63" s="3" t="str">
        <f>HYPERLINK("http://amigo.geneontology.org/amigo/term/GO:0071554","GO:0071554")</f>
        <v>GO:0071554</v>
      </c>
      <c r="D63" t="s">
        <v>206</v>
      </c>
      <c r="E63">
        <v>1000</v>
      </c>
      <c r="F63">
        <v>7</v>
      </c>
      <c r="G63" s="4">
        <v>6.06370914349224E-4</v>
      </c>
      <c r="H63">
        <v>5.2147898634033199E-2</v>
      </c>
      <c r="I63" t="s">
        <v>12917</v>
      </c>
    </row>
    <row r="64" spans="1:9" x14ac:dyDescent="0.25">
      <c r="A64" t="s">
        <v>12934</v>
      </c>
      <c r="C64" s="3" t="str">
        <f>HYPERLINK("http://amigo.geneontology.org/amigo/term/GO:0010605","GO:0010605")</f>
        <v>GO:0010605</v>
      </c>
      <c r="D64" t="s">
        <v>7497</v>
      </c>
      <c r="E64">
        <v>779</v>
      </c>
      <c r="F64">
        <v>6</v>
      </c>
      <c r="G64" s="4">
        <v>9.1995765725479996E-4</v>
      </c>
      <c r="H64">
        <v>7.8196400866657995E-2</v>
      </c>
      <c r="I64" t="s">
        <v>12915</v>
      </c>
    </row>
    <row r="65" spans="1:9" x14ac:dyDescent="0.25">
      <c r="A65" t="s">
        <v>7653</v>
      </c>
      <c r="C65" s="3" t="str">
        <f>HYPERLINK("http://amigo.geneontology.org/amigo/term/GO:0009892","GO:0009892")</f>
        <v>GO:0009892</v>
      </c>
      <c r="D65" t="s">
        <v>9049</v>
      </c>
      <c r="E65">
        <v>800</v>
      </c>
      <c r="F65">
        <v>6</v>
      </c>
      <c r="G65">
        <v>1.05408766510154E-3</v>
      </c>
      <c r="H65">
        <v>8.7489276203428501E-2</v>
      </c>
      <c r="I65" t="s">
        <v>12915</v>
      </c>
    </row>
    <row r="66" spans="1:9" x14ac:dyDescent="0.25">
      <c r="A66" t="s">
        <v>9305</v>
      </c>
      <c r="C66" s="3" t="str">
        <f>HYPERLINK("http://amigo.geneontology.org/amigo/term/GO:0070011","GO:0070011")</f>
        <v>GO:0070011</v>
      </c>
      <c r="D66" t="s">
        <v>151</v>
      </c>
      <c r="E66">
        <v>2258</v>
      </c>
      <c r="F66">
        <v>10</v>
      </c>
      <c r="G66">
        <v>1.50628956662982E-3</v>
      </c>
      <c r="H66">
        <v>0.12351574446364499</v>
      </c>
      <c r="I66" t="s">
        <v>12923</v>
      </c>
    </row>
    <row r="67" spans="1:9" x14ac:dyDescent="0.25">
      <c r="A67" t="s">
        <v>7660</v>
      </c>
      <c r="C67" s="3" t="str">
        <f>HYPERLINK("http://amigo.geneontology.org/amigo/term/GO:0008233","GO:0008233")</f>
        <v>GO:0008233</v>
      </c>
      <c r="D67" t="s">
        <v>154</v>
      </c>
      <c r="E67">
        <v>2332</v>
      </c>
      <c r="F67">
        <v>10</v>
      </c>
      <c r="G67">
        <v>1.90705658451509E-3</v>
      </c>
      <c r="H67">
        <v>0.15256452676120699</v>
      </c>
      <c r="I67" t="s">
        <v>12923</v>
      </c>
    </row>
    <row r="68" spans="1:9" x14ac:dyDescent="0.25">
      <c r="A68" t="s">
        <v>7673</v>
      </c>
      <c r="C68" s="3" t="str">
        <f>HYPERLINK("http://amigo.geneontology.org/amigo/term/GO:0009057","GO:0009057")</f>
        <v>GO:0009057</v>
      </c>
      <c r="D68" t="s">
        <v>9098</v>
      </c>
      <c r="E68">
        <v>1228</v>
      </c>
      <c r="F68">
        <v>7</v>
      </c>
      <c r="G68">
        <v>1.9689684979945698E-3</v>
      </c>
      <c r="H68">
        <v>0.15554851134157099</v>
      </c>
      <c r="I68" t="s">
        <v>12917</v>
      </c>
    </row>
    <row r="69" spans="1:9" x14ac:dyDescent="0.25">
      <c r="A69" t="s">
        <v>9320</v>
      </c>
      <c r="C69" s="3" t="str">
        <f>HYPERLINK("http://amigo.geneontology.org/amigo/term/GO:0050790","GO:0050790")</f>
        <v>GO:0050790</v>
      </c>
      <c r="D69" t="s">
        <v>1064</v>
      </c>
      <c r="E69">
        <v>622</v>
      </c>
      <c r="F69">
        <v>5</v>
      </c>
      <c r="G69">
        <v>2.05533863110488E-3</v>
      </c>
      <c r="H69">
        <v>0.15826107459507599</v>
      </c>
      <c r="I69" t="s">
        <v>12911</v>
      </c>
    </row>
    <row r="70" spans="1:9" x14ac:dyDescent="0.25">
      <c r="A70" t="s">
        <v>7685</v>
      </c>
      <c r="C70" s="3" t="str">
        <f>HYPERLINK("http://amigo.geneontology.org/amigo/term/GO:0065009","GO:0065009")</f>
        <v>GO:0065009</v>
      </c>
      <c r="D70" t="s">
        <v>879</v>
      </c>
      <c r="E70">
        <v>647</v>
      </c>
      <c r="F70">
        <v>5</v>
      </c>
      <c r="G70">
        <v>2.4354531782560798E-3</v>
      </c>
      <c r="H70">
        <v>0.18509444154746199</v>
      </c>
      <c r="I70" t="s">
        <v>12911</v>
      </c>
    </row>
    <row r="71" spans="1:9" x14ac:dyDescent="0.25">
      <c r="A71" t="s">
        <v>7689</v>
      </c>
      <c r="C71" s="3" t="str">
        <f>HYPERLINK("http://amigo.geneontology.org/amigo/term/GO:0020037","GO:0020037")</f>
        <v>GO:0020037</v>
      </c>
      <c r="D71" t="s">
        <v>1181</v>
      </c>
      <c r="E71">
        <v>2527</v>
      </c>
      <c r="F71">
        <v>10</v>
      </c>
      <c r="G71">
        <v>3.38887857138421E-3</v>
      </c>
      <c r="H71">
        <v>0.25416589285381502</v>
      </c>
      <c r="I71" t="s">
        <v>12935</v>
      </c>
    </row>
    <row r="72" spans="1:9" x14ac:dyDescent="0.25">
      <c r="A72" t="s">
        <v>8447</v>
      </c>
      <c r="C72" s="3" t="str">
        <f>HYPERLINK("http://amigo.geneontology.org/amigo/term/GO:0016765","GO:0016765")</f>
        <v>GO:0016765</v>
      </c>
      <c r="D72" t="s">
        <v>12936</v>
      </c>
      <c r="E72">
        <v>217</v>
      </c>
      <c r="F72">
        <v>3</v>
      </c>
      <c r="G72">
        <v>3.8059203279181401E-3</v>
      </c>
      <c r="H72">
        <v>0.28163810426594199</v>
      </c>
      <c r="I72" t="s">
        <v>12918</v>
      </c>
    </row>
    <row r="73" spans="1:9" x14ac:dyDescent="0.25">
      <c r="A73" t="s">
        <v>12937</v>
      </c>
      <c r="C73" s="3" t="str">
        <f>HYPERLINK("http://amigo.geneontology.org/amigo/term/GO:0016717","GO:0016717")</f>
        <v>GO:0016717</v>
      </c>
      <c r="D73" t="s">
        <v>475</v>
      </c>
      <c r="E73">
        <v>64</v>
      </c>
      <c r="F73">
        <v>2</v>
      </c>
      <c r="G73">
        <v>3.84026762783938E-3</v>
      </c>
      <c r="H73">
        <v>0.27649926920443502</v>
      </c>
      <c r="I73" t="s">
        <v>9830</v>
      </c>
    </row>
    <row r="74" spans="1:9" x14ac:dyDescent="0.25">
      <c r="A74" t="s">
        <v>7706</v>
      </c>
      <c r="C74" s="3" t="str">
        <f>HYPERLINK("http://amigo.geneontology.org/amigo/term/GO:0046906","GO:0046906")</f>
        <v>GO:0046906</v>
      </c>
      <c r="D74" t="s">
        <v>1085</v>
      </c>
      <c r="E74">
        <v>2625</v>
      </c>
      <c r="F74">
        <v>10</v>
      </c>
      <c r="G74">
        <v>4.4208445791311399E-3</v>
      </c>
      <c r="H74">
        <v>0.31387996511831101</v>
      </c>
      <c r="I74" t="s">
        <v>12935</v>
      </c>
    </row>
    <row r="75" spans="1:9" x14ac:dyDescent="0.25">
      <c r="A75" t="s">
        <v>7707</v>
      </c>
      <c r="C75" s="3" t="str">
        <f>HYPERLINK("http://amigo.geneontology.org/amigo/term/GO:0048519","GO:0048519")</f>
        <v>GO:0048519</v>
      </c>
      <c r="D75" t="s">
        <v>9038</v>
      </c>
      <c r="E75">
        <v>1095</v>
      </c>
      <c r="F75">
        <v>6</v>
      </c>
      <c r="G75">
        <v>4.9773703862338202E-3</v>
      </c>
      <c r="H75">
        <v>0.34841592703636698</v>
      </c>
      <c r="I75" t="s">
        <v>12915</v>
      </c>
    </row>
    <row r="76" spans="1:9" x14ac:dyDescent="0.25">
      <c r="A76" t="s">
        <v>7708</v>
      </c>
      <c r="C76" s="3" t="str">
        <f>HYPERLINK("http://amigo.geneontology.org/amigo/term/GO:0006508","GO:0006508")</f>
        <v>GO:0006508</v>
      </c>
      <c r="D76" t="s">
        <v>10443</v>
      </c>
      <c r="E76">
        <v>2854</v>
      </c>
      <c r="F76">
        <v>10</v>
      </c>
      <c r="G76">
        <v>7.80607382226166E-3</v>
      </c>
      <c r="H76">
        <v>0.53861909373605499</v>
      </c>
      <c r="I76" t="s">
        <v>12923</v>
      </c>
    </row>
    <row r="77" spans="1:9" x14ac:dyDescent="0.25">
      <c r="A77" t="s">
        <v>8451</v>
      </c>
      <c r="C77" s="3" t="str">
        <f>HYPERLINK("http://amigo.geneontology.org/amigo/term/GO:0050660","GO:0050660")</f>
        <v>GO:0050660</v>
      </c>
      <c r="D77" t="s">
        <v>5709</v>
      </c>
      <c r="E77">
        <v>591</v>
      </c>
      <c r="F77">
        <v>4</v>
      </c>
      <c r="G77">
        <v>1.04256776392416E-2</v>
      </c>
      <c r="H77">
        <v>0.70894607946843002</v>
      </c>
      <c r="I77" t="s">
        <v>12938</v>
      </c>
    </row>
    <row r="78" spans="1:9" x14ac:dyDescent="0.25">
      <c r="A78" t="s">
        <v>7718</v>
      </c>
      <c r="C78" s="3" t="str">
        <f>HYPERLINK("http://amigo.geneontology.org/amigo/term/GO:0016614","GO:0016614")</f>
        <v>GO:0016614</v>
      </c>
      <c r="D78" t="s">
        <v>5631</v>
      </c>
      <c r="E78">
        <v>617</v>
      </c>
      <c r="F78">
        <v>4</v>
      </c>
      <c r="G78">
        <v>1.2048788722858601E-2</v>
      </c>
      <c r="H78">
        <v>0.80726884443152702</v>
      </c>
      <c r="I78" t="s">
        <v>12938</v>
      </c>
    </row>
    <row r="79" spans="1:9" x14ac:dyDescent="0.25">
      <c r="A79" t="s">
        <v>7732</v>
      </c>
      <c r="C79" s="3" t="str">
        <f>HYPERLINK("http://amigo.geneontology.org/amigo/term/GO:0045491","GO:0045491")</f>
        <v>GO:0045491</v>
      </c>
      <c r="D79" t="s">
        <v>4259</v>
      </c>
      <c r="E79">
        <v>120</v>
      </c>
      <c r="F79">
        <v>2</v>
      </c>
      <c r="G79">
        <v>1.2913994877852501E-2</v>
      </c>
      <c r="H79">
        <v>0.85232366193826703</v>
      </c>
      <c r="I79" t="s">
        <v>7310</v>
      </c>
    </row>
    <row r="80" spans="1:9" x14ac:dyDescent="0.25">
      <c r="A80" t="s">
        <v>7736</v>
      </c>
      <c r="C80" s="3" t="str">
        <f>HYPERLINK("http://amigo.geneontology.org/amigo/term/GO:0000272","GO:0000272")</f>
        <v>GO:0000272</v>
      </c>
      <c r="D80" t="s">
        <v>290</v>
      </c>
      <c r="E80">
        <v>127</v>
      </c>
      <c r="F80">
        <v>2</v>
      </c>
      <c r="G80">
        <v>1.4378147441591899E-2</v>
      </c>
      <c r="H80">
        <v>0.93457958370347505</v>
      </c>
      <c r="I80" t="s">
        <v>7310</v>
      </c>
    </row>
    <row r="81" spans="1:9" x14ac:dyDescent="0.25">
      <c r="A81" t="s">
        <v>7741</v>
      </c>
      <c r="C81" s="3" t="str">
        <f>HYPERLINK("http://amigo.geneontology.org/amigo/term/GO:0050662","GO:0050662")</f>
        <v>GO:0050662</v>
      </c>
      <c r="D81" t="s">
        <v>4434</v>
      </c>
      <c r="E81">
        <v>1801</v>
      </c>
      <c r="F81">
        <v>7</v>
      </c>
      <c r="G81">
        <v>1.4946075768018501E-2</v>
      </c>
      <c r="H81">
        <v>0.95654884915318905</v>
      </c>
      <c r="I81" t="s">
        <v>12939</v>
      </c>
    </row>
    <row r="82" spans="1:9" x14ac:dyDescent="0.25">
      <c r="A82" t="s">
        <v>7765</v>
      </c>
      <c r="C82" s="3" t="str">
        <f>HYPERLINK("http://amigo.geneontology.org/amigo/term/GO:0002213","GO:0002213")</f>
        <v>GO:0002213</v>
      </c>
      <c r="D82" t="s">
        <v>7422</v>
      </c>
      <c r="E82">
        <v>17</v>
      </c>
      <c r="F82">
        <v>1</v>
      </c>
      <c r="G82">
        <v>2.3988269000490801E-2</v>
      </c>
      <c r="H82">
        <v>1</v>
      </c>
      <c r="I82" t="s">
        <v>8093</v>
      </c>
    </row>
    <row r="83" spans="1:9" x14ac:dyDescent="0.25">
      <c r="A83" t="s">
        <v>7769</v>
      </c>
      <c r="C83" s="3" t="str">
        <f>HYPERLINK("http://amigo.geneontology.org/amigo/term/GO:0004252","GO:0004252")</f>
        <v>GO:0004252</v>
      </c>
      <c r="D83" t="s">
        <v>858</v>
      </c>
      <c r="E83">
        <v>446</v>
      </c>
      <c r="F83">
        <v>3</v>
      </c>
      <c r="G83">
        <v>2.6345475971421801E-2</v>
      </c>
      <c r="H83">
        <v>1</v>
      </c>
      <c r="I83" t="s">
        <v>12940</v>
      </c>
    </row>
    <row r="84" spans="1:9" x14ac:dyDescent="0.25">
      <c r="A84" t="s">
        <v>7770</v>
      </c>
      <c r="C84" s="3" t="str">
        <f>HYPERLINK("http://amigo.geneontology.org/amigo/term/GO:0017144","GO:0017144")</f>
        <v>GO:0017144</v>
      </c>
      <c r="D84" t="s">
        <v>4310</v>
      </c>
      <c r="E84">
        <v>1595</v>
      </c>
      <c r="F84">
        <v>6</v>
      </c>
      <c r="G84">
        <v>2.71385898477144E-2</v>
      </c>
      <c r="H84">
        <v>1</v>
      </c>
      <c r="I84" t="s">
        <v>12928</v>
      </c>
    </row>
    <row r="85" spans="1:9" x14ac:dyDescent="0.25">
      <c r="A85" t="s">
        <v>10284</v>
      </c>
      <c r="C85" s="3" t="str">
        <f>HYPERLINK("http://amigo.geneontology.org/amigo/term/GO:0008037","GO:0008037")</f>
        <v>GO:0008037</v>
      </c>
      <c r="D85" t="s">
        <v>7499</v>
      </c>
      <c r="E85">
        <v>461</v>
      </c>
      <c r="F85">
        <v>3</v>
      </c>
      <c r="G85">
        <v>2.8662069439805801E-2</v>
      </c>
      <c r="H85">
        <v>1</v>
      </c>
      <c r="I85" t="s">
        <v>12941</v>
      </c>
    </row>
    <row r="86" spans="1:9" x14ac:dyDescent="0.25">
      <c r="A86" t="s">
        <v>9863</v>
      </c>
      <c r="C86" s="3" t="str">
        <f>HYPERLINK("http://amigo.geneontology.org/amigo/term/GO:0048544","GO:0048544")</f>
        <v>GO:0048544</v>
      </c>
      <c r="D86" t="s">
        <v>7502</v>
      </c>
      <c r="E86">
        <v>461</v>
      </c>
      <c r="F86">
        <v>3</v>
      </c>
      <c r="G86">
        <v>2.8662069439805801E-2</v>
      </c>
      <c r="H86">
        <v>1</v>
      </c>
      <c r="I86" t="s">
        <v>12941</v>
      </c>
    </row>
    <row r="87" spans="1:9" x14ac:dyDescent="0.25">
      <c r="A87" t="s">
        <v>7782</v>
      </c>
      <c r="C87" s="3" t="str">
        <f>HYPERLINK("http://amigo.geneontology.org/amigo/term/GO:0009875","GO:0009875")</f>
        <v>GO:0009875</v>
      </c>
      <c r="D87" t="s">
        <v>7506</v>
      </c>
      <c r="E87">
        <v>463</v>
      </c>
      <c r="F87">
        <v>3</v>
      </c>
      <c r="G87">
        <v>2.8978878172309899E-2</v>
      </c>
      <c r="H87">
        <v>1</v>
      </c>
      <c r="I87" t="s">
        <v>12941</v>
      </c>
    </row>
    <row r="88" spans="1:9" x14ac:dyDescent="0.25">
      <c r="A88" t="s">
        <v>7783</v>
      </c>
      <c r="C88" s="3" t="str">
        <f>HYPERLINK("http://amigo.geneontology.org/amigo/term/GO:1901565","GO:1901565")</f>
        <v>GO:1901565</v>
      </c>
      <c r="D88" t="s">
        <v>7125</v>
      </c>
      <c r="E88">
        <v>1263</v>
      </c>
      <c r="F88">
        <v>5</v>
      </c>
      <c r="G88">
        <v>3.5158185297854999E-2</v>
      </c>
      <c r="H88">
        <v>1</v>
      </c>
      <c r="I88" t="s">
        <v>12912</v>
      </c>
    </row>
    <row r="89" spans="1:9" x14ac:dyDescent="0.25">
      <c r="A89" t="s">
        <v>9372</v>
      </c>
      <c r="C89" s="3" t="str">
        <f>HYPERLINK("http://amigo.geneontology.org/amigo/term/GO:0016298","GO:0016298")</f>
        <v>GO:0016298</v>
      </c>
      <c r="D89" t="s">
        <v>457</v>
      </c>
      <c r="E89">
        <v>209</v>
      </c>
      <c r="F89">
        <v>2</v>
      </c>
      <c r="G89">
        <v>3.6229234722036097E-2</v>
      </c>
      <c r="H89">
        <v>1</v>
      </c>
      <c r="I89" t="s">
        <v>12942</v>
      </c>
    </row>
    <row r="90" spans="1:9" x14ac:dyDescent="0.25">
      <c r="A90" t="s">
        <v>9864</v>
      </c>
      <c r="C90" s="3" t="str">
        <f>HYPERLINK("http://amigo.geneontology.org/amigo/term/GO:0009056","GO:0009056")</f>
        <v>GO:0009056</v>
      </c>
      <c r="D90" t="s">
        <v>5309</v>
      </c>
      <c r="E90">
        <v>2670</v>
      </c>
      <c r="F90">
        <v>8</v>
      </c>
      <c r="G90">
        <v>3.7670340630290997E-2</v>
      </c>
      <c r="H90">
        <v>1</v>
      </c>
      <c r="I90" t="s">
        <v>12943</v>
      </c>
    </row>
    <row r="91" spans="1:9" x14ac:dyDescent="0.25">
      <c r="A91" t="s">
        <v>10293</v>
      </c>
      <c r="C91" s="3" t="str">
        <f>HYPERLINK("http://amigo.geneontology.org/amigo/term/GO:0004497","GO:0004497")</f>
        <v>GO:0004497</v>
      </c>
      <c r="D91" t="s">
        <v>783</v>
      </c>
      <c r="E91">
        <v>891</v>
      </c>
      <c r="F91">
        <v>4</v>
      </c>
      <c r="G91">
        <v>3.9226563187588097E-2</v>
      </c>
      <c r="H91">
        <v>1</v>
      </c>
      <c r="I91" t="s">
        <v>12944</v>
      </c>
    </row>
    <row r="92" spans="1:9" x14ac:dyDescent="0.25">
      <c r="A92" t="s">
        <v>9380</v>
      </c>
      <c r="C92" s="3" t="str">
        <f>HYPERLINK("http://amigo.geneontology.org/amigo/term/GO:0006855","GO:0006855")</f>
        <v>GO:0006855</v>
      </c>
      <c r="D92" t="s">
        <v>8990</v>
      </c>
      <c r="E92">
        <v>242</v>
      </c>
      <c r="F92">
        <v>2</v>
      </c>
      <c r="G92">
        <v>4.7164692977668801E-2</v>
      </c>
      <c r="H92">
        <v>1</v>
      </c>
      <c r="I92" t="s">
        <v>12945</v>
      </c>
    </row>
    <row r="93" spans="1:9" x14ac:dyDescent="0.25">
      <c r="A93" t="s">
        <v>7801</v>
      </c>
      <c r="C93" s="3" t="str">
        <f>HYPERLINK("http://amigo.geneontology.org/amigo/term/GO:0008970","GO:0008970")</f>
        <v>GO:0008970</v>
      </c>
      <c r="D93" t="s">
        <v>134</v>
      </c>
      <c r="E93">
        <v>34</v>
      </c>
      <c r="F93">
        <v>1</v>
      </c>
      <c r="G93">
        <v>4.7406207571355101E-2</v>
      </c>
      <c r="H93">
        <v>1</v>
      </c>
      <c r="I93" t="s">
        <v>8201</v>
      </c>
    </row>
    <row r="94" spans="1:9" x14ac:dyDescent="0.25">
      <c r="A94" t="s">
        <v>12946</v>
      </c>
      <c r="C94" s="3" t="str">
        <f>HYPERLINK("http://amigo.geneontology.org/amigo/term/GO:0010029","GO:0010029")</f>
        <v>GO:0010029</v>
      </c>
      <c r="D94" t="s">
        <v>12947</v>
      </c>
      <c r="E94">
        <v>34</v>
      </c>
      <c r="F94">
        <v>1</v>
      </c>
      <c r="G94">
        <v>4.7406207571355101E-2</v>
      </c>
      <c r="H94">
        <v>1</v>
      </c>
      <c r="I94" t="s">
        <v>7718</v>
      </c>
    </row>
    <row r="95" spans="1:9" x14ac:dyDescent="0.25">
      <c r="A95" t="s">
        <v>7803</v>
      </c>
      <c r="C95" s="3" t="str">
        <f>HYPERLINK("http://amigo.geneontology.org/amigo/term/GO:1900140","GO:1900140")</f>
        <v>GO:1900140</v>
      </c>
      <c r="D95" t="s">
        <v>12948</v>
      </c>
      <c r="E95">
        <v>35</v>
      </c>
      <c r="F95">
        <v>1</v>
      </c>
      <c r="G95">
        <v>4.8766261009592603E-2</v>
      </c>
      <c r="H95">
        <v>1</v>
      </c>
      <c r="I95" t="s">
        <v>7718</v>
      </c>
    </row>
    <row r="96" spans="1:9" x14ac:dyDescent="0.25">
      <c r="A96" t="s">
        <v>7819</v>
      </c>
      <c r="C96" s="3" t="str">
        <f>HYPERLINK("http://amigo.geneontology.org/amigo/term/GO:1901575","GO:1901575")</f>
        <v>GO:1901575</v>
      </c>
      <c r="D96" t="s">
        <v>5759</v>
      </c>
      <c r="E96">
        <v>2326</v>
      </c>
      <c r="F96">
        <v>7</v>
      </c>
      <c r="G96">
        <v>4.9386534955362597E-2</v>
      </c>
      <c r="H96">
        <v>1</v>
      </c>
      <c r="I96" t="s">
        <v>12917</v>
      </c>
    </row>
    <row r="97" spans="1:9" x14ac:dyDescent="0.25">
      <c r="A97" t="s">
        <v>7840</v>
      </c>
      <c r="C97" s="3" t="str">
        <f>HYPERLINK("http://amigo.geneontology.org/amigo/term/GO:0044706","GO:0044706")</f>
        <v>GO:0044706</v>
      </c>
      <c r="D97" t="s">
        <v>1487</v>
      </c>
      <c r="E97">
        <v>576</v>
      </c>
      <c r="F97">
        <v>3</v>
      </c>
      <c r="G97">
        <v>4.98576316269492E-2</v>
      </c>
      <c r="H97">
        <v>1</v>
      </c>
      <c r="I97" t="s">
        <v>12941</v>
      </c>
    </row>
    <row r="98" spans="1:9" x14ac:dyDescent="0.25">
      <c r="A98" t="s">
        <v>7846</v>
      </c>
      <c r="C98" s="3" t="str">
        <f>HYPERLINK("http://amigo.geneontology.org/amigo/term/GO:0009856","GO:0009856")</f>
        <v>GO:0009856</v>
      </c>
      <c r="D98" t="s">
        <v>1490</v>
      </c>
      <c r="E98">
        <v>576</v>
      </c>
      <c r="F98">
        <v>3</v>
      </c>
      <c r="G98">
        <v>4.98576316269492E-2</v>
      </c>
      <c r="H98">
        <v>1</v>
      </c>
      <c r="I98" t="s">
        <v>12941</v>
      </c>
    </row>
    <row r="99" spans="1:9" x14ac:dyDescent="0.25">
      <c r="A99" t="s">
        <v>12949</v>
      </c>
    </row>
    <row r="100" spans="1:9" x14ac:dyDescent="0.25">
      <c r="A100" t="s">
        <v>8531</v>
      </c>
    </row>
    <row r="101" spans="1:9" x14ac:dyDescent="0.25">
      <c r="A101" t="s">
        <v>7853</v>
      </c>
    </row>
    <row r="102" spans="1:9" x14ac:dyDescent="0.25">
      <c r="A102" t="s">
        <v>7855</v>
      </c>
    </row>
    <row r="103" spans="1:9" x14ac:dyDescent="0.25">
      <c r="A103" t="s">
        <v>8541</v>
      </c>
    </row>
    <row r="104" spans="1:9" x14ac:dyDescent="0.25">
      <c r="A104" t="s">
        <v>9414</v>
      </c>
    </row>
    <row r="105" spans="1:9" x14ac:dyDescent="0.25">
      <c r="A105" t="s">
        <v>7858</v>
      </c>
    </row>
    <row r="106" spans="1:9" x14ac:dyDescent="0.25">
      <c r="A106" t="s">
        <v>7862</v>
      </c>
    </row>
    <row r="107" spans="1:9" x14ac:dyDescent="0.25">
      <c r="A107" t="s">
        <v>12950</v>
      </c>
    </row>
    <row r="108" spans="1:9" x14ac:dyDescent="0.25">
      <c r="A108" t="s">
        <v>7866</v>
      </c>
    </row>
    <row r="109" spans="1:9" x14ac:dyDescent="0.25">
      <c r="A109" t="s">
        <v>9868</v>
      </c>
    </row>
    <row r="110" spans="1:9" x14ac:dyDescent="0.25">
      <c r="A110" t="s">
        <v>9424</v>
      </c>
    </row>
    <row r="111" spans="1:9" x14ac:dyDescent="0.25">
      <c r="A111" t="s">
        <v>12951</v>
      </c>
    </row>
    <row r="112" spans="1:9" x14ac:dyDescent="0.25">
      <c r="A112" t="s">
        <v>10314</v>
      </c>
    </row>
    <row r="113" spans="1:1" x14ac:dyDescent="0.25">
      <c r="A113" t="s">
        <v>12952</v>
      </c>
    </row>
    <row r="114" spans="1:1" x14ac:dyDescent="0.25">
      <c r="A114" t="s">
        <v>7882</v>
      </c>
    </row>
    <row r="115" spans="1:1" x14ac:dyDescent="0.25">
      <c r="A115" t="s">
        <v>7884</v>
      </c>
    </row>
    <row r="116" spans="1:1" x14ac:dyDescent="0.25">
      <c r="A116" t="s">
        <v>7890</v>
      </c>
    </row>
    <row r="117" spans="1:1" x14ac:dyDescent="0.25">
      <c r="A117" t="s">
        <v>7899</v>
      </c>
    </row>
    <row r="118" spans="1:1" x14ac:dyDescent="0.25">
      <c r="A118" t="s">
        <v>10323</v>
      </c>
    </row>
    <row r="119" spans="1:1" x14ac:dyDescent="0.25">
      <c r="A119" t="s">
        <v>12953</v>
      </c>
    </row>
    <row r="120" spans="1:1" x14ac:dyDescent="0.25">
      <c r="A120" t="s">
        <v>7907</v>
      </c>
    </row>
    <row r="121" spans="1:1" x14ac:dyDescent="0.25">
      <c r="A121" t="s">
        <v>7908</v>
      </c>
    </row>
    <row r="122" spans="1:1" x14ac:dyDescent="0.25">
      <c r="A122" t="s">
        <v>7909</v>
      </c>
    </row>
    <row r="123" spans="1:1" x14ac:dyDescent="0.25">
      <c r="A123" t="s">
        <v>7915</v>
      </c>
    </row>
    <row r="124" spans="1:1" x14ac:dyDescent="0.25">
      <c r="A124" t="s">
        <v>10327</v>
      </c>
    </row>
    <row r="125" spans="1:1" x14ac:dyDescent="0.25">
      <c r="A125" t="s">
        <v>9457</v>
      </c>
    </row>
    <row r="126" spans="1:1" x14ac:dyDescent="0.25">
      <c r="A126" t="s">
        <v>8020</v>
      </c>
    </row>
    <row r="127" spans="1:1" x14ac:dyDescent="0.25">
      <c r="A127" t="s">
        <v>9467</v>
      </c>
    </row>
    <row r="128" spans="1:1" x14ac:dyDescent="0.25">
      <c r="A128" t="s">
        <v>8596</v>
      </c>
    </row>
    <row r="129" spans="1:1" x14ac:dyDescent="0.25">
      <c r="A129" t="s">
        <v>9871</v>
      </c>
    </row>
    <row r="130" spans="1:1" x14ac:dyDescent="0.25">
      <c r="A130" t="s">
        <v>9872</v>
      </c>
    </row>
    <row r="131" spans="1:1" x14ac:dyDescent="0.25">
      <c r="A131" t="s">
        <v>9475</v>
      </c>
    </row>
    <row r="132" spans="1:1" x14ac:dyDescent="0.25">
      <c r="A132" t="s">
        <v>8041</v>
      </c>
    </row>
    <row r="133" spans="1:1" x14ac:dyDescent="0.25">
      <c r="A133" t="s">
        <v>8617</v>
      </c>
    </row>
    <row r="134" spans="1:1" x14ac:dyDescent="0.25">
      <c r="A134" t="s">
        <v>10364</v>
      </c>
    </row>
    <row r="135" spans="1:1" x14ac:dyDescent="0.25">
      <c r="A135" t="s">
        <v>9508</v>
      </c>
    </row>
    <row r="136" spans="1:1" x14ac:dyDescent="0.25">
      <c r="A136" t="s">
        <v>12954</v>
      </c>
    </row>
    <row r="137" spans="1:1" x14ac:dyDescent="0.25">
      <c r="A137" t="s">
        <v>8093</v>
      </c>
    </row>
    <row r="138" spans="1:1" x14ac:dyDescent="0.25">
      <c r="A138" t="s">
        <v>8638</v>
      </c>
    </row>
    <row r="139" spans="1:1" x14ac:dyDescent="0.25">
      <c r="A139" t="s">
        <v>8094</v>
      </c>
    </row>
    <row r="140" spans="1:1" x14ac:dyDescent="0.25">
      <c r="A140" t="s">
        <v>8095</v>
      </c>
    </row>
    <row r="141" spans="1:1" x14ac:dyDescent="0.25">
      <c r="A141" t="s">
        <v>8101</v>
      </c>
    </row>
    <row r="142" spans="1:1" x14ac:dyDescent="0.25">
      <c r="A142" t="s">
        <v>10374</v>
      </c>
    </row>
    <row r="143" spans="1:1" x14ac:dyDescent="0.25">
      <c r="A143" t="s">
        <v>9527</v>
      </c>
    </row>
    <row r="144" spans="1:1" x14ac:dyDescent="0.25">
      <c r="A144" t="s">
        <v>8125</v>
      </c>
    </row>
    <row r="145" spans="1:1" x14ac:dyDescent="0.25">
      <c r="A145" t="s">
        <v>8128</v>
      </c>
    </row>
    <row r="146" spans="1:1" x14ac:dyDescent="0.25">
      <c r="A146" t="s">
        <v>12955</v>
      </c>
    </row>
    <row r="147" spans="1:1" x14ac:dyDescent="0.25">
      <c r="A147" t="s">
        <v>8130</v>
      </c>
    </row>
    <row r="148" spans="1:1" x14ac:dyDescent="0.25">
      <c r="A148" t="s">
        <v>9880</v>
      </c>
    </row>
    <row r="149" spans="1:1" x14ac:dyDescent="0.25">
      <c r="A149" t="s">
        <v>8136</v>
      </c>
    </row>
    <row r="150" spans="1:1" x14ac:dyDescent="0.25">
      <c r="A150" t="s">
        <v>8141</v>
      </c>
    </row>
    <row r="151" spans="1:1" x14ac:dyDescent="0.25">
      <c r="A151" t="s">
        <v>9550</v>
      </c>
    </row>
    <row r="152" spans="1:1" x14ac:dyDescent="0.25">
      <c r="A152" t="s">
        <v>8166</v>
      </c>
    </row>
    <row r="153" spans="1:1" x14ac:dyDescent="0.25">
      <c r="A153" t="s">
        <v>8167</v>
      </c>
    </row>
    <row r="154" spans="1:1" x14ac:dyDescent="0.25">
      <c r="A154" t="s">
        <v>12956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4"/>
  <sheetViews>
    <sheetView workbookViewId="0">
      <pane xSplit="4" ySplit="11" topLeftCell="E12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24" customWidth="1"/>
    <col min="3" max="3" width="13" customWidth="1"/>
    <col min="4" max="4" width="29.5703125" customWidth="1"/>
  </cols>
  <sheetData>
    <row r="1" spans="1:9" ht="20.25" x14ac:dyDescent="0.3">
      <c r="A1" s="12" t="s">
        <v>12957</v>
      </c>
    </row>
    <row r="2" spans="1:9" x14ac:dyDescent="0.25">
      <c r="A2" s="6" t="s">
        <v>12958</v>
      </c>
      <c r="B2" s="7">
        <f>2232/6855</f>
        <v>0.32560175054704593</v>
      </c>
      <c r="C2" t="s">
        <v>2</v>
      </c>
      <c r="D2">
        <v>1532</v>
      </c>
    </row>
    <row r="3" spans="1:9" x14ac:dyDescent="0.25">
      <c r="A3" t="s">
        <v>10393</v>
      </c>
      <c r="C3" t="s">
        <v>4</v>
      </c>
      <c r="D3">
        <v>77079</v>
      </c>
    </row>
    <row r="4" spans="1:9" x14ac:dyDescent="0.25">
      <c r="A4" t="s">
        <v>8852</v>
      </c>
      <c r="C4" t="s">
        <v>6</v>
      </c>
      <c r="D4" t="s">
        <v>7</v>
      </c>
    </row>
    <row r="5" spans="1:9" x14ac:dyDescent="0.25">
      <c r="A5" t="s">
        <v>10394</v>
      </c>
      <c r="C5" t="s">
        <v>9</v>
      </c>
      <c r="D5" t="s">
        <v>10</v>
      </c>
    </row>
    <row r="6" spans="1:9" x14ac:dyDescent="0.25">
      <c r="A6" t="s">
        <v>10395</v>
      </c>
      <c r="C6" t="s">
        <v>12</v>
      </c>
      <c r="D6" t="s">
        <v>13</v>
      </c>
    </row>
    <row r="7" spans="1:9" x14ac:dyDescent="0.25">
      <c r="A7" t="s">
        <v>12959</v>
      </c>
      <c r="C7" t="s">
        <v>15</v>
      </c>
      <c r="D7" t="s">
        <v>16</v>
      </c>
    </row>
    <row r="8" spans="1:9" x14ac:dyDescent="0.25">
      <c r="A8" t="s">
        <v>10396</v>
      </c>
      <c r="C8" t="s">
        <v>18</v>
      </c>
      <c r="D8" t="s">
        <v>19</v>
      </c>
    </row>
    <row r="9" spans="1:9" x14ac:dyDescent="0.25">
      <c r="A9" t="s">
        <v>10397</v>
      </c>
      <c r="C9" t="s">
        <v>21</v>
      </c>
      <c r="D9">
        <v>3</v>
      </c>
    </row>
    <row r="10" spans="1:9" x14ac:dyDescent="0.25">
      <c r="A10" t="s">
        <v>9557</v>
      </c>
    </row>
    <row r="11" spans="1:9" x14ac:dyDescent="0.25">
      <c r="A11" t="s">
        <v>10402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t="s">
        <v>10403</v>
      </c>
      <c r="C12" s="3" t="str">
        <f>HYPERLINK("http://amigo.geneontology.org/amigo/term/GO:0004857","GO:0004857")</f>
        <v>GO:0004857</v>
      </c>
      <c r="D12" t="s">
        <v>347</v>
      </c>
      <c r="E12">
        <v>860</v>
      </c>
      <c r="F12">
        <v>171</v>
      </c>
      <c r="G12" s="4">
        <v>2.0147444162234501E-116</v>
      </c>
      <c r="H12" s="4">
        <v>9.0965710392488902E-113</v>
      </c>
      <c r="I12" t="s">
        <v>12960</v>
      </c>
    </row>
    <row r="13" spans="1:9" x14ac:dyDescent="0.25">
      <c r="A13" t="s">
        <v>10406</v>
      </c>
      <c r="C13" s="3" t="str">
        <f>HYPERLINK("http://amigo.geneontology.org/amigo/term/GO:0030234","GO:0030234")</f>
        <v>GO:0030234</v>
      </c>
      <c r="D13" t="s">
        <v>353</v>
      </c>
      <c r="E13">
        <v>1103</v>
      </c>
      <c r="F13">
        <v>171</v>
      </c>
      <c r="G13" s="4">
        <v>5.3703652489125801E-98</v>
      </c>
      <c r="H13" s="4">
        <v>1.2120914366795701E-94</v>
      </c>
      <c r="I13" t="s">
        <v>12960</v>
      </c>
    </row>
    <row r="14" spans="1:9" x14ac:dyDescent="0.25">
      <c r="A14" t="s">
        <v>10409</v>
      </c>
      <c r="C14" s="3" t="str">
        <f>HYPERLINK("http://amigo.geneontology.org/amigo/term/GO:0000160","GO:0000160")</f>
        <v>GO:0000160</v>
      </c>
      <c r="D14" t="s">
        <v>10404</v>
      </c>
      <c r="E14">
        <v>346</v>
      </c>
      <c r="F14">
        <v>80</v>
      </c>
      <c r="G14" s="4">
        <v>5.7254687817133298E-60</v>
      </c>
      <c r="H14" s="4">
        <v>8.6168305164785605E-57</v>
      </c>
      <c r="I14" t="s">
        <v>12961</v>
      </c>
    </row>
    <row r="15" spans="1:9" x14ac:dyDescent="0.25">
      <c r="A15" t="s">
        <v>12962</v>
      </c>
      <c r="C15" s="3" t="str">
        <f>HYPERLINK("http://amigo.geneontology.org/amigo/term/GO:0035556","GO:0035556")</f>
        <v>GO:0035556</v>
      </c>
      <c r="D15" t="s">
        <v>10407</v>
      </c>
      <c r="E15">
        <v>742</v>
      </c>
      <c r="F15">
        <v>81</v>
      </c>
      <c r="G15" s="4">
        <v>4.0402248091505199E-35</v>
      </c>
      <c r="H15" s="4">
        <v>4.5573735847217801E-32</v>
      </c>
      <c r="I15" t="s">
        <v>12963</v>
      </c>
    </row>
    <row r="16" spans="1:9" x14ac:dyDescent="0.25">
      <c r="A16" t="s">
        <v>10412</v>
      </c>
      <c r="C16" s="3" t="str">
        <f>HYPERLINK("http://amigo.geneontology.org/amigo/term/GO:0061134","GO:0061134")</f>
        <v>GO:0061134</v>
      </c>
      <c r="D16" t="s">
        <v>7169</v>
      </c>
      <c r="E16">
        <v>445</v>
      </c>
      <c r="F16">
        <v>59</v>
      </c>
      <c r="G16" s="4">
        <v>1.9741383149613999E-30</v>
      </c>
      <c r="H16" s="4">
        <v>1.1134140096382301E-27</v>
      </c>
      <c r="I16" t="s">
        <v>12964</v>
      </c>
    </row>
    <row r="17" spans="1:9" x14ac:dyDescent="0.25">
      <c r="A17" t="s">
        <v>10414</v>
      </c>
      <c r="C17" s="3" t="str">
        <f>HYPERLINK("http://amigo.geneontology.org/amigo/term/GO:0030414","GO:0030414")</f>
        <v>GO:0030414</v>
      </c>
      <c r="D17" t="s">
        <v>7171</v>
      </c>
      <c r="E17">
        <v>445</v>
      </c>
      <c r="F17">
        <v>59</v>
      </c>
      <c r="G17" s="4">
        <v>1.9741383149613999E-30</v>
      </c>
      <c r="H17" s="4">
        <v>1.2733192131501E-27</v>
      </c>
      <c r="I17" t="s">
        <v>12964</v>
      </c>
    </row>
    <row r="18" spans="1:9" x14ac:dyDescent="0.25">
      <c r="A18" t="s">
        <v>10416</v>
      </c>
      <c r="C18" s="3" t="str">
        <f>HYPERLINK("http://amigo.geneontology.org/amigo/term/GO:0061135","GO:0061135")</f>
        <v>GO:0061135</v>
      </c>
      <c r="D18" t="s">
        <v>7173</v>
      </c>
      <c r="E18">
        <v>445</v>
      </c>
      <c r="F18">
        <v>59</v>
      </c>
      <c r="G18" s="4">
        <v>1.9741383149613999E-30</v>
      </c>
      <c r="H18" s="4">
        <v>1.4845520128509699E-27</v>
      </c>
      <c r="I18" t="s">
        <v>12964</v>
      </c>
    </row>
    <row r="19" spans="1:9" x14ac:dyDescent="0.25">
      <c r="A19" t="s">
        <v>10417</v>
      </c>
      <c r="C19" s="3" t="str">
        <f>HYPERLINK("http://amigo.geneontology.org/amigo/term/GO:0004866","GO:0004866")</f>
        <v>GO:0004866</v>
      </c>
      <c r="D19" t="s">
        <v>7175</v>
      </c>
      <c r="E19">
        <v>445</v>
      </c>
      <c r="F19">
        <v>59</v>
      </c>
      <c r="G19" s="4">
        <v>1.9741383149613999E-30</v>
      </c>
      <c r="H19" s="4">
        <v>1.7826468984101502E-27</v>
      </c>
      <c r="I19" t="s">
        <v>12964</v>
      </c>
    </row>
    <row r="20" spans="1:9" x14ac:dyDescent="0.25">
      <c r="A20" t="s">
        <v>10418</v>
      </c>
      <c r="C20" s="3" t="str">
        <f>HYPERLINK("http://amigo.geneontology.org/amigo/term/GO:0004869","GO:0004869")</f>
        <v>GO:0004869</v>
      </c>
      <c r="D20" t="s">
        <v>10410</v>
      </c>
      <c r="E20">
        <v>95</v>
      </c>
      <c r="F20">
        <v>31</v>
      </c>
      <c r="G20" s="4">
        <v>3.8381431817214999E-29</v>
      </c>
      <c r="H20" s="4">
        <v>1.92290973404247E-26</v>
      </c>
      <c r="I20" t="s">
        <v>10411</v>
      </c>
    </row>
    <row r="21" spans="1:9" x14ac:dyDescent="0.25">
      <c r="A21" t="s">
        <v>10419</v>
      </c>
      <c r="C21" s="3" t="str">
        <f>HYPERLINK("http://amigo.geneontology.org/amigo/term/GO:0006952","GO:0006952")</f>
        <v>GO:0006952</v>
      </c>
      <c r="D21" t="s">
        <v>155</v>
      </c>
      <c r="E21">
        <v>1416</v>
      </c>
      <c r="F21">
        <v>94</v>
      </c>
      <c r="G21" s="4">
        <v>6.4488052611876601E-24</v>
      </c>
      <c r="H21" s="4">
        <v>2.9084111727956301E-21</v>
      </c>
      <c r="I21" t="s">
        <v>12965</v>
      </c>
    </row>
    <row r="22" spans="1:9" x14ac:dyDescent="0.25">
      <c r="A22" t="s">
        <v>10421</v>
      </c>
      <c r="C22" s="3" t="str">
        <f>HYPERLINK("http://amigo.geneontology.org/amigo/term/GO:0004553","GO:0004553")</f>
        <v>GO:0004553</v>
      </c>
      <c r="D22" t="s">
        <v>174</v>
      </c>
      <c r="E22">
        <v>1509</v>
      </c>
      <c r="F22">
        <v>91</v>
      </c>
      <c r="G22" s="4">
        <v>2.09576300937102E-20</v>
      </c>
      <c r="H22" s="4">
        <v>8.5926283384211899E-18</v>
      </c>
      <c r="I22" t="s">
        <v>12966</v>
      </c>
    </row>
    <row r="23" spans="1:9" x14ac:dyDescent="0.25">
      <c r="A23" t="s">
        <v>10423</v>
      </c>
      <c r="C23" s="3" t="str">
        <f>HYPERLINK("http://amigo.geneontology.org/amigo/term/GO:0007165","GO:0007165")</f>
        <v>GO:0007165</v>
      </c>
      <c r="D23" t="s">
        <v>5347</v>
      </c>
      <c r="E23">
        <v>1544</v>
      </c>
      <c r="F23">
        <v>92</v>
      </c>
      <c r="G23" s="4">
        <v>2.8335784545684E-20</v>
      </c>
      <c r="H23" s="4">
        <v>1.06542549891771E-17</v>
      </c>
      <c r="I23" t="s">
        <v>12967</v>
      </c>
    </row>
    <row r="24" spans="1:9" x14ac:dyDescent="0.25">
      <c r="A24" t="s">
        <v>10425</v>
      </c>
      <c r="C24" s="3" t="str">
        <f>HYPERLINK("http://amigo.geneontology.org/amigo/term/GO:0016798","GO:0016798")</f>
        <v>GO:0016798</v>
      </c>
      <c r="D24" t="s">
        <v>177</v>
      </c>
      <c r="E24">
        <v>1691</v>
      </c>
      <c r="F24">
        <v>91</v>
      </c>
      <c r="G24" s="4">
        <v>2.8485829535711699E-17</v>
      </c>
      <c r="H24" s="4">
        <v>9.8845828488919798E-15</v>
      </c>
      <c r="I24" t="s">
        <v>12966</v>
      </c>
    </row>
    <row r="25" spans="1:9" x14ac:dyDescent="0.25">
      <c r="A25" t="s">
        <v>6890</v>
      </c>
      <c r="C25" s="3" t="str">
        <f>HYPERLINK("http://amigo.geneontology.org/amigo/term/GO:0003677","GO:0003677")</f>
        <v>GO:0003677</v>
      </c>
      <c r="D25" t="s">
        <v>6850</v>
      </c>
      <c r="E25">
        <v>6799</v>
      </c>
      <c r="F25">
        <v>222</v>
      </c>
      <c r="G25" s="4">
        <v>1.65143953526597E-13</v>
      </c>
      <c r="H25" s="4">
        <v>5.3176353035564397E-11</v>
      </c>
      <c r="I25" t="s">
        <v>12968</v>
      </c>
    </row>
    <row r="26" spans="1:9" x14ac:dyDescent="0.25">
      <c r="A26" t="s">
        <v>8172</v>
      </c>
      <c r="C26" s="3" t="str">
        <f>HYPERLINK("http://amigo.geneontology.org/amigo/term/GO:0051716","GO:0051716")</f>
        <v>GO:0051716</v>
      </c>
      <c r="D26" t="s">
        <v>6687</v>
      </c>
      <c r="E26">
        <v>2438</v>
      </c>
      <c r="F26">
        <v>105</v>
      </c>
      <c r="G26" s="4">
        <v>2.3613426244088401E-13</v>
      </c>
      <c r="H26" s="4">
        <v>7.1076412994706295E-11</v>
      </c>
      <c r="I26" t="s">
        <v>12969</v>
      </c>
    </row>
    <row r="27" spans="1:9" x14ac:dyDescent="0.25">
      <c r="A27" t="s">
        <v>6896</v>
      </c>
      <c r="C27" s="3" t="str">
        <f>HYPERLINK("http://amigo.geneontology.org/amigo/term/GO:0007154","GO:0007154")</f>
        <v>GO:0007154</v>
      </c>
      <c r="D27" t="s">
        <v>6677</v>
      </c>
      <c r="E27">
        <v>2132</v>
      </c>
      <c r="F27">
        <v>95</v>
      </c>
      <c r="G27" s="4">
        <v>5.0706937515002496E-13</v>
      </c>
      <c r="H27" s="4">
        <v>1.42993563792307E-10</v>
      </c>
      <c r="I27" t="s">
        <v>12970</v>
      </c>
    </row>
    <row r="28" spans="1:9" x14ac:dyDescent="0.25">
      <c r="A28" t="s">
        <v>10434</v>
      </c>
      <c r="C28" s="3" t="str">
        <f>HYPERLINK("http://amigo.geneontology.org/amigo/term/GO:0043086","GO:0043086")</f>
        <v>GO:0043086</v>
      </c>
      <c r="D28" t="s">
        <v>510</v>
      </c>
      <c r="E28">
        <v>209</v>
      </c>
      <c r="F28">
        <v>23</v>
      </c>
      <c r="G28" s="4">
        <v>4.66675840774833E-11</v>
      </c>
      <c r="H28" s="4">
        <v>1.2366909780532999E-8</v>
      </c>
      <c r="I28" t="s">
        <v>12971</v>
      </c>
    </row>
    <row r="29" spans="1:9" x14ac:dyDescent="0.25">
      <c r="A29" t="s">
        <v>10437</v>
      </c>
      <c r="C29" s="3" t="str">
        <f>HYPERLINK("http://amigo.geneontology.org/amigo/term/GO:0044092","GO:0044092")</f>
        <v>GO:0044092</v>
      </c>
      <c r="D29" t="s">
        <v>552</v>
      </c>
      <c r="E29">
        <v>221</v>
      </c>
      <c r="F29">
        <v>23</v>
      </c>
      <c r="G29" s="4">
        <v>1.4426023433637501E-10</v>
      </c>
      <c r="H29" s="4">
        <v>3.6065058584093801E-8</v>
      </c>
      <c r="I29" t="s">
        <v>12971</v>
      </c>
    </row>
    <row r="30" spans="1:9" x14ac:dyDescent="0.25">
      <c r="A30" t="s">
        <v>10438</v>
      </c>
      <c r="C30" s="3" t="str">
        <f>HYPERLINK("http://amigo.geneontology.org/amigo/term/GO:0005975","GO:0005975")</f>
        <v>GO:0005975</v>
      </c>
      <c r="D30" t="s">
        <v>171</v>
      </c>
      <c r="E30">
        <v>2990</v>
      </c>
      <c r="F30">
        <v>110</v>
      </c>
      <c r="G30" s="4">
        <v>7.5306706730059E-10</v>
      </c>
      <c r="H30" s="4">
        <v>1.7847689495024E-7</v>
      </c>
      <c r="I30" t="s">
        <v>12972</v>
      </c>
    </row>
    <row r="31" spans="1:9" x14ac:dyDescent="0.25">
      <c r="A31" t="s">
        <v>10441</v>
      </c>
      <c r="C31" s="3" t="str">
        <f>HYPERLINK("http://amigo.geneontology.org/amigo/term/GO:0003682","GO:0003682")</f>
        <v>GO:0003682</v>
      </c>
      <c r="D31" t="s">
        <v>10435</v>
      </c>
      <c r="E31">
        <v>620</v>
      </c>
      <c r="F31">
        <v>38</v>
      </c>
      <c r="G31" s="4">
        <v>1.6277237722859499E-9</v>
      </c>
      <c r="H31" s="4">
        <v>3.6623784876433998E-7</v>
      </c>
      <c r="I31" t="s">
        <v>12973</v>
      </c>
    </row>
    <row r="32" spans="1:9" x14ac:dyDescent="0.25">
      <c r="A32" t="s">
        <v>9558</v>
      </c>
      <c r="C32" s="3" t="str">
        <f>HYPERLINK("http://amigo.geneontology.org/amigo/term/GO:0015066","GO:0015066")</f>
        <v>GO:0015066</v>
      </c>
      <c r="D32" t="s">
        <v>10439</v>
      </c>
      <c r="E32">
        <v>5</v>
      </c>
      <c r="F32">
        <v>5</v>
      </c>
      <c r="G32" s="4">
        <v>3.0819970135709102E-9</v>
      </c>
      <c r="H32" s="4">
        <v>6.6262935791774505E-7</v>
      </c>
      <c r="I32" t="s">
        <v>10440</v>
      </c>
    </row>
    <row r="33" spans="1:9" x14ac:dyDescent="0.25">
      <c r="A33" t="s">
        <v>10445</v>
      </c>
      <c r="C33" s="3" t="str">
        <f>HYPERLINK("http://amigo.geneontology.org/amigo/term/GO:0052547","GO:0052547")</f>
        <v>GO:0052547</v>
      </c>
      <c r="D33" t="s">
        <v>6982</v>
      </c>
      <c r="E33">
        <v>77</v>
      </c>
      <c r="F33">
        <v>13</v>
      </c>
      <c r="G33" s="4">
        <v>4.0615434407324796E-9</v>
      </c>
      <c r="H33" s="4">
        <v>7.3107781933184801E-7</v>
      </c>
      <c r="I33" t="s">
        <v>12974</v>
      </c>
    </row>
    <row r="34" spans="1:9" x14ac:dyDescent="0.25">
      <c r="A34" t="s">
        <v>10447</v>
      </c>
      <c r="C34" s="3" t="str">
        <f>HYPERLINK("http://amigo.geneontology.org/amigo/term/GO:0010466","GO:0010466")</f>
        <v>GO:0010466</v>
      </c>
      <c r="D34" t="s">
        <v>6985</v>
      </c>
      <c r="E34">
        <v>77</v>
      </c>
      <c r="F34">
        <v>13</v>
      </c>
      <c r="G34" s="4">
        <v>4.0615434407324796E-9</v>
      </c>
      <c r="H34" s="4">
        <v>7.6357016685770701E-7</v>
      </c>
      <c r="I34" t="s">
        <v>12974</v>
      </c>
    </row>
    <row r="35" spans="1:9" x14ac:dyDescent="0.25">
      <c r="A35" t="s">
        <v>10449</v>
      </c>
      <c r="C35" s="3" t="str">
        <f>HYPERLINK("http://amigo.geneontology.org/amigo/term/GO:0052548","GO:0052548")</f>
        <v>GO:0052548</v>
      </c>
      <c r="D35" t="s">
        <v>6987</v>
      </c>
      <c r="E35">
        <v>77</v>
      </c>
      <c r="F35">
        <v>13</v>
      </c>
      <c r="G35" s="4">
        <v>4.0615434407324796E-9</v>
      </c>
      <c r="H35" s="4">
        <v>7.9606251438356697E-7</v>
      </c>
      <c r="I35" t="s">
        <v>12974</v>
      </c>
    </row>
    <row r="36" spans="1:9" x14ac:dyDescent="0.25">
      <c r="A36" t="s">
        <v>10452</v>
      </c>
      <c r="C36" s="3" t="str">
        <f>HYPERLINK("http://amigo.geneontology.org/amigo/term/GO:0010951","GO:0010951")</f>
        <v>GO:0010951</v>
      </c>
      <c r="D36" t="s">
        <v>6989</v>
      </c>
      <c r="E36">
        <v>77</v>
      </c>
      <c r="F36">
        <v>13</v>
      </c>
      <c r="G36" s="4">
        <v>4.0615434407324796E-9</v>
      </c>
      <c r="H36" s="4">
        <v>8.3261640535016002E-7</v>
      </c>
      <c r="I36" t="s">
        <v>12974</v>
      </c>
    </row>
    <row r="37" spans="1:9" x14ac:dyDescent="0.25">
      <c r="A37" t="s">
        <v>10453</v>
      </c>
      <c r="C37" s="3" t="str">
        <f>HYPERLINK("http://amigo.geneontology.org/amigo/term/GO:0045861","GO:0045861")</f>
        <v>GO:0045861</v>
      </c>
      <c r="D37" t="s">
        <v>6994</v>
      </c>
      <c r="E37">
        <v>78</v>
      </c>
      <c r="F37">
        <v>13</v>
      </c>
      <c r="G37" s="4">
        <v>4.78516561772657E-9</v>
      </c>
      <c r="H37" s="4">
        <v>8.2783365186669695E-7</v>
      </c>
      <c r="I37" t="s">
        <v>12974</v>
      </c>
    </row>
    <row r="38" spans="1:9" x14ac:dyDescent="0.25">
      <c r="A38" t="s">
        <v>10461</v>
      </c>
      <c r="C38" s="3" t="str">
        <f>HYPERLINK("http://amigo.geneontology.org/amigo/term/GO:0030162","GO:0030162")</f>
        <v>GO:0030162</v>
      </c>
      <c r="D38" t="s">
        <v>7004</v>
      </c>
      <c r="E38">
        <v>82</v>
      </c>
      <c r="F38">
        <v>13</v>
      </c>
      <c r="G38" s="4">
        <v>8.9958594527686205E-9</v>
      </c>
      <c r="H38" s="4">
        <v>1.5023085286123599E-6</v>
      </c>
      <c r="I38" t="s">
        <v>12974</v>
      </c>
    </row>
    <row r="39" spans="1:9" x14ac:dyDescent="0.25">
      <c r="A39" t="s">
        <v>10463</v>
      </c>
      <c r="C39" s="3" t="str">
        <f>HYPERLINK("http://amigo.geneontology.org/amigo/term/GO:0006508","GO:0006508")</f>
        <v>GO:0006508</v>
      </c>
      <c r="D39" t="s">
        <v>10443</v>
      </c>
      <c r="E39">
        <v>2854</v>
      </c>
      <c r="F39">
        <v>102</v>
      </c>
      <c r="G39" s="4">
        <v>1.3692757152959399E-8</v>
      </c>
      <c r="H39" s="4">
        <v>2.2045339016264701E-6</v>
      </c>
      <c r="I39" t="s">
        <v>12975</v>
      </c>
    </row>
    <row r="40" spans="1:9" x14ac:dyDescent="0.25">
      <c r="A40" t="s">
        <v>10465</v>
      </c>
      <c r="C40" s="3" t="str">
        <f>HYPERLINK("http://amigo.geneontology.org/amigo/term/GO:0051346","GO:0051346")</f>
        <v>GO:0051346</v>
      </c>
      <c r="D40" t="s">
        <v>7015</v>
      </c>
      <c r="E40">
        <v>87</v>
      </c>
      <c r="F40">
        <v>13</v>
      </c>
      <c r="G40" s="4">
        <v>1.88254087904255E-8</v>
      </c>
      <c r="H40" s="4">
        <v>2.91793836251596E-6</v>
      </c>
      <c r="I40" t="s">
        <v>12974</v>
      </c>
    </row>
    <row r="41" spans="1:9" x14ac:dyDescent="0.25">
      <c r="A41" t="s">
        <v>10470</v>
      </c>
      <c r="C41" s="3" t="str">
        <f>HYPERLINK("http://amigo.geneontology.org/amigo/term/GO:0004650","GO:0004650")</f>
        <v>GO:0004650</v>
      </c>
      <c r="D41" t="s">
        <v>567</v>
      </c>
      <c r="E41">
        <v>140</v>
      </c>
      <c r="F41">
        <v>16</v>
      </c>
      <c r="G41" s="4">
        <v>2.3311889843162501E-8</v>
      </c>
      <c r="H41" s="4">
        <v>3.4967834764743701E-6</v>
      </c>
      <c r="I41" t="s">
        <v>10458</v>
      </c>
    </row>
    <row r="42" spans="1:9" x14ac:dyDescent="0.25">
      <c r="A42" t="s">
        <v>10472</v>
      </c>
      <c r="C42" s="3" t="str">
        <f>HYPERLINK("http://amigo.geneontology.org/amigo/term/GO:0016787","GO:0016787")</f>
        <v>GO:0016787</v>
      </c>
      <c r="D42" t="s">
        <v>98</v>
      </c>
      <c r="E42">
        <v>9814</v>
      </c>
      <c r="F42">
        <v>268</v>
      </c>
      <c r="G42" s="4">
        <v>4.0221547071538099E-8</v>
      </c>
      <c r="H42" s="4">
        <v>5.8321243253730203E-6</v>
      </c>
      <c r="I42" t="s">
        <v>12976</v>
      </c>
    </row>
    <row r="43" spans="1:9" x14ac:dyDescent="0.25">
      <c r="A43" t="s">
        <v>10474</v>
      </c>
      <c r="C43" s="3" t="str">
        <f>HYPERLINK("http://amigo.geneontology.org/amigo/term/GO:0008233","GO:0008233")</f>
        <v>GO:0008233</v>
      </c>
      <c r="D43" t="s">
        <v>154</v>
      </c>
      <c r="E43">
        <v>2332</v>
      </c>
      <c r="F43">
        <v>85</v>
      </c>
      <c r="G43" s="4">
        <v>9.9326486989414396E-8</v>
      </c>
      <c r="H43" s="4">
        <v>1.40050346655074E-5</v>
      </c>
      <c r="I43" t="s">
        <v>12977</v>
      </c>
    </row>
    <row r="44" spans="1:9" x14ac:dyDescent="0.25">
      <c r="A44" t="s">
        <v>10475</v>
      </c>
      <c r="C44" s="3" t="str">
        <f>HYPERLINK("http://amigo.geneontology.org/amigo/term/GO:0030599","GO:0030599")</f>
        <v>GO:0030599</v>
      </c>
      <c r="D44" t="s">
        <v>185</v>
      </c>
      <c r="E44">
        <v>167</v>
      </c>
      <c r="F44">
        <v>16</v>
      </c>
      <c r="G44" s="4">
        <v>2.7565494297028899E-7</v>
      </c>
      <c r="H44" s="4">
        <v>3.7489072243959302E-5</v>
      </c>
      <c r="I44" t="s">
        <v>12978</v>
      </c>
    </row>
    <row r="45" spans="1:9" x14ac:dyDescent="0.25">
      <c r="A45" t="s">
        <v>10479</v>
      </c>
      <c r="C45" s="3" t="str">
        <f>HYPERLINK("http://amigo.geneontology.org/amigo/term/GO:0004867","GO:0004867")</f>
        <v>GO:0004867</v>
      </c>
      <c r="D45" t="s">
        <v>7084</v>
      </c>
      <c r="E45">
        <v>335</v>
      </c>
      <c r="F45">
        <v>23</v>
      </c>
      <c r="G45" s="4">
        <v>3.6508097322988598E-7</v>
      </c>
      <c r="H45" s="4">
        <v>4.8190688466345E-5</v>
      </c>
      <c r="I45" t="s">
        <v>12979</v>
      </c>
    </row>
    <row r="46" spans="1:9" x14ac:dyDescent="0.25">
      <c r="A46" t="s">
        <v>10483</v>
      </c>
      <c r="C46" s="3" t="str">
        <f>HYPERLINK("http://amigo.geneontology.org/amigo/term/GO:0000156","GO:0000156")</f>
        <v>GO:0000156</v>
      </c>
      <c r="D46" t="s">
        <v>5125</v>
      </c>
      <c r="E46">
        <v>79</v>
      </c>
      <c r="F46">
        <v>11</v>
      </c>
      <c r="G46" s="4">
        <v>4.8457314132924898E-7</v>
      </c>
      <c r="H46" s="4">
        <v>6.2509935231473205E-5</v>
      </c>
      <c r="I46" t="s">
        <v>12980</v>
      </c>
    </row>
    <row r="47" spans="1:9" x14ac:dyDescent="0.25">
      <c r="A47" t="s">
        <v>10485</v>
      </c>
      <c r="C47" s="3" t="str">
        <f>HYPERLINK("http://amigo.geneontology.org/amigo/term/GO:0006950","GO:0006950")</f>
        <v>GO:0006950</v>
      </c>
      <c r="D47" t="s">
        <v>7156</v>
      </c>
      <c r="E47">
        <v>4305</v>
      </c>
      <c r="F47">
        <v>132</v>
      </c>
      <c r="G47" s="4">
        <v>6.9444499977008799E-7</v>
      </c>
      <c r="H47" s="4">
        <v>8.6805624971261002E-5</v>
      </c>
      <c r="I47" t="s">
        <v>12981</v>
      </c>
    </row>
    <row r="48" spans="1:9" x14ac:dyDescent="0.25">
      <c r="A48" t="s">
        <v>10486</v>
      </c>
      <c r="C48" s="3" t="str">
        <f>HYPERLINK("http://amigo.geneontology.org/amigo/term/GO:0003777","GO:0003777")</f>
        <v>GO:0003777</v>
      </c>
      <c r="D48" t="s">
        <v>5917</v>
      </c>
      <c r="E48">
        <v>163</v>
      </c>
      <c r="F48">
        <v>15</v>
      </c>
      <c r="G48" s="4">
        <v>1.07733258511741E-6</v>
      </c>
      <c r="H48" s="4">
        <v>1.2712524504385401E-4</v>
      </c>
      <c r="I48" t="s">
        <v>12982</v>
      </c>
    </row>
    <row r="49" spans="1:9" x14ac:dyDescent="0.25">
      <c r="A49" t="s">
        <v>10487</v>
      </c>
      <c r="C49" s="3" t="str">
        <f>HYPERLINK("http://amigo.geneontology.org/amigo/term/GO:0007018","GO:0007018")</f>
        <v>GO:0007018</v>
      </c>
      <c r="D49" t="s">
        <v>5919</v>
      </c>
      <c r="E49">
        <v>163</v>
      </c>
      <c r="F49">
        <v>15</v>
      </c>
      <c r="G49" s="4">
        <v>1.07733258511741E-6</v>
      </c>
      <c r="H49" s="4">
        <v>1.31434575384324E-4</v>
      </c>
      <c r="I49" t="s">
        <v>12982</v>
      </c>
    </row>
    <row r="50" spans="1:9" x14ac:dyDescent="0.25">
      <c r="A50" t="s">
        <v>10488</v>
      </c>
      <c r="C50" s="3" t="str">
        <f>HYPERLINK("http://amigo.geneontology.org/amigo/term/GO:0070001","GO:0070001")</f>
        <v>GO:0070001</v>
      </c>
      <c r="D50" t="s">
        <v>6232</v>
      </c>
      <c r="E50">
        <v>442</v>
      </c>
      <c r="F50">
        <v>26</v>
      </c>
      <c r="G50" s="4">
        <v>1.24957609997612E-6</v>
      </c>
      <c r="H50" s="4">
        <v>1.39952523197326E-4</v>
      </c>
      <c r="I50" t="s">
        <v>12983</v>
      </c>
    </row>
    <row r="51" spans="1:9" x14ac:dyDescent="0.25">
      <c r="A51" t="s">
        <v>10489</v>
      </c>
      <c r="C51" s="3" t="str">
        <f>HYPERLINK("http://amigo.geneontology.org/amigo/term/GO:0004190","GO:0004190")</f>
        <v>GO:0004190</v>
      </c>
      <c r="D51" t="s">
        <v>6234</v>
      </c>
      <c r="E51">
        <v>442</v>
      </c>
      <c r="F51">
        <v>26</v>
      </c>
      <c r="G51" s="4">
        <v>1.24957609997612E-6</v>
      </c>
      <c r="H51" s="4">
        <v>1.43701251497254E-4</v>
      </c>
      <c r="I51" t="s">
        <v>12983</v>
      </c>
    </row>
    <row r="52" spans="1:9" x14ac:dyDescent="0.25">
      <c r="A52" t="s">
        <v>10492</v>
      </c>
      <c r="C52" s="3" t="str">
        <f>HYPERLINK("http://amigo.geneontology.org/amigo/term/GO:0048029","GO:0048029")</f>
        <v>GO:0048029</v>
      </c>
      <c r="D52" t="s">
        <v>1290</v>
      </c>
      <c r="E52">
        <v>70</v>
      </c>
      <c r="F52">
        <v>10</v>
      </c>
      <c r="G52" s="4">
        <v>1.2565541662283399E-6</v>
      </c>
      <c r="H52" s="4">
        <v>1.3822095828511799E-4</v>
      </c>
      <c r="I52" t="s">
        <v>12984</v>
      </c>
    </row>
    <row r="53" spans="1:9" x14ac:dyDescent="0.25">
      <c r="A53" t="s">
        <v>10494</v>
      </c>
      <c r="C53" s="3" t="str">
        <f>HYPERLINK("http://amigo.geneontology.org/amigo/term/GO:0070011","GO:0070011")</f>
        <v>GO:0070011</v>
      </c>
      <c r="D53" t="s">
        <v>151</v>
      </c>
      <c r="E53">
        <v>2258</v>
      </c>
      <c r="F53">
        <v>79</v>
      </c>
      <c r="G53" s="4">
        <v>1.3430886491389099E-6</v>
      </c>
      <c r="H53" s="4">
        <v>1.43710485457863E-4</v>
      </c>
      <c r="I53" t="s">
        <v>12985</v>
      </c>
    </row>
    <row r="54" spans="1:9" x14ac:dyDescent="0.25">
      <c r="A54" t="s">
        <v>10497</v>
      </c>
      <c r="C54" s="3" t="str">
        <f>HYPERLINK("http://amigo.geneontology.org/amigo/term/GO:0050794","GO:0050794")</f>
        <v>GO:0050794</v>
      </c>
      <c r="D54" t="s">
        <v>6855</v>
      </c>
      <c r="E54">
        <v>7609</v>
      </c>
      <c r="F54">
        <v>206</v>
      </c>
      <c r="G54" s="4">
        <v>3.5225487740753502E-6</v>
      </c>
      <c r="H54" s="4">
        <v>3.6986762127791102E-4</v>
      </c>
      <c r="I54" t="s">
        <v>12986</v>
      </c>
    </row>
    <row r="55" spans="1:9" x14ac:dyDescent="0.25">
      <c r="A55" t="s">
        <v>10499</v>
      </c>
      <c r="C55" s="3" t="str">
        <f>HYPERLINK("http://amigo.geneontology.org/amigo/term/GO:0006928","GO:0006928")</f>
        <v>GO:0006928</v>
      </c>
      <c r="D55" t="s">
        <v>1350</v>
      </c>
      <c r="E55">
        <v>180</v>
      </c>
      <c r="F55">
        <v>15</v>
      </c>
      <c r="G55" s="4">
        <v>3.7216463059726499E-6</v>
      </c>
      <c r="H55" s="4">
        <v>3.7960792320920999E-4</v>
      </c>
      <c r="I55" t="s">
        <v>12982</v>
      </c>
    </row>
    <row r="56" spans="1:9" x14ac:dyDescent="0.25">
      <c r="A56" t="s">
        <v>10502</v>
      </c>
      <c r="C56" s="3" t="str">
        <f>HYPERLINK("http://amigo.geneontology.org/amigo/term/GO:0051336","GO:0051336")</f>
        <v>GO:0051336</v>
      </c>
      <c r="D56" t="s">
        <v>7071</v>
      </c>
      <c r="E56">
        <v>148</v>
      </c>
      <c r="F56">
        <v>13</v>
      </c>
      <c r="G56" s="4">
        <v>9.2008610107915897E-6</v>
      </c>
      <c r="H56" s="4">
        <v>9.2008610107915901E-4</v>
      </c>
      <c r="I56" t="s">
        <v>12974</v>
      </c>
    </row>
    <row r="57" spans="1:9" x14ac:dyDescent="0.25">
      <c r="A57" t="s">
        <v>10504</v>
      </c>
      <c r="C57" s="3" t="str">
        <f>HYPERLINK("http://amigo.geneontology.org/amigo/term/GO:0050789","GO:0050789")</f>
        <v>GO:0050789</v>
      </c>
      <c r="D57" t="s">
        <v>6858</v>
      </c>
      <c r="E57">
        <v>8240</v>
      </c>
      <c r="F57">
        <v>217</v>
      </c>
      <c r="G57" s="4">
        <v>1.14816912511621E-5</v>
      </c>
      <c r="H57">
        <v>1.1252057426138799E-3</v>
      </c>
      <c r="I57" t="s">
        <v>12987</v>
      </c>
    </row>
    <row r="58" spans="1:9" x14ac:dyDescent="0.25">
      <c r="A58" t="s">
        <v>10511</v>
      </c>
      <c r="C58" s="3" t="str">
        <f>HYPERLINK("http://amigo.geneontology.org/amigo/term/GO:0003774","GO:0003774")</f>
        <v>GO:0003774</v>
      </c>
      <c r="D58" t="s">
        <v>689</v>
      </c>
      <c r="E58">
        <v>198</v>
      </c>
      <c r="F58">
        <v>15</v>
      </c>
      <c r="G58" s="4">
        <v>1.1809912949291E-5</v>
      </c>
      <c r="H58">
        <v>1.13375164313193E-3</v>
      </c>
      <c r="I58" t="s">
        <v>12982</v>
      </c>
    </row>
    <row r="59" spans="1:9" x14ac:dyDescent="0.25">
      <c r="A59" t="s">
        <v>10516</v>
      </c>
      <c r="C59" s="3" t="str">
        <f>HYPERLINK("http://amigo.geneontology.org/amigo/term/GO:0005871","GO:0005871")</f>
        <v>GO:0005871</v>
      </c>
      <c r="D59" t="s">
        <v>1275</v>
      </c>
      <c r="E59">
        <v>130</v>
      </c>
      <c r="F59">
        <v>12</v>
      </c>
      <c r="G59" s="4">
        <v>1.21801774325436E-5</v>
      </c>
      <c r="H59">
        <v>1.1449366786591001E-3</v>
      </c>
      <c r="I59" t="s">
        <v>12988</v>
      </c>
    </row>
    <row r="60" spans="1:9" x14ac:dyDescent="0.25">
      <c r="A60" t="s">
        <v>10521</v>
      </c>
      <c r="C60" s="3" t="str">
        <f>HYPERLINK("http://amigo.geneontology.org/amigo/term/GO:0030014","GO:0030014")</f>
        <v>GO:0030014</v>
      </c>
      <c r="D60" t="s">
        <v>10495</v>
      </c>
      <c r="E60">
        <v>18</v>
      </c>
      <c r="F60">
        <v>5</v>
      </c>
      <c r="G60" s="4">
        <v>2.1280912786438701E-5</v>
      </c>
      <c r="H60">
        <v>1.95784397635236E-3</v>
      </c>
      <c r="I60" t="s">
        <v>10496</v>
      </c>
    </row>
    <row r="61" spans="1:9" x14ac:dyDescent="0.25">
      <c r="A61" t="s">
        <v>10524</v>
      </c>
      <c r="C61" s="3" t="str">
        <f>HYPERLINK("http://amigo.geneontology.org/amigo/term/GO:0016781","GO:0016781")</f>
        <v>GO:0016781</v>
      </c>
      <c r="D61" t="s">
        <v>10490</v>
      </c>
      <c r="E61">
        <v>4</v>
      </c>
      <c r="F61">
        <v>3</v>
      </c>
      <c r="G61" s="4">
        <v>3.0880477611186598E-5</v>
      </c>
      <c r="H61">
        <v>2.71748202978442E-3</v>
      </c>
      <c r="I61" t="s">
        <v>10491</v>
      </c>
    </row>
    <row r="62" spans="1:9" x14ac:dyDescent="0.25">
      <c r="A62" t="s">
        <v>10528</v>
      </c>
      <c r="C62" s="3" t="str">
        <f>HYPERLINK("http://amigo.geneontology.org/amigo/term/GO:0050242","GO:0050242")</f>
        <v>GO:0050242</v>
      </c>
      <c r="D62" t="s">
        <v>10493</v>
      </c>
      <c r="E62">
        <v>4</v>
      </c>
      <c r="F62">
        <v>3</v>
      </c>
      <c r="G62" s="4">
        <v>3.0880477611186598E-5</v>
      </c>
      <c r="H62">
        <v>2.77924298500679E-3</v>
      </c>
      <c r="I62" t="s">
        <v>10491</v>
      </c>
    </row>
    <row r="63" spans="1:9" x14ac:dyDescent="0.25">
      <c r="A63" t="s">
        <v>10531</v>
      </c>
      <c r="C63" s="3" t="str">
        <f>HYPERLINK("http://amigo.geneontology.org/amigo/term/GO:0044421","GO:0044421")</f>
        <v>GO:0044421</v>
      </c>
      <c r="D63" t="s">
        <v>9677</v>
      </c>
      <c r="E63">
        <v>126</v>
      </c>
      <c r="F63">
        <v>11</v>
      </c>
      <c r="G63" s="4">
        <v>4.6674290195571899E-5</v>
      </c>
      <c r="H63">
        <v>4.0139889568191799E-3</v>
      </c>
      <c r="I63" t="s">
        <v>12989</v>
      </c>
    </row>
    <row r="64" spans="1:9" x14ac:dyDescent="0.25">
      <c r="A64" t="s">
        <v>10533</v>
      </c>
      <c r="C64" s="3" t="str">
        <f>HYPERLINK("http://amigo.geneontology.org/amigo/term/GO:0005615","GO:0005615")</f>
        <v>GO:0005615</v>
      </c>
      <c r="D64" t="s">
        <v>9663</v>
      </c>
      <c r="E64">
        <v>110</v>
      </c>
      <c r="F64">
        <v>10</v>
      </c>
      <c r="G64" s="4">
        <v>7.2632814923926997E-5</v>
      </c>
      <c r="H64">
        <v>6.1737892685337897E-3</v>
      </c>
      <c r="I64" t="s">
        <v>12990</v>
      </c>
    </row>
    <row r="65" spans="1:9" x14ac:dyDescent="0.25">
      <c r="A65" t="s">
        <v>10535</v>
      </c>
      <c r="C65" s="3" t="str">
        <f>HYPERLINK("http://amigo.geneontology.org/amigo/term/GO:0047800","GO:0047800")</f>
        <v>GO:0047800</v>
      </c>
      <c r="D65" t="s">
        <v>10766</v>
      </c>
      <c r="E65">
        <v>13</v>
      </c>
      <c r="F65">
        <v>4</v>
      </c>
      <c r="G65" s="4">
        <v>9.6296106228757196E-5</v>
      </c>
      <c r="H65">
        <v>7.9925768169868492E-3</v>
      </c>
      <c r="I65" t="s">
        <v>12991</v>
      </c>
    </row>
    <row r="66" spans="1:9" x14ac:dyDescent="0.25">
      <c r="A66" t="s">
        <v>8883</v>
      </c>
      <c r="C66" s="3" t="str">
        <f>HYPERLINK("http://amigo.geneontology.org/amigo/term/GO:0050790","GO:0050790")</f>
        <v>GO:0050790</v>
      </c>
      <c r="D66" t="s">
        <v>1064</v>
      </c>
      <c r="E66">
        <v>622</v>
      </c>
      <c r="F66">
        <v>27</v>
      </c>
      <c r="G66" s="4">
        <v>1.6597752556284201E-4</v>
      </c>
      <c r="H66">
        <v>1.3610157096153101E-2</v>
      </c>
      <c r="I66" t="s">
        <v>12992</v>
      </c>
    </row>
    <row r="67" spans="1:9" x14ac:dyDescent="0.25">
      <c r="A67" t="s">
        <v>12993</v>
      </c>
      <c r="C67" s="3" t="str">
        <f>HYPERLINK("http://amigo.geneontology.org/amigo/term/GO:0004175","GO:0004175")</f>
        <v>GO:0004175</v>
      </c>
      <c r="D67" t="s">
        <v>4314</v>
      </c>
      <c r="E67">
        <v>1198</v>
      </c>
      <c r="F67">
        <v>43</v>
      </c>
      <c r="G67" s="4">
        <v>1.9202051240867901E-4</v>
      </c>
      <c r="H67">
        <v>1.5361640992694299E-2</v>
      </c>
      <c r="I67" t="s">
        <v>12994</v>
      </c>
    </row>
    <row r="68" spans="1:9" x14ac:dyDescent="0.25">
      <c r="A68" t="s">
        <v>10540</v>
      </c>
      <c r="C68" s="3" t="str">
        <f>HYPERLINK("http://amigo.geneontology.org/amigo/term/GO:0033500","GO:0033500")</f>
        <v>GO:0033500</v>
      </c>
      <c r="D68" t="s">
        <v>695</v>
      </c>
      <c r="E68">
        <v>28</v>
      </c>
      <c r="F68">
        <v>5</v>
      </c>
      <c r="G68" s="4">
        <v>2.0696201515298099E-4</v>
      </c>
      <c r="H68">
        <v>1.5315189121320599E-2</v>
      </c>
      <c r="I68" t="s">
        <v>12995</v>
      </c>
    </row>
    <row r="69" spans="1:9" x14ac:dyDescent="0.25">
      <c r="A69" t="s">
        <v>10541</v>
      </c>
      <c r="C69" s="3" t="str">
        <f>HYPERLINK("http://amigo.geneontology.org/amigo/term/GO:0042593","GO:0042593")</f>
        <v>GO:0042593</v>
      </c>
      <c r="D69" t="s">
        <v>698</v>
      </c>
      <c r="E69">
        <v>28</v>
      </c>
      <c r="F69">
        <v>5</v>
      </c>
      <c r="G69" s="4">
        <v>2.0696201515298099E-4</v>
      </c>
      <c r="H69">
        <v>1.5522151136473501E-2</v>
      </c>
      <c r="I69" t="s">
        <v>12995</v>
      </c>
    </row>
    <row r="70" spans="1:9" x14ac:dyDescent="0.25">
      <c r="A70" t="s">
        <v>10544</v>
      </c>
      <c r="C70" s="3" t="str">
        <f>HYPERLINK("http://amigo.geneontology.org/amigo/term/GO:0001678","GO:0001678")</f>
        <v>GO:0001678</v>
      </c>
      <c r="D70" t="s">
        <v>700</v>
      </c>
      <c r="E70">
        <v>28</v>
      </c>
      <c r="F70">
        <v>5</v>
      </c>
      <c r="G70" s="4">
        <v>2.0696201515298099E-4</v>
      </c>
      <c r="H70">
        <v>1.5729113151626499E-2</v>
      </c>
      <c r="I70" t="s">
        <v>12995</v>
      </c>
    </row>
    <row r="71" spans="1:9" x14ac:dyDescent="0.25">
      <c r="A71" t="s">
        <v>10547</v>
      </c>
      <c r="C71" s="3" t="str">
        <f>HYPERLINK("http://amigo.geneontology.org/amigo/term/GO:0004396","GO:0004396")</f>
        <v>GO:0004396</v>
      </c>
      <c r="D71" t="s">
        <v>702</v>
      </c>
      <c r="E71">
        <v>28</v>
      </c>
      <c r="F71">
        <v>5</v>
      </c>
      <c r="G71" s="4">
        <v>2.0696201515298099E-4</v>
      </c>
      <c r="H71">
        <v>1.5936075166779501E-2</v>
      </c>
      <c r="I71" t="s">
        <v>12995</v>
      </c>
    </row>
    <row r="72" spans="1:9" x14ac:dyDescent="0.25">
      <c r="A72" t="s">
        <v>10548</v>
      </c>
      <c r="C72" s="3" t="str">
        <f>HYPERLINK("http://amigo.geneontology.org/amigo/term/GO:0005536","GO:0005536")</f>
        <v>GO:0005536</v>
      </c>
      <c r="D72" t="s">
        <v>704</v>
      </c>
      <c r="E72">
        <v>28</v>
      </c>
      <c r="F72">
        <v>5</v>
      </c>
      <c r="G72" s="4">
        <v>2.0696201515298099E-4</v>
      </c>
      <c r="H72">
        <v>1.6349999197085501E-2</v>
      </c>
      <c r="I72" t="s">
        <v>12995</v>
      </c>
    </row>
    <row r="73" spans="1:9" x14ac:dyDescent="0.25">
      <c r="A73" t="s">
        <v>10550</v>
      </c>
      <c r="C73" s="3" t="str">
        <f>HYPERLINK("http://amigo.geneontology.org/amigo/term/GO:0003676","GO:0003676")</f>
        <v>GO:0003676</v>
      </c>
      <c r="D73" t="s">
        <v>6865</v>
      </c>
      <c r="E73">
        <v>12098</v>
      </c>
      <c r="F73">
        <v>291</v>
      </c>
      <c r="G73" s="4">
        <v>2.6229025123457702E-4</v>
      </c>
      <c r="H73">
        <v>1.8884898088889501E-2</v>
      </c>
      <c r="I73" t="s">
        <v>12996</v>
      </c>
    </row>
    <row r="74" spans="1:9" x14ac:dyDescent="0.25">
      <c r="A74" t="s">
        <v>10552</v>
      </c>
      <c r="C74" s="3" t="str">
        <f>HYPERLINK("http://amigo.geneontology.org/amigo/term/GO:0065009","GO:0065009")</f>
        <v>GO:0065009</v>
      </c>
      <c r="D74" t="s">
        <v>879</v>
      </c>
      <c r="E74">
        <v>647</v>
      </c>
      <c r="F74">
        <v>27</v>
      </c>
      <c r="G74" s="4">
        <v>3.0816436416864997E-4</v>
      </c>
      <c r="H74">
        <v>2.1879669855974102E-2</v>
      </c>
      <c r="I74" t="s">
        <v>12992</v>
      </c>
    </row>
    <row r="75" spans="1:9" x14ac:dyDescent="0.25">
      <c r="A75" t="s">
        <v>10554</v>
      </c>
      <c r="C75" s="3" t="str">
        <f>HYPERLINK("http://amigo.geneontology.org/amigo/term/GO:0017171","GO:0017171")</f>
        <v>GO:0017171</v>
      </c>
      <c r="D75" t="s">
        <v>1186</v>
      </c>
      <c r="E75">
        <v>759</v>
      </c>
      <c r="F75">
        <v>30</v>
      </c>
      <c r="G75" s="4">
        <v>3.6659177851773301E-4</v>
      </c>
      <c r="H75">
        <v>2.5294832717723599E-2</v>
      </c>
      <c r="I75" t="s">
        <v>12997</v>
      </c>
    </row>
    <row r="76" spans="1:9" x14ac:dyDescent="0.25">
      <c r="A76" t="s">
        <v>10556</v>
      </c>
      <c r="C76" s="3" t="str">
        <f>HYPERLINK("http://amigo.geneontology.org/amigo/term/GO:0008236","GO:0008236")</f>
        <v>GO:0008236</v>
      </c>
      <c r="D76" t="s">
        <v>1189</v>
      </c>
      <c r="E76">
        <v>759</v>
      </c>
      <c r="F76">
        <v>30</v>
      </c>
      <c r="G76" s="4">
        <v>3.6659177851773301E-4</v>
      </c>
      <c r="H76">
        <v>2.56614244962413E-2</v>
      </c>
      <c r="I76" t="s">
        <v>12997</v>
      </c>
    </row>
    <row r="77" spans="1:9" x14ac:dyDescent="0.25">
      <c r="A77" t="s">
        <v>10559</v>
      </c>
      <c r="C77" s="3" t="str">
        <f>HYPERLINK("http://amigo.geneontology.org/amigo/term/GO:0005875","GO:0005875")</f>
        <v>GO:0005875</v>
      </c>
      <c r="D77" t="s">
        <v>1470</v>
      </c>
      <c r="E77">
        <v>188</v>
      </c>
      <c r="F77">
        <v>12</v>
      </c>
      <c r="G77" s="4">
        <v>4.2195129257661203E-4</v>
      </c>
      <c r="H77">
        <v>2.8692687895209599E-2</v>
      </c>
      <c r="I77" t="s">
        <v>12988</v>
      </c>
    </row>
    <row r="78" spans="1:9" x14ac:dyDescent="0.25">
      <c r="A78" t="s">
        <v>10561</v>
      </c>
      <c r="C78" s="3" t="str">
        <f>HYPERLINK("http://amigo.geneontology.org/amigo/term/GO:0008017","GO:0008017")</f>
        <v>GO:0008017</v>
      </c>
      <c r="D78" t="s">
        <v>5862</v>
      </c>
      <c r="E78">
        <v>244</v>
      </c>
      <c r="F78">
        <v>14</v>
      </c>
      <c r="G78" s="4">
        <v>4.3088893194438699E-4</v>
      </c>
      <c r="H78">
        <v>2.8869558440273901E-2</v>
      </c>
      <c r="I78" t="s">
        <v>12998</v>
      </c>
    </row>
    <row r="79" spans="1:9" x14ac:dyDescent="0.25">
      <c r="A79" t="s">
        <v>10562</v>
      </c>
      <c r="C79" s="3" t="str">
        <f>HYPERLINK("http://amigo.geneontology.org/amigo/term/GO:0009055","GO:0009055")</f>
        <v>GO:0009055</v>
      </c>
      <c r="D79" t="s">
        <v>1069</v>
      </c>
      <c r="E79">
        <v>856</v>
      </c>
      <c r="F79">
        <v>32</v>
      </c>
      <c r="G79" s="4">
        <v>6.1407453127497805E-4</v>
      </c>
      <c r="H79">
        <v>4.0528919064148503E-2</v>
      </c>
      <c r="I79" t="s">
        <v>12999</v>
      </c>
    </row>
    <row r="80" spans="1:9" x14ac:dyDescent="0.25">
      <c r="A80" t="s">
        <v>10564</v>
      </c>
      <c r="C80" s="3" t="str">
        <f>HYPERLINK("http://amigo.geneontology.org/amigo/term/GO:0051248","GO:0051248")</f>
        <v>GO:0051248</v>
      </c>
      <c r="D80" t="s">
        <v>6227</v>
      </c>
      <c r="E80">
        <v>228</v>
      </c>
      <c r="F80">
        <v>13</v>
      </c>
      <c r="G80" s="4">
        <v>7.2109543748470595E-4</v>
      </c>
      <c r="H80">
        <v>4.6150107999021202E-2</v>
      </c>
      <c r="I80" t="s">
        <v>12974</v>
      </c>
    </row>
    <row r="81" spans="1:9" x14ac:dyDescent="0.25">
      <c r="A81" t="s">
        <v>10566</v>
      </c>
      <c r="C81" s="3" t="str">
        <f>HYPERLINK("http://amigo.geneontology.org/amigo/term/GO:0032269","GO:0032269")</f>
        <v>GO:0032269</v>
      </c>
      <c r="D81" t="s">
        <v>6230</v>
      </c>
      <c r="E81">
        <v>228</v>
      </c>
      <c r="F81">
        <v>13</v>
      </c>
      <c r="G81" s="4">
        <v>7.2109543748470595E-4</v>
      </c>
      <c r="H81">
        <v>4.6871203436505901E-2</v>
      </c>
      <c r="I81" t="s">
        <v>12974</v>
      </c>
    </row>
    <row r="82" spans="1:9" x14ac:dyDescent="0.25">
      <c r="A82" t="s">
        <v>10568</v>
      </c>
      <c r="C82" s="3" t="str">
        <f>HYPERLINK("http://amigo.geneontology.org/amigo/term/GO:0044364","GO:0044364")</f>
        <v>GO:0044364</v>
      </c>
      <c r="D82" t="s">
        <v>10517</v>
      </c>
      <c r="E82">
        <v>37</v>
      </c>
      <c r="F82">
        <v>5</v>
      </c>
      <c r="G82" s="4">
        <v>7.9178507753809295E-4</v>
      </c>
      <c r="H82">
        <v>4.9090674807361803E-2</v>
      </c>
      <c r="I82" t="s">
        <v>13000</v>
      </c>
    </row>
    <row r="83" spans="1:9" x14ac:dyDescent="0.25">
      <c r="A83" t="s">
        <v>10569</v>
      </c>
      <c r="C83" s="3" t="str">
        <f>HYPERLINK("http://amigo.geneontology.org/amigo/term/GO:0031640","GO:0031640")</f>
        <v>GO:0031640</v>
      </c>
      <c r="D83" t="s">
        <v>10520</v>
      </c>
      <c r="E83">
        <v>37</v>
      </c>
      <c r="F83">
        <v>5</v>
      </c>
      <c r="G83" s="4">
        <v>7.9178507753809295E-4</v>
      </c>
      <c r="H83">
        <v>4.98824598848999E-2</v>
      </c>
      <c r="I83" t="s">
        <v>13000</v>
      </c>
    </row>
    <row r="84" spans="1:9" x14ac:dyDescent="0.25">
      <c r="A84" t="s">
        <v>10571</v>
      </c>
      <c r="C84" s="3" t="str">
        <f>HYPERLINK("http://amigo.geneontology.org/amigo/term/GO:0044210","GO:0044210")</f>
        <v>GO:0044210</v>
      </c>
      <c r="D84" t="s">
        <v>8789</v>
      </c>
      <c r="E84">
        <v>10</v>
      </c>
      <c r="F84">
        <v>3</v>
      </c>
      <c r="G84" s="4">
        <v>8.4699911264688604E-4</v>
      </c>
      <c r="H84">
        <v>5.166694587146E-2</v>
      </c>
      <c r="I84" t="s">
        <v>10555</v>
      </c>
    </row>
    <row r="85" spans="1:9" x14ac:dyDescent="0.25">
      <c r="A85" t="s">
        <v>10573</v>
      </c>
      <c r="C85" s="3" t="str">
        <f>HYPERLINK("http://amigo.geneontology.org/amigo/term/GO:0007017","GO:0007017")</f>
        <v>GO:0007017</v>
      </c>
      <c r="D85" t="s">
        <v>5877</v>
      </c>
      <c r="E85">
        <v>452</v>
      </c>
      <c r="F85">
        <v>20</v>
      </c>
      <c r="G85" s="4">
        <v>8.70206952719897E-4</v>
      </c>
      <c r="H85">
        <v>5.3082624115913697E-2</v>
      </c>
      <c r="I85" t="s">
        <v>13001</v>
      </c>
    </row>
    <row r="86" spans="1:9" x14ac:dyDescent="0.25">
      <c r="A86" t="s">
        <v>10576</v>
      </c>
      <c r="C86" s="3" t="str">
        <f>HYPERLINK("http://amigo.geneontology.org/amigo/term/GO:0015631","GO:0015631")</f>
        <v>GO:0015631</v>
      </c>
      <c r="D86" t="s">
        <v>5864</v>
      </c>
      <c r="E86">
        <v>275</v>
      </c>
      <c r="F86">
        <v>14</v>
      </c>
      <c r="G86">
        <v>1.3701290376044301E-3</v>
      </c>
      <c r="H86">
        <v>8.22077422562663E-2</v>
      </c>
      <c r="I86" t="s">
        <v>12998</v>
      </c>
    </row>
    <row r="87" spans="1:9" x14ac:dyDescent="0.25">
      <c r="A87" t="s">
        <v>10580</v>
      </c>
      <c r="C87" s="3" t="str">
        <f>HYPERLINK("http://amigo.geneontology.org/amigo/term/GO:0048447","GO:0048447")</f>
        <v>GO:0048447</v>
      </c>
      <c r="D87" t="s">
        <v>13002</v>
      </c>
      <c r="E87">
        <v>42</v>
      </c>
      <c r="F87">
        <v>5</v>
      </c>
      <c r="G87">
        <v>1.4237970565751099E-3</v>
      </c>
      <c r="H87">
        <v>8.1156432224781694E-2</v>
      </c>
      <c r="I87" t="s">
        <v>13003</v>
      </c>
    </row>
    <row r="88" spans="1:9" x14ac:dyDescent="0.25">
      <c r="A88" t="s">
        <v>10582</v>
      </c>
      <c r="C88" s="3" t="str">
        <f>HYPERLINK("http://amigo.geneontology.org/amigo/term/GO:0048453","GO:0048453")</f>
        <v>GO:0048453</v>
      </c>
      <c r="D88" t="s">
        <v>13004</v>
      </c>
      <c r="E88">
        <v>42</v>
      </c>
      <c r="F88">
        <v>5</v>
      </c>
      <c r="G88">
        <v>1.4237970565751099E-3</v>
      </c>
      <c r="H88">
        <v>8.2580229281356804E-2</v>
      </c>
      <c r="I88" t="s">
        <v>13003</v>
      </c>
    </row>
    <row r="89" spans="1:9" x14ac:dyDescent="0.25">
      <c r="A89" t="s">
        <v>10584</v>
      </c>
      <c r="C89" s="3" t="str">
        <f>HYPERLINK("http://amigo.geneontology.org/amigo/term/GO:0031418","GO:0031418")</f>
        <v>GO:0031418</v>
      </c>
      <c r="D89" t="s">
        <v>10591</v>
      </c>
      <c r="E89">
        <v>42</v>
      </c>
      <c r="F89">
        <v>5</v>
      </c>
      <c r="G89">
        <v>1.4237970565751099E-3</v>
      </c>
      <c r="H89">
        <v>8.4004026337931997E-2</v>
      </c>
      <c r="I89" t="s">
        <v>10592</v>
      </c>
    </row>
    <row r="90" spans="1:9" x14ac:dyDescent="0.25">
      <c r="A90" t="s">
        <v>8186</v>
      </c>
      <c r="C90" s="3" t="str">
        <f>HYPERLINK("http://amigo.geneontology.org/amigo/term/GO:0008083","GO:0008083")</f>
        <v>GO:0008083</v>
      </c>
      <c r="D90" t="s">
        <v>32</v>
      </c>
      <c r="E90">
        <v>12</v>
      </c>
      <c r="F90">
        <v>3</v>
      </c>
      <c r="G90">
        <v>1.50731287000307E-3</v>
      </c>
      <c r="H90">
        <v>8.5916833590175407E-2</v>
      </c>
      <c r="I90" t="s">
        <v>9567</v>
      </c>
    </row>
    <row r="91" spans="1:9" x14ac:dyDescent="0.25">
      <c r="A91" t="s">
        <v>10586</v>
      </c>
      <c r="C91" s="3" t="str">
        <f>HYPERLINK("http://amigo.geneontology.org/amigo/term/GO:0048451","GO:0048451")</f>
        <v>GO:0048451</v>
      </c>
      <c r="D91" t="s">
        <v>13005</v>
      </c>
      <c r="E91">
        <v>43</v>
      </c>
      <c r="F91">
        <v>5</v>
      </c>
      <c r="G91">
        <v>1.5850296907632901E-3</v>
      </c>
      <c r="H91">
        <v>8.8761662682744505E-2</v>
      </c>
      <c r="I91" t="s">
        <v>13003</v>
      </c>
    </row>
    <row r="92" spans="1:9" x14ac:dyDescent="0.25">
      <c r="A92" t="s">
        <v>10587</v>
      </c>
      <c r="C92" s="3" t="str">
        <f>HYPERLINK("http://amigo.geneontology.org/amigo/term/GO:0006511","GO:0006511")</f>
        <v>GO:0006511</v>
      </c>
      <c r="D92" t="s">
        <v>10545</v>
      </c>
      <c r="E92">
        <v>658</v>
      </c>
      <c r="F92">
        <v>25</v>
      </c>
      <c r="G92">
        <v>1.84266826482777E-3</v>
      </c>
      <c r="H92">
        <v>0.101346754565527</v>
      </c>
      <c r="I92" t="s">
        <v>13006</v>
      </c>
    </row>
    <row r="93" spans="1:9" x14ac:dyDescent="0.25">
      <c r="A93" t="s">
        <v>10590</v>
      </c>
      <c r="C93" s="3" t="str">
        <f>HYPERLINK("http://amigo.geneontology.org/amigo/term/GO:0003830","GO:0003830")</f>
        <v>GO:0003830</v>
      </c>
      <c r="D93" t="s">
        <v>10588</v>
      </c>
      <c r="E93">
        <v>13</v>
      </c>
      <c r="F93">
        <v>3</v>
      </c>
      <c r="G93">
        <v>1.93061789919638E-3</v>
      </c>
      <c r="H93">
        <v>0.1061839844558</v>
      </c>
      <c r="I93" t="s">
        <v>13007</v>
      </c>
    </row>
    <row r="94" spans="1:9" x14ac:dyDescent="0.25">
      <c r="A94" t="s">
        <v>10593</v>
      </c>
      <c r="C94" s="3" t="str">
        <f>HYPERLINK("http://amigo.geneontology.org/amigo/term/GO:0043632","GO:0043632")</f>
        <v>GO:0043632</v>
      </c>
      <c r="D94" t="s">
        <v>10549</v>
      </c>
      <c r="E94">
        <v>663</v>
      </c>
      <c r="F94">
        <v>25</v>
      </c>
      <c r="G94">
        <v>2.0365121632219098E-3</v>
      </c>
      <c r="H94">
        <v>0.107935144650761</v>
      </c>
      <c r="I94" t="s">
        <v>13006</v>
      </c>
    </row>
    <row r="95" spans="1:9" x14ac:dyDescent="0.25">
      <c r="A95" t="s">
        <v>10594</v>
      </c>
      <c r="C95" s="3" t="str">
        <f>HYPERLINK("http://amigo.geneontology.org/amigo/term/GO:0019941","GO:0019941")</f>
        <v>GO:0019941</v>
      </c>
      <c r="D95" t="s">
        <v>10551</v>
      </c>
      <c r="E95">
        <v>663</v>
      </c>
      <c r="F95">
        <v>25</v>
      </c>
      <c r="G95">
        <v>2.0365121632219098E-3</v>
      </c>
      <c r="H95">
        <v>0.10997165681398299</v>
      </c>
      <c r="I95" t="s">
        <v>13006</v>
      </c>
    </row>
    <row r="96" spans="1:9" x14ac:dyDescent="0.25">
      <c r="A96" t="s">
        <v>10595</v>
      </c>
      <c r="C96" s="3" t="str">
        <f>HYPERLINK("http://amigo.geneontology.org/amigo/term/GO:0048446","GO:0048446")</f>
        <v>GO:0048446</v>
      </c>
      <c r="D96" t="s">
        <v>13008</v>
      </c>
      <c r="E96">
        <v>46</v>
      </c>
      <c r="F96">
        <v>5</v>
      </c>
      <c r="G96">
        <v>2.1492584281349101E-3</v>
      </c>
      <c r="H96">
        <v>0.10961217983488</v>
      </c>
      <c r="I96" t="s">
        <v>13003</v>
      </c>
    </row>
    <row r="97" spans="1:9" x14ac:dyDescent="0.25">
      <c r="A97" t="s">
        <v>10597</v>
      </c>
      <c r="C97" s="3" t="str">
        <f>HYPERLINK("http://amigo.geneontology.org/amigo/term/GO:0048464","GO:0048464")</f>
        <v>GO:0048464</v>
      </c>
      <c r="D97" t="s">
        <v>13009</v>
      </c>
      <c r="E97">
        <v>46</v>
      </c>
      <c r="F97">
        <v>5</v>
      </c>
      <c r="G97">
        <v>2.1492584281349101E-3</v>
      </c>
      <c r="H97">
        <v>0.111761438263015</v>
      </c>
      <c r="I97" t="s">
        <v>13003</v>
      </c>
    </row>
    <row r="98" spans="1:9" x14ac:dyDescent="0.25">
      <c r="A98" t="s">
        <v>8901</v>
      </c>
      <c r="C98" s="3" t="str">
        <f>HYPERLINK("http://amigo.geneontology.org/amigo/term/GO:0048442","GO:0048442")</f>
        <v>GO:0048442</v>
      </c>
      <c r="D98" t="s">
        <v>13010</v>
      </c>
      <c r="E98">
        <v>46</v>
      </c>
      <c r="F98">
        <v>5</v>
      </c>
      <c r="G98">
        <v>2.1492584281349101E-3</v>
      </c>
      <c r="H98">
        <v>0.11391069669115</v>
      </c>
      <c r="I98" t="s">
        <v>13003</v>
      </c>
    </row>
    <row r="99" spans="1:9" x14ac:dyDescent="0.25">
      <c r="A99" t="s">
        <v>10601</v>
      </c>
      <c r="C99" s="3" t="str">
        <f>HYPERLINK("http://amigo.geneontology.org/amigo/term/GO:0051213","GO:0051213")</f>
        <v>GO:0051213</v>
      </c>
      <c r="D99" t="s">
        <v>5728</v>
      </c>
      <c r="E99">
        <v>396</v>
      </c>
      <c r="F99">
        <v>17</v>
      </c>
      <c r="G99">
        <v>2.7839507372764E-3</v>
      </c>
      <c r="H99">
        <v>0.141981487601096</v>
      </c>
      <c r="I99" t="s">
        <v>13011</v>
      </c>
    </row>
    <row r="100" spans="1:9" x14ac:dyDescent="0.25">
      <c r="A100" t="s">
        <v>10604</v>
      </c>
      <c r="C100" s="3" t="str">
        <f>HYPERLINK("http://amigo.geneontology.org/amigo/term/GO:0009678","GO:0009678")</f>
        <v>GO:0009678</v>
      </c>
      <c r="D100" t="s">
        <v>10602</v>
      </c>
      <c r="E100">
        <v>15</v>
      </c>
      <c r="F100">
        <v>3</v>
      </c>
      <c r="G100">
        <v>2.9816801936232702E-3</v>
      </c>
      <c r="H100">
        <v>0.14610232948754001</v>
      </c>
      <c r="I100" t="s">
        <v>10603</v>
      </c>
    </row>
    <row r="101" spans="1:9" x14ac:dyDescent="0.25">
      <c r="A101" t="s">
        <v>6998</v>
      </c>
      <c r="C101" s="3" t="str">
        <f>HYPERLINK("http://amigo.geneontology.org/amigo/term/GO:0003883","GO:0003883")</f>
        <v>GO:0003883</v>
      </c>
      <c r="D101" t="s">
        <v>8800</v>
      </c>
      <c r="E101">
        <v>15</v>
      </c>
      <c r="F101">
        <v>3</v>
      </c>
      <c r="G101">
        <v>2.9816801936232702E-3</v>
      </c>
      <c r="H101">
        <v>0.149084009681163</v>
      </c>
      <c r="I101" t="s">
        <v>10555</v>
      </c>
    </row>
    <row r="102" spans="1:9" x14ac:dyDescent="0.25">
      <c r="A102" t="s">
        <v>10607</v>
      </c>
      <c r="C102" s="3" t="str">
        <f>HYPERLINK("http://amigo.geneontology.org/amigo/term/GO:0003844","GO:0003844")</f>
        <v>GO:0003844</v>
      </c>
      <c r="D102" t="s">
        <v>10605</v>
      </c>
      <c r="E102">
        <v>15</v>
      </c>
      <c r="F102">
        <v>3</v>
      </c>
      <c r="G102">
        <v>2.9816801936232702E-3</v>
      </c>
      <c r="H102">
        <v>0.149084009681163</v>
      </c>
      <c r="I102" t="s">
        <v>10606</v>
      </c>
    </row>
    <row r="103" spans="1:9" x14ac:dyDescent="0.25">
      <c r="A103" t="s">
        <v>10609</v>
      </c>
      <c r="C103" s="3" t="str">
        <f>HYPERLINK("http://amigo.geneontology.org/amigo/term/GO:0030545","GO:0030545")</f>
        <v>GO:0030545</v>
      </c>
      <c r="D103" t="s">
        <v>35</v>
      </c>
      <c r="E103">
        <v>16</v>
      </c>
      <c r="F103">
        <v>3</v>
      </c>
      <c r="G103">
        <v>3.6158260996475601E-3</v>
      </c>
      <c r="H103">
        <v>0.173559652783083</v>
      </c>
      <c r="I103" t="s">
        <v>9567</v>
      </c>
    </row>
    <row r="104" spans="1:9" x14ac:dyDescent="0.25">
      <c r="A104" t="s">
        <v>13012</v>
      </c>
      <c r="C104" s="3" t="str">
        <f>HYPERLINK("http://amigo.geneontology.org/amigo/term/GO:0048018","GO:0048018")</f>
        <v>GO:0048018</v>
      </c>
      <c r="D104" t="s">
        <v>37</v>
      </c>
      <c r="E104">
        <v>16</v>
      </c>
      <c r="F104">
        <v>3</v>
      </c>
      <c r="G104">
        <v>3.6158260996475601E-3</v>
      </c>
      <c r="H104">
        <v>0.17717547888273</v>
      </c>
      <c r="I104" t="s">
        <v>9567</v>
      </c>
    </row>
    <row r="105" spans="1:9" x14ac:dyDescent="0.25">
      <c r="A105" t="s">
        <v>7001</v>
      </c>
      <c r="C105" s="3" t="str">
        <f>HYPERLINK("http://amigo.geneontology.org/amigo/term/GO:0035821","GO:0035821")</f>
        <v>GO:0035821</v>
      </c>
      <c r="D105" t="s">
        <v>10674</v>
      </c>
      <c r="E105">
        <v>101</v>
      </c>
      <c r="F105">
        <v>7</v>
      </c>
      <c r="G105">
        <v>4.1196872158338303E-3</v>
      </c>
      <c r="H105">
        <v>0.19774498636002399</v>
      </c>
      <c r="I105" t="s">
        <v>13013</v>
      </c>
    </row>
    <row r="106" spans="1:9" x14ac:dyDescent="0.25">
      <c r="A106" t="s">
        <v>13014</v>
      </c>
      <c r="C106" s="3" t="str">
        <f>HYPERLINK("http://amigo.geneontology.org/amigo/term/GO:0005874","GO:0005874")</f>
        <v>GO:0005874</v>
      </c>
      <c r="D106" t="s">
        <v>5884</v>
      </c>
      <c r="E106">
        <v>251</v>
      </c>
      <c r="F106">
        <v>12</v>
      </c>
      <c r="G106">
        <v>4.8107229726967503E-3</v>
      </c>
      <c r="H106">
        <v>0.22610397971674701</v>
      </c>
      <c r="I106" t="s">
        <v>12988</v>
      </c>
    </row>
    <row r="107" spans="1:9" x14ac:dyDescent="0.25">
      <c r="A107" t="s">
        <v>7003</v>
      </c>
      <c r="C107" s="3" t="str">
        <f>HYPERLINK("http://amigo.geneontology.org/amigo/term/GO:0005665","GO:0005665")</f>
        <v>GO:0005665</v>
      </c>
      <c r="D107" t="s">
        <v>8706</v>
      </c>
      <c r="E107">
        <v>18</v>
      </c>
      <c r="F107">
        <v>3</v>
      </c>
      <c r="G107">
        <v>5.1152844297701503E-3</v>
      </c>
      <c r="H107">
        <v>0.24041836819919701</v>
      </c>
      <c r="I107" t="s">
        <v>8707</v>
      </c>
    </row>
    <row r="108" spans="1:9" x14ac:dyDescent="0.25">
      <c r="A108" t="s">
        <v>10612</v>
      </c>
      <c r="C108" s="3" t="str">
        <f>HYPERLINK("http://amigo.geneontology.org/amigo/term/GO:0052689","GO:0052689")</f>
        <v>GO:0052689</v>
      </c>
      <c r="D108" t="s">
        <v>267</v>
      </c>
      <c r="E108">
        <v>389</v>
      </c>
      <c r="F108">
        <v>16</v>
      </c>
      <c r="G108">
        <v>5.4547246598650699E-3</v>
      </c>
      <c r="H108">
        <v>0.25091733435379299</v>
      </c>
      <c r="I108" t="s">
        <v>12978</v>
      </c>
    </row>
    <row r="109" spans="1:9" x14ac:dyDescent="0.25">
      <c r="A109" t="s">
        <v>10613</v>
      </c>
      <c r="C109" s="3" t="str">
        <f>HYPERLINK("http://amigo.geneontology.org/amigo/term/GO:0004556","GO:0004556")</f>
        <v>GO:0004556</v>
      </c>
      <c r="D109" t="s">
        <v>7131</v>
      </c>
      <c r="E109">
        <v>36</v>
      </c>
      <c r="F109">
        <v>4</v>
      </c>
      <c r="G109">
        <v>5.5204236346191203E-3</v>
      </c>
      <c r="H109">
        <v>0.253939487192479</v>
      </c>
      <c r="I109" t="s">
        <v>10665</v>
      </c>
    </row>
    <row r="110" spans="1:9" x14ac:dyDescent="0.25">
      <c r="A110" t="s">
        <v>10620</v>
      </c>
      <c r="C110" s="3" t="str">
        <f>HYPERLINK("http://amigo.geneontology.org/amigo/term/GO:0008863","GO:0008863")</f>
        <v>GO:0008863</v>
      </c>
      <c r="D110" t="s">
        <v>10522</v>
      </c>
      <c r="E110">
        <v>6</v>
      </c>
      <c r="F110">
        <v>2</v>
      </c>
      <c r="G110">
        <v>5.61532125789039E-3</v>
      </c>
      <c r="H110">
        <v>0.25268945660506698</v>
      </c>
      <c r="I110" t="s">
        <v>13015</v>
      </c>
    </row>
    <row r="111" spans="1:9" x14ac:dyDescent="0.25">
      <c r="A111" t="s">
        <v>10623</v>
      </c>
      <c r="C111" s="3" t="str">
        <f>HYPERLINK("http://amigo.geneontology.org/amigo/term/GO:0019566","GO:0019566")</f>
        <v>GO:0019566</v>
      </c>
      <c r="D111" t="s">
        <v>1278</v>
      </c>
      <c r="E111">
        <v>19</v>
      </c>
      <c r="F111">
        <v>3</v>
      </c>
      <c r="G111">
        <v>5.9854075307789901E-3</v>
      </c>
      <c r="H111">
        <v>0.26335793135427499</v>
      </c>
      <c r="I111" t="s">
        <v>10658</v>
      </c>
    </row>
    <row r="112" spans="1:9" x14ac:dyDescent="0.25">
      <c r="A112" t="s">
        <v>10625</v>
      </c>
      <c r="C112" s="3" t="str">
        <f>HYPERLINK("http://amigo.geneontology.org/amigo/term/GO:0046373","GO:0046373")</f>
        <v>GO:0046373</v>
      </c>
      <c r="D112" t="s">
        <v>1281</v>
      </c>
      <c r="E112">
        <v>19</v>
      </c>
      <c r="F112">
        <v>3</v>
      </c>
      <c r="G112">
        <v>5.9854075307789901E-3</v>
      </c>
      <c r="H112">
        <v>0.26335793135427499</v>
      </c>
      <c r="I112" t="s">
        <v>10658</v>
      </c>
    </row>
    <row r="113" spans="1:9" x14ac:dyDescent="0.25">
      <c r="A113" t="s">
        <v>10627</v>
      </c>
      <c r="C113" s="3" t="str">
        <f>HYPERLINK("http://amigo.geneontology.org/amigo/term/GO:0046556","GO:0046556")</f>
        <v>GO:0046556</v>
      </c>
      <c r="D113" t="s">
        <v>1283</v>
      </c>
      <c r="E113">
        <v>19</v>
      </c>
      <c r="F113">
        <v>3</v>
      </c>
      <c r="G113">
        <v>5.9854075307789901E-3</v>
      </c>
      <c r="H113">
        <v>0.26934333888505402</v>
      </c>
      <c r="I113" t="s">
        <v>10658</v>
      </c>
    </row>
    <row r="114" spans="1:9" x14ac:dyDescent="0.25">
      <c r="A114" t="s">
        <v>10628</v>
      </c>
      <c r="C114" s="3" t="str">
        <f>HYPERLINK("http://amigo.geneontology.org/amigo/term/GO:0044265","GO:0044265")</f>
        <v>GO:0044265</v>
      </c>
      <c r="D114" t="s">
        <v>10574</v>
      </c>
      <c r="E114">
        <v>955</v>
      </c>
      <c r="F114">
        <v>31</v>
      </c>
      <c r="G114">
        <v>6.0656302897413202E-3</v>
      </c>
      <c r="H114">
        <v>0.26082210245887599</v>
      </c>
      <c r="I114" t="s">
        <v>13016</v>
      </c>
    </row>
    <row r="115" spans="1:9" x14ac:dyDescent="0.25">
      <c r="A115" t="s">
        <v>10630</v>
      </c>
      <c r="C115" s="3" t="str">
        <f>HYPERLINK("http://amigo.geneontology.org/amigo/term/GO:0099081","GO:0099081")</f>
        <v>GO:0099081</v>
      </c>
      <c r="D115" t="s">
        <v>5886</v>
      </c>
      <c r="E115">
        <v>259</v>
      </c>
      <c r="F115">
        <v>12</v>
      </c>
      <c r="G115">
        <v>6.1330696238197299E-3</v>
      </c>
      <c r="H115">
        <v>0.257588924200428</v>
      </c>
      <c r="I115" t="s">
        <v>12988</v>
      </c>
    </row>
    <row r="116" spans="1:9" x14ac:dyDescent="0.25">
      <c r="A116" t="s">
        <v>10631</v>
      </c>
      <c r="C116" s="3" t="str">
        <f>HYPERLINK("http://amigo.geneontology.org/amigo/term/GO:0099512","GO:0099512")</f>
        <v>GO:0099512</v>
      </c>
      <c r="D116" t="s">
        <v>5887</v>
      </c>
      <c r="E116">
        <v>259</v>
      </c>
      <c r="F116">
        <v>12</v>
      </c>
      <c r="G116">
        <v>6.1330696238197299E-3</v>
      </c>
      <c r="H116">
        <v>0.26372199382424799</v>
      </c>
      <c r="I116" t="s">
        <v>12988</v>
      </c>
    </row>
    <row r="117" spans="1:9" x14ac:dyDescent="0.25">
      <c r="A117" t="s">
        <v>10632</v>
      </c>
      <c r="C117" s="3" t="str">
        <f>HYPERLINK("http://amigo.geneontology.org/amigo/term/GO:0099513","GO:0099513")</f>
        <v>GO:0099513</v>
      </c>
      <c r="D117" t="s">
        <v>5888</v>
      </c>
      <c r="E117">
        <v>259</v>
      </c>
      <c r="F117">
        <v>12</v>
      </c>
      <c r="G117">
        <v>6.1330696238197299E-3</v>
      </c>
      <c r="H117">
        <v>0.26372199382424799</v>
      </c>
      <c r="I117" t="s">
        <v>12988</v>
      </c>
    </row>
    <row r="118" spans="1:9" x14ac:dyDescent="0.25">
      <c r="A118" t="s">
        <v>10635</v>
      </c>
      <c r="C118" s="3" t="str">
        <f>HYPERLINK("http://amigo.geneontology.org/amigo/term/GO:0051603","GO:0051603")</f>
        <v>GO:0051603</v>
      </c>
      <c r="D118" t="s">
        <v>10600</v>
      </c>
      <c r="E118">
        <v>727</v>
      </c>
      <c r="F118">
        <v>25</v>
      </c>
      <c r="G118">
        <v>6.4982036021619402E-3</v>
      </c>
      <c r="H118">
        <v>0.27292455129080101</v>
      </c>
      <c r="I118" t="s">
        <v>13006</v>
      </c>
    </row>
    <row r="119" spans="1:9" x14ac:dyDescent="0.25">
      <c r="A119" t="s">
        <v>10637</v>
      </c>
      <c r="C119" s="3" t="str">
        <f>HYPERLINK("http://amigo.geneontology.org/amigo/term/GO:0043062","GO:0043062")</f>
        <v>GO:0043062</v>
      </c>
      <c r="D119" t="s">
        <v>6351</v>
      </c>
      <c r="E119">
        <v>38</v>
      </c>
      <c r="F119">
        <v>4</v>
      </c>
      <c r="G119">
        <v>6.7049630424669202E-3</v>
      </c>
      <c r="H119">
        <v>0.26819852169867697</v>
      </c>
      <c r="I119" t="s">
        <v>13017</v>
      </c>
    </row>
    <row r="120" spans="1:9" x14ac:dyDescent="0.25">
      <c r="A120" t="s">
        <v>10641</v>
      </c>
      <c r="C120" s="3" t="str">
        <f>HYPERLINK("http://amigo.geneontology.org/amigo/term/GO:0030198","GO:0030198")</f>
        <v>GO:0030198</v>
      </c>
      <c r="D120" t="s">
        <v>6353</v>
      </c>
      <c r="E120">
        <v>38</v>
      </c>
      <c r="F120">
        <v>4</v>
      </c>
      <c r="G120">
        <v>6.7049630424669202E-3</v>
      </c>
      <c r="H120">
        <v>0.26819852169867697</v>
      </c>
      <c r="I120" t="s">
        <v>13017</v>
      </c>
    </row>
    <row r="121" spans="1:9" x14ac:dyDescent="0.25">
      <c r="A121" t="s">
        <v>10643</v>
      </c>
      <c r="C121" s="3" t="str">
        <f>HYPERLINK("http://amigo.geneontology.org/amigo/term/GO:0070726","GO:0070726")</f>
        <v>GO:0070726</v>
      </c>
      <c r="D121" t="s">
        <v>6355</v>
      </c>
      <c r="E121">
        <v>38</v>
      </c>
      <c r="F121">
        <v>4</v>
      </c>
      <c r="G121">
        <v>6.7049630424669202E-3</v>
      </c>
      <c r="H121">
        <v>0.27490348474114401</v>
      </c>
      <c r="I121" t="s">
        <v>13017</v>
      </c>
    </row>
    <row r="122" spans="1:9" x14ac:dyDescent="0.25">
      <c r="A122" t="s">
        <v>10646</v>
      </c>
      <c r="C122" s="3" t="str">
        <f>HYPERLINK("http://amigo.geneontology.org/amigo/term/GO:0071668","GO:0071668")</f>
        <v>GO:0071668</v>
      </c>
      <c r="D122" t="s">
        <v>6357</v>
      </c>
      <c r="E122">
        <v>38</v>
      </c>
      <c r="F122">
        <v>4</v>
      </c>
      <c r="G122">
        <v>6.7049630424669202E-3</v>
      </c>
      <c r="H122">
        <v>0.27490348474114401</v>
      </c>
      <c r="I122" t="s">
        <v>13017</v>
      </c>
    </row>
    <row r="123" spans="1:9" x14ac:dyDescent="0.25">
      <c r="A123" t="s">
        <v>10647</v>
      </c>
      <c r="C123" s="3" t="str">
        <f>HYPERLINK("http://amigo.geneontology.org/amigo/term/GO:0010215","GO:0010215")</f>
        <v>GO:0010215</v>
      </c>
      <c r="D123" t="s">
        <v>6358</v>
      </c>
      <c r="E123">
        <v>38</v>
      </c>
      <c r="F123">
        <v>4</v>
      </c>
      <c r="G123">
        <v>6.7049630424669202E-3</v>
      </c>
      <c r="H123">
        <v>0.27490348474114401</v>
      </c>
      <c r="I123" t="s">
        <v>13017</v>
      </c>
    </row>
    <row r="124" spans="1:9" x14ac:dyDescent="0.25">
      <c r="A124" t="s">
        <v>10649</v>
      </c>
      <c r="C124" s="3" t="str">
        <f>HYPERLINK("http://amigo.geneontology.org/amigo/term/GO:0048465","GO:0048465")</f>
        <v>GO:0048465</v>
      </c>
      <c r="D124" t="s">
        <v>13018</v>
      </c>
      <c r="E124">
        <v>61</v>
      </c>
      <c r="F124">
        <v>5</v>
      </c>
      <c r="G124">
        <v>7.3114413593985397E-3</v>
      </c>
      <c r="H124">
        <v>0.28514621301654303</v>
      </c>
      <c r="I124" t="s">
        <v>13003</v>
      </c>
    </row>
    <row r="125" spans="1:9" x14ac:dyDescent="0.25">
      <c r="A125" t="s">
        <v>10652</v>
      </c>
      <c r="C125" s="3" t="str">
        <f>HYPERLINK("http://amigo.geneontology.org/amigo/term/GO:0048441","GO:0048441")</f>
        <v>GO:0048441</v>
      </c>
      <c r="D125" t="s">
        <v>13019</v>
      </c>
      <c r="E125">
        <v>61</v>
      </c>
      <c r="F125">
        <v>5</v>
      </c>
      <c r="G125">
        <v>7.3114413593985397E-3</v>
      </c>
      <c r="H125">
        <v>0.28514621301654303</v>
      </c>
      <c r="I125" t="s">
        <v>13003</v>
      </c>
    </row>
    <row r="126" spans="1:9" x14ac:dyDescent="0.25">
      <c r="A126" t="s">
        <v>10654</v>
      </c>
      <c r="C126" s="3" t="str">
        <f>HYPERLINK("http://amigo.geneontology.org/amigo/term/GO:0016630","GO:0016630")</f>
        <v>GO:0016630</v>
      </c>
      <c r="D126" t="s">
        <v>8712</v>
      </c>
      <c r="E126">
        <v>7</v>
      </c>
      <c r="F126">
        <v>2</v>
      </c>
      <c r="G126">
        <v>7.75811149134591E-3</v>
      </c>
      <c r="H126">
        <v>0.30256634816249001</v>
      </c>
      <c r="I126" t="s">
        <v>10667</v>
      </c>
    </row>
    <row r="127" spans="1:9" x14ac:dyDescent="0.25">
      <c r="A127" t="s">
        <v>7013</v>
      </c>
      <c r="C127" s="3" t="str">
        <f>HYPERLINK("http://amigo.geneontology.org/amigo/term/GO:0005102","GO:0005102")</f>
        <v>GO:0005102</v>
      </c>
      <c r="D127" t="s">
        <v>39</v>
      </c>
      <c r="E127">
        <v>21</v>
      </c>
      <c r="F127">
        <v>3</v>
      </c>
      <c r="G127">
        <v>7.9766927024435205E-3</v>
      </c>
      <c r="H127">
        <v>0.30311432269285299</v>
      </c>
      <c r="I127" t="s">
        <v>9567</v>
      </c>
    </row>
    <row r="128" spans="1:9" x14ac:dyDescent="0.25">
      <c r="A128" t="s">
        <v>10657</v>
      </c>
      <c r="C128" s="3" t="str">
        <f>HYPERLINK("http://amigo.geneontology.org/amigo/term/GO:0004805","GO:0004805")</f>
        <v>GO:0004805</v>
      </c>
      <c r="D128" t="s">
        <v>967</v>
      </c>
      <c r="E128">
        <v>21</v>
      </c>
      <c r="F128">
        <v>3</v>
      </c>
      <c r="G128">
        <v>7.9766927024435205E-3</v>
      </c>
      <c r="H128">
        <v>0.30311432269285299</v>
      </c>
      <c r="I128" t="s">
        <v>13020</v>
      </c>
    </row>
    <row r="129" spans="1:9" x14ac:dyDescent="0.25">
      <c r="A129" t="s">
        <v>10659</v>
      </c>
      <c r="C129" s="3" t="str">
        <f>HYPERLINK("http://amigo.geneontology.org/amigo/term/GO:0051172","GO:0051172")</f>
        <v>GO:0051172</v>
      </c>
      <c r="D129" t="s">
        <v>7163</v>
      </c>
      <c r="E129">
        <v>479</v>
      </c>
      <c r="F129">
        <v>18</v>
      </c>
      <c r="G129">
        <v>8.2576416305164407E-3</v>
      </c>
      <c r="H129">
        <v>0.313790381959624</v>
      </c>
      <c r="I129" t="s">
        <v>13021</v>
      </c>
    </row>
    <row r="130" spans="1:9" x14ac:dyDescent="0.25">
      <c r="A130" t="s">
        <v>10661</v>
      </c>
      <c r="C130" s="3" t="str">
        <f>HYPERLINK("http://amigo.geneontology.org/amigo/term/GO:0044257","GO:0044257")</f>
        <v>GO:0044257</v>
      </c>
      <c r="D130" t="s">
        <v>10610</v>
      </c>
      <c r="E130">
        <v>742</v>
      </c>
      <c r="F130">
        <v>25</v>
      </c>
      <c r="G130">
        <v>8.2804542394637193E-3</v>
      </c>
      <c r="H130">
        <v>0.306376806860157</v>
      </c>
      <c r="I130" t="s">
        <v>13006</v>
      </c>
    </row>
    <row r="131" spans="1:9" x14ac:dyDescent="0.25">
      <c r="A131" t="s">
        <v>10662</v>
      </c>
      <c r="C131" s="3" t="str">
        <f>HYPERLINK("http://amigo.geneontology.org/amigo/term/GO:0016160","GO:0016160")</f>
        <v>GO:0016160</v>
      </c>
      <c r="D131" t="s">
        <v>692</v>
      </c>
      <c r="E131">
        <v>65</v>
      </c>
      <c r="F131">
        <v>5</v>
      </c>
      <c r="G131">
        <v>9.51631465035448E-3</v>
      </c>
      <c r="H131">
        <v>0.35210364206311501</v>
      </c>
      <c r="I131" t="s">
        <v>13022</v>
      </c>
    </row>
    <row r="132" spans="1:9" x14ac:dyDescent="0.25">
      <c r="A132" t="s">
        <v>10666</v>
      </c>
      <c r="C132" s="3" t="str">
        <f>HYPERLINK("http://amigo.geneontology.org/amigo/term/GO:0031324","GO:0031324")</f>
        <v>GO:0031324</v>
      </c>
      <c r="D132" t="s">
        <v>7179</v>
      </c>
      <c r="E132">
        <v>488</v>
      </c>
      <c r="F132">
        <v>18</v>
      </c>
      <c r="G132">
        <v>9.8644136363720807E-3</v>
      </c>
      <c r="H132">
        <v>0.364983304545767</v>
      </c>
      <c r="I132" t="s">
        <v>13021</v>
      </c>
    </row>
    <row r="133" spans="1:9" x14ac:dyDescent="0.25">
      <c r="A133" t="s">
        <v>10668</v>
      </c>
      <c r="C133" s="3" t="str">
        <f>HYPERLINK("http://amigo.geneontology.org/amigo/term/GO:0003700","GO:0003700")</f>
        <v>GO:0003700</v>
      </c>
      <c r="D133" t="s">
        <v>5173</v>
      </c>
      <c r="E133">
        <v>2075</v>
      </c>
      <c r="F133">
        <v>57</v>
      </c>
      <c r="G133">
        <v>9.8700084921257997E-3</v>
      </c>
      <c r="H133">
        <v>0.365190314208654</v>
      </c>
      <c r="I133" t="s">
        <v>13023</v>
      </c>
    </row>
    <row r="134" spans="1:9" x14ac:dyDescent="0.25">
      <c r="A134" t="s">
        <v>10671</v>
      </c>
      <c r="C134" s="3" t="str">
        <f>HYPERLINK("http://amigo.geneontology.org/amigo/term/GO:0004185","GO:0004185")</f>
        <v>GO:0004185</v>
      </c>
      <c r="D134" t="s">
        <v>5892</v>
      </c>
      <c r="E134">
        <v>214</v>
      </c>
      <c r="F134">
        <v>10</v>
      </c>
      <c r="G134">
        <v>1.11056294609481E-2</v>
      </c>
      <c r="H134">
        <v>0.399802660594132</v>
      </c>
      <c r="I134" t="s">
        <v>13024</v>
      </c>
    </row>
    <row r="135" spans="1:9" x14ac:dyDescent="0.25">
      <c r="A135" t="s">
        <v>10673</v>
      </c>
      <c r="C135" s="3" t="str">
        <f>HYPERLINK("http://amigo.geneontology.org/amigo/term/GO:0016706","GO:0016706")</f>
        <v>GO:0016706</v>
      </c>
      <c r="D135" t="s">
        <v>5638</v>
      </c>
      <c r="E135">
        <v>251</v>
      </c>
      <c r="F135">
        <v>11</v>
      </c>
      <c r="G135">
        <v>1.24677381158165E-2</v>
      </c>
      <c r="H135">
        <v>0.44883857216939599</v>
      </c>
      <c r="I135" t="s">
        <v>13025</v>
      </c>
    </row>
    <row r="136" spans="1:9" x14ac:dyDescent="0.25">
      <c r="A136" t="s">
        <v>10676</v>
      </c>
      <c r="C136" s="3" t="str">
        <f>HYPERLINK("http://amigo.geneontology.org/amigo/term/GO:0043565","GO:0043565")</f>
        <v>GO:0043565</v>
      </c>
      <c r="D136" t="s">
        <v>5129</v>
      </c>
      <c r="E136">
        <v>1091</v>
      </c>
      <c r="F136">
        <v>33</v>
      </c>
      <c r="G136">
        <v>1.2673440226705E-2</v>
      </c>
      <c r="H136">
        <v>0.45624384816137997</v>
      </c>
      <c r="I136" t="s">
        <v>13026</v>
      </c>
    </row>
    <row r="137" spans="1:9" x14ac:dyDescent="0.25">
      <c r="A137" t="s">
        <v>10679</v>
      </c>
      <c r="C137" s="3" t="str">
        <f>HYPERLINK("http://amigo.geneontology.org/amigo/term/GO:0010605","GO:0010605")</f>
        <v>GO:0010605</v>
      </c>
      <c r="D137" t="s">
        <v>7497</v>
      </c>
      <c r="E137">
        <v>779</v>
      </c>
      <c r="F137">
        <v>25</v>
      </c>
      <c r="G137">
        <v>1.44248757317959E-2</v>
      </c>
      <c r="H137">
        <v>0.50487065061285996</v>
      </c>
      <c r="I137" t="s">
        <v>13027</v>
      </c>
    </row>
    <row r="138" spans="1:9" x14ac:dyDescent="0.25">
      <c r="A138" t="s">
        <v>10680</v>
      </c>
      <c r="C138" s="3" t="str">
        <f>HYPERLINK("http://amigo.geneontology.org/amigo/term/GO:0005978","GO:0005978")</f>
        <v>GO:0005978</v>
      </c>
      <c r="D138" t="s">
        <v>10731</v>
      </c>
      <c r="E138">
        <v>26</v>
      </c>
      <c r="F138">
        <v>3</v>
      </c>
      <c r="G138">
        <v>1.44900249550243E-2</v>
      </c>
      <c r="H138">
        <v>0.50715087342585097</v>
      </c>
      <c r="I138" t="s">
        <v>10606</v>
      </c>
    </row>
    <row r="139" spans="1:9" x14ac:dyDescent="0.25">
      <c r="A139" t="s">
        <v>10688</v>
      </c>
      <c r="C139" s="3" t="str">
        <f>HYPERLINK("http://amigo.geneontology.org/amigo/term/GO:0008762","GO:0008762")</f>
        <v>GO:0008762</v>
      </c>
      <c r="D139" t="s">
        <v>5623</v>
      </c>
      <c r="E139">
        <v>48</v>
      </c>
      <c r="F139">
        <v>4</v>
      </c>
      <c r="G139">
        <v>1.5129379877213101E-2</v>
      </c>
      <c r="H139">
        <v>0.52952829570245896</v>
      </c>
      <c r="I139" t="s">
        <v>13028</v>
      </c>
    </row>
    <row r="140" spans="1:9" x14ac:dyDescent="0.25">
      <c r="A140" t="s">
        <v>10691</v>
      </c>
      <c r="C140" s="3" t="str">
        <f>HYPERLINK("http://amigo.geneontology.org/amigo/term/GO:0004180","GO:0004180")</f>
        <v>GO:0004180</v>
      </c>
      <c r="D140" t="s">
        <v>5894</v>
      </c>
      <c r="E140">
        <v>225</v>
      </c>
      <c r="F140">
        <v>10</v>
      </c>
      <c r="G140">
        <v>1.5303065312527999E-2</v>
      </c>
      <c r="H140">
        <v>0.53560728593848095</v>
      </c>
      <c r="I140" t="s">
        <v>13024</v>
      </c>
    </row>
    <row r="141" spans="1:9" x14ac:dyDescent="0.25">
      <c r="A141" t="s">
        <v>10693</v>
      </c>
      <c r="C141" s="3" t="str">
        <f>HYPERLINK("http://amigo.geneontology.org/amigo/term/GO:0044419","GO:0044419")</f>
        <v>GO:0044419</v>
      </c>
      <c r="D141" t="s">
        <v>10778</v>
      </c>
      <c r="E141">
        <v>130</v>
      </c>
      <c r="F141">
        <v>7</v>
      </c>
      <c r="G141">
        <v>1.55190974583309E-2</v>
      </c>
      <c r="H141">
        <v>0.52764931358325096</v>
      </c>
      <c r="I141" t="s">
        <v>13013</v>
      </c>
    </row>
    <row r="142" spans="1:9" x14ac:dyDescent="0.25">
      <c r="A142" t="s">
        <v>10695</v>
      </c>
      <c r="C142" s="3" t="str">
        <f>HYPERLINK("http://amigo.geneontology.org/amigo/term/GO:0032268","GO:0032268")</f>
        <v>GO:0032268</v>
      </c>
      <c r="D142" t="s">
        <v>7306</v>
      </c>
      <c r="E142">
        <v>554</v>
      </c>
      <c r="F142">
        <v>19</v>
      </c>
      <c r="G142">
        <v>1.6487664120857001E-2</v>
      </c>
      <c r="H142">
        <v>0.56058058010913803</v>
      </c>
      <c r="I142" t="s">
        <v>13029</v>
      </c>
    </row>
    <row r="143" spans="1:9" x14ac:dyDescent="0.25">
      <c r="A143" t="s">
        <v>10697</v>
      </c>
      <c r="C143" s="3" t="str">
        <f>HYPERLINK("http://amigo.geneontology.org/amigo/term/GO:0070008","GO:0070008")</f>
        <v>GO:0070008</v>
      </c>
      <c r="D143" t="s">
        <v>5896</v>
      </c>
      <c r="E143">
        <v>232</v>
      </c>
      <c r="F143">
        <v>10</v>
      </c>
      <c r="G143">
        <v>1.8527098501525001E-2</v>
      </c>
      <c r="H143">
        <v>0.62992134905185004</v>
      </c>
      <c r="I143" t="s">
        <v>13024</v>
      </c>
    </row>
    <row r="144" spans="1:9" x14ac:dyDescent="0.25">
      <c r="A144" t="s">
        <v>10699</v>
      </c>
      <c r="C144" s="3" t="str">
        <f>HYPERLINK("http://amigo.geneontology.org/amigo/term/GO:0009892","GO:0009892")</f>
        <v>GO:0009892</v>
      </c>
      <c r="D144" t="s">
        <v>9049</v>
      </c>
      <c r="E144">
        <v>800</v>
      </c>
      <c r="F144">
        <v>25</v>
      </c>
      <c r="G144">
        <v>1.9273026795511902E-2</v>
      </c>
      <c r="H144">
        <v>0.63600988425189298</v>
      </c>
      <c r="I144" t="s">
        <v>13027</v>
      </c>
    </row>
    <row r="145" spans="1:9" x14ac:dyDescent="0.25">
      <c r="A145" t="s">
        <v>10701</v>
      </c>
      <c r="C145" s="3" t="str">
        <f>HYPERLINK("http://amigo.geneontology.org/amigo/term/GO:0046835","GO:0046835")</f>
        <v>GO:0046835</v>
      </c>
      <c r="D145" t="s">
        <v>891</v>
      </c>
      <c r="E145">
        <v>78</v>
      </c>
      <c r="F145">
        <v>5</v>
      </c>
      <c r="G145">
        <v>1.9737690347461201E-2</v>
      </c>
      <c r="H145">
        <v>0.65134378146621996</v>
      </c>
      <c r="I145" t="s">
        <v>12995</v>
      </c>
    </row>
    <row r="146" spans="1:9" x14ac:dyDescent="0.25">
      <c r="A146" t="s">
        <v>10703</v>
      </c>
      <c r="C146" s="3" t="str">
        <f>HYPERLINK("http://amigo.geneontology.org/amigo/term/GO:0031176","GO:0031176")</f>
        <v>GO:0031176</v>
      </c>
      <c r="D146" t="s">
        <v>13030</v>
      </c>
      <c r="E146">
        <v>1</v>
      </c>
      <c r="F146">
        <v>1</v>
      </c>
      <c r="G146">
        <v>1.98757119318713E-2</v>
      </c>
      <c r="H146">
        <v>0.63602278181988303</v>
      </c>
      <c r="I146" t="s">
        <v>13031</v>
      </c>
    </row>
    <row r="147" spans="1:9" x14ac:dyDescent="0.25">
      <c r="A147" t="s">
        <v>10704</v>
      </c>
      <c r="C147" s="3" t="str">
        <f>HYPERLINK("http://amigo.geneontology.org/amigo/term/GO:0071077","GO:0071077")</f>
        <v>GO:0071077</v>
      </c>
      <c r="D147" t="s">
        <v>7361</v>
      </c>
      <c r="E147">
        <v>1</v>
      </c>
      <c r="F147">
        <v>1</v>
      </c>
      <c r="G147">
        <v>1.98757119318713E-2</v>
      </c>
      <c r="H147">
        <v>0.63602278181988303</v>
      </c>
      <c r="I147" t="s">
        <v>7362</v>
      </c>
    </row>
    <row r="148" spans="1:9" x14ac:dyDescent="0.25">
      <c r="A148" t="s">
        <v>10706</v>
      </c>
      <c r="C148" s="3" t="str">
        <f>HYPERLINK("http://amigo.geneontology.org/amigo/term/GO:0015228","GO:0015228")</f>
        <v>GO:0015228</v>
      </c>
      <c r="D148" t="s">
        <v>7364</v>
      </c>
      <c r="E148">
        <v>1</v>
      </c>
      <c r="F148">
        <v>1</v>
      </c>
      <c r="G148">
        <v>1.98757119318713E-2</v>
      </c>
      <c r="H148">
        <v>0.63602278181988303</v>
      </c>
      <c r="I148" t="s">
        <v>7362</v>
      </c>
    </row>
    <row r="149" spans="1:9" x14ac:dyDescent="0.25">
      <c r="A149" t="s">
        <v>10707</v>
      </c>
      <c r="C149" s="3" t="str">
        <f>HYPERLINK("http://amigo.geneontology.org/amigo/term/GO:0015880","GO:0015880")</f>
        <v>GO:0015880</v>
      </c>
      <c r="D149" t="s">
        <v>7366</v>
      </c>
      <c r="E149">
        <v>1</v>
      </c>
      <c r="F149">
        <v>1</v>
      </c>
      <c r="G149">
        <v>1.98757119318713E-2</v>
      </c>
      <c r="H149">
        <v>0.63602278181988303</v>
      </c>
      <c r="I149" t="s">
        <v>7362</v>
      </c>
    </row>
    <row r="150" spans="1:9" x14ac:dyDescent="0.25">
      <c r="A150" t="s">
        <v>10712</v>
      </c>
      <c r="C150" s="3" t="str">
        <f>HYPERLINK("http://amigo.geneontology.org/amigo/term/GO:0071106","GO:0071106")</f>
        <v>GO:0071106</v>
      </c>
      <c r="D150" t="s">
        <v>7368</v>
      </c>
      <c r="E150">
        <v>1</v>
      </c>
      <c r="F150">
        <v>1</v>
      </c>
      <c r="G150">
        <v>1.98757119318713E-2</v>
      </c>
      <c r="H150">
        <v>0.65589849375175402</v>
      </c>
      <c r="I150" t="s">
        <v>7362</v>
      </c>
    </row>
    <row r="151" spans="1:9" x14ac:dyDescent="0.25">
      <c r="A151" t="s">
        <v>10715</v>
      </c>
      <c r="C151" s="3" t="str">
        <f>HYPERLINK("http://amigo.geneontology.org/amigo/term/GO:0035349","GO:0035349")</f>
        <v>GO:0035349</v>
      </c>
      <c r="D151" t="s">
        <v>7370</v>
      </c>
      <c r="E151">
        <v>1</v>
      </c>
      <c r="F151">
        <v>1</v>
      </c>
      <c r="G151">
        <v>1.98757119318713E-2</v>
      </c>
      <c r="H151">
        <v>0.65589849375175402</v>
      </c>
      <c r="I151" t="s">
        <v>7362</v>
      </c>
    </row>
    <row r="152" spans="1:9" x14ac:dyDescent="0.25">
      <c r="A152" t="s">
        <v>10718</v>
      </c>
      <c r="C152" s="3" t="str">
        <f>HYPERLINK("http://amigo.geneontology.org/amigo/term/GO:0030163","GO:0030163")</f>
        <v>GO:0030163</v>
      </c>
      <c r="D152" t="s">
        <v>10698</v>
      </c>
      <c r="E152">
        <v>807</v>
      </c>
      <c r="F152">
        <v>25</v>
      </c>
      <c r="G152">
        <v>2.1146265640300199E-2</v>
      </c>
      <c r="H152">
        <v>0.67668050048960904</v>
      </c>
      <c r="I152" t="s">
        <v>13006</v>
      </c>
    </row>
    <row r="153" spans="1:9" x14ac:dyDescent="0.25">
      <c r="A153" t="s">
        <v>7054</v>
      </c>
      <c r="C153" s="3" t="str">
        <f>HYPERLINK("http://amigo.geneontology.org/amigo/term/GO:0009057","GO:0009057")</f>
        <v>GO:0009057</v>
      </c>
      <c r="D153" t="s">
        <v>9098</v>
      </c>
      <c r="E153">
        <v>1228</v>
      </c>
      <c r="F153">
        <v>35</v>
      </c>
      <c r="G153">
        <v>2.3207563012972499E-2</v>
      </c>
      <c r="H153">
        <v>0.71943445340214796</v>
      </c>
      <c r="I153" t="s">
        <v>13032</v>
      </c>
    </row>
    <row r="154" spans="1:9" x14ac:dyDescent="0.25">
      <c r="A154" t="s">
        <v>10723</v>
      </c>
      <c r="C154" s="3" t="str">
        <f>HYPERLINK("http://amigo.geneontology.org/amigo/term/GO:0051246","GO:0051246")</f>
        <v>GO:0051246</v>
      </c>
      <c r="D154" t="s">
        <v>7327</v>
      </c>
      <c r="E154">
        <v>576</v>
      </c>
      <c r="F154">
        <v>19</v>
      </c>
      <c r="G154">
        <v>2.3487683702973199E-2</v>
      </c>
      <c r="H154">
        <v>0.72811819479217099</v>
      </c>
      <c r="I154" t="s">
        <v>13029</v>
      </c>
    </row>
    <row r="155" spans="1:9" x14ac:dyDescent="0.25">
      <c r="A155" t="s">
        <v>10725</v>
      </c>
      <c r="C155" s="3" t="str">
        <f>HYPERLINK("http://amigo.geneontology.org/amigo/term/GO:0016762","GO:0016762")</f>
        <v>GO:0016762</v>
      </c>
      <c r="D155" t="s">
        <v>332</v>
      </c>
      <c r="E155">
        <v>142</v>
      </c>
      <c r="F155">
        <v>7</v>
      </c>
      <c r="G155">
        <v>2.3893987009158901E-2</v>
      </c>
      <c r="H155">
        <v>0.74071359728392805</v>
      </c>
      <c r="I155" t="s">
        <v>13033</v>
      </c>
    </row>
    <row r="156" spans="1:9" x14ac:dyDescent="0.25">
      <c r="A156" t="s">
        <v>10730</v>
      </c>
      <c r="C156" s="3" t="str">
        <f>HYPERLINK("http://amigo.geneontology.org/amigo/term/GO:0004557","GO:0004557")</f>
        <v>GO:0004557</v>
      </c>
      <c r="D156" t="s">
        <v>5324</v>
      </c>
      <c r="E156">
        <v>13</v>
      </c>
      <c r="F156">
        <v>2</v>
      </c>
      <c r="G156">
        <v>2.66292213350839E-2</v>
      </c>
      <c r="H156">
        <v>0.79887664005251902</v>
      </c>
      <c r="I156" t="s">
        <v>10763</v>
      </c>
    </row>
    <row r="157" spans="1:9" x14ac:dyDescent="0.25">
      <c r="A157" t="s">
        <v>10734</v>
      </c>
      <c r="C157" s="3" t="str">
        <f>HYPERLINK("http://amigo.geneontology.org/amigo/term/GO:0052692","GO:0052692")</f>
        <v>GO:0052692</v>
      </c>
      <c r="D157" t="s">
        <v>5326</v>
      </c>
      <c r="E157">
        <v>13</v>
      </c>
      <c r="F157">
        <v>2</v>
      </c>
      <c r="G157">
        <v>2.66292213350839E-2</v>
      </c>
      <c r="H157">
        <v>0.82550586138760296</v>
      </c>
      <c r="I157" t="s">
        <v>10763</v>
      </c>
    </row>
    <row r="158" spans="1:9" x14ac:dyDescent="0.25">
      <c r="A158" t="s">
        <v>10736</v>
      </c>
      <c r="C158" s="3" t="str">
        <f>HYPERLINK("http://amigo.geneontology.org/amigo/term/GO:0000911","GO:0000911")</f>
        <v>GO:0000911</v>
      </c>
      <c r="D158" t="s">
        <v>13034</v>
      </c>
      <c r="E158">
        <v>114</v>
      </c>
      <c r="F158">
        <v>6</v>
      </c>
      <c r="G158">
        <v>2.6666327636231401E-2</v>
      </c>
      <c r="H158">
        <v>0.79998982908694205</v>
      </c>
      <c r="I158" t="s">
        <v>13035</v>
      </c>
    </row>
    <row r="159" spans="1:9" x14ac:dyDescent="0.25">
      <c r="A159" t="s">
        <v>10741</v>
      </c>
      <c r="C159" s="3" t="str">
        <f>HYPERLINK("http://amigo.geneontology.org/amigo/term/GO:0048449","GO:0048449")</f>
        <v>GO:0048449</v>
      </c>
      <c r="D159" t="s">
        <v>13036</v>
      </c>
      <c r="E159">
        <v>115</v>
      </c>
      <c r="F159">
        <v>6</v>
      </c>
      <c r="G159">
        <v>2.7678277635102298E-2</v>
      </c>
      <c r="H159">
        <v>0.83034832905307099</v>
      </c>
      <c r="I159" t="s">
        <v>13037</v>
      </c>
    </row>
    <row r="160" spans="1:9" x14ac:dyDescent="0.25">
      <c r="A160" t="s">
        <v>10743</v>
      </c>
      <c r="C160" s="3" t="str">
        <f>HYPERLINK("http://amigo.geneontology.org/amigo/term/GO:0010411","GO:0010411")</f>
        <v>GO:0010411</v>
      </c>
      <c r="D160" t="s">
        <v>416</v>
      </c>
      <c r="E160">
        <v>147</v>
      </c>
      <c r="F160">
        <v>7</v>
      </c>
      <c r="G160">
        <v>2.8156392148138799E-2</v>
      </c>
      <c r="H160">
        <v>0.84469176444416505</v>
      </c>
      <c r="I160" t="s">
        <v>13033</v>
      </c>
    </row>
    <row r="161" spans="1:9" x14ac:dyDescent="0.25">
      <c r="A161" t="s">
        <v>10750</v>
      </c>
      <c r="C161" s="3" t="str">
        <f>HYPERLINK("http://amigo.geneontology.org/amigo/term/GO:0006465","GO:0006465")</f>
        <v>GO:0006465</v>
      </c>
      <c r="D161" t="s">
        <v>10644</v>
      </c>
      <c r="E161">
        <v>34</v>
      </c>
      <c r="F161">
        <v>3</v>
      </c>
      <c r="G161">
        <v>2.96792635357442E-2</v>
      </c>
      <c r="H161">
        <v>0.89037790607232603</v>
      </c>
      <c r="I161" t="s">
        <v>13038</v>
      </c>
    </row>
    <row r="162" spans="1:9" x14ac:dyDescent="0.25">
      <c r="A162" t="s">
        <v>10752</v>
      </c>
      <c r="C162" s="3" t="str">
        <f>HYPERLINK("http://amigo.geneontology.org/amigo/term/GO:0004722","GO:0004722")</f>
        <v>GO:0004722</v>
      </c>
      <c r="D162" t="s">
        <v>5298</v>
      </c>
      <c r="E162">
        <v>221</v>
      </c>
      <c r="F162">
        <v>9</v>
      </c>
      <c r="G162">
        <v>3.37405646169463E-2</v>
      </c>
      <c r="H162">
        <v>0.97847637389144404</v>
      </c>
      <c r="I162" t="s">
        <v>13039</v>
      </c>
    </row>
    <row r="163" spans="1:9" x14ac:dyDescent="0.25">
      <c r="A163" t="s">
        <v>10756</v>
      </c>
      <c r="C163" s="3" t="str">
        <f>HYPERLINK("http://amigo.geneontology.org/amigo/term/GO:0032506","GO:0032506")</f>
        <v>GO:0032506</v>
      </c>
      <c r="D163" t="s">
        <v>13040</v>
      </c>
      <c r="E163">
        <v>121</v>
      </c>
      <c r="F163">
        <v>6</v>
      </c>
      <c r="G163">
        <v>3.4282231957904502E-2</v>
      </c>
      <c r="H163">
        <v>0.99418472677923098</v>
      </c>
      <c r="I163" t="s">
        <v>13035</v>
      </c>
    </row>
    <row r="164" spans="1:9" x14ac:dyDescent="0.25">
      <c r="A164" t="s">
        <v>10760</v>
      </c>
      <c r="C164" s="3" t="str">
        <f>HYPERLINK("http://amigo.geneontology.org/amigo/term/GO:1902410","GO:1902410")</f>
        <v>GO:1902410</v>
      </c>
      <c r="D164" t="s">
        <v>13041</v>
      </c>
      <c r="E164">
        <v>121</v>
      </c>
      <c r="F164">
        <v>6</v>
      </c>
      <c r="G164">
        <v>3.4282231957904502E-2</v>
      </c>
      <c r="H164">
        <v>0.99418472677923098</v>
      </c>
      <c r="I164" t="s">
        <v>13035</v>
      </c>
    </row>
    <row r="165" spans="1:9" x14ac:dyDescent="0.25">
      <c r="A165" t="s">
        <v>10764</v>
      </c>
      <c r="C165" s="3" t="str">
        <f>HYPERLINK("http://amigo.geneontology.org/amigo/term/GO:0006112","GO:0006112")</f>
        <v>GO:0006112</v>
      </c>
      <c r="D165" t="s">
        <v>1001</v>
      </c>
      <c r="E165">
        <v>36</v>
      </c>
      <c r="F165">
        <v>3</v>
      </c>
      <c r="G165">
        <v>3.4401133968925503E-2</v>
      </c>
      <c r="H165">
        <v>0.99763288509883996</v>
      </c>
      <c r="I165" t="s">
        <v>10606</v>
      </c>
    </row>
    <row r="166" spans="1:9" x14ac:dyDescent="0.25">
      <c r="A166" t="s">
        <v>10771</v>
      </c>
      <c r="C166" s="3" t="str">
        <f>HYPERLINK("http://amigo.geneontology.org/amigo/term/GO:0005977","GO:0005977")</f>
        <v>GO:0005977</v>
      </c>
      <c r="D166" t="s">
        <v>1004</v>
      </c>
      <c r="E166">
        <v>36</v>
      </c>
      <c r="F166">
        <v>3</v>
      </c>
      <c r="G166">
        <v>3.4401133968925503E-2</v>
      </c>
      <c r="H166">
        <v>0.99763288509883996</v>
      </c>
      <c r="I166" t="s">
        <v>10606</v>
      </c>
    </row>
    <row r="167" spans="1:9" x14ac:dyDescent="0.25">
      <c r="A167" t="s">
        <v>10773</v>
      </c>
      <c r="C167" s="3" t="str">
        <f>HYPERLINK("http://amigo.geneontology.org/amigo/term/GO:0004252","GO:0004252")</f>
        <v>GO:0004252</v>
      </c>
      <c r="D167" t="s">
        <v>858</v>
      </c>
      <c r="E167">
        <v>446</v>
      </c>
      <c r="F167">
        <v>15</v>
      </c>
      <c r="G167">
        <v>3.5274083366277999E-2</v>
      </c>
      <c r="H167">
        <v>0.98767433425578499</v>
      </c>
      <c r="I167" t="s">
        <v>13042</v>
      </c>
    </row>
    <row r="168" spans="1:9" x14ac:dyDescent="0.25">
      <c r="A168" t="s">
        <v>10776</v>
      </c>
      <c r="C168" s="3" t="str">
        <f>HYPERLINK("http://amigo.geneontology.org/amigo/term/GO:0005618","GO:0005618")</f>
        <v>GO:0005618</v>
      </c>
      <c r="D168" t="s">
        <v>218</v>
      </c>
      <c r="E168">
        <v>446</v>
      </c>
      <c r="F168">
        <v>15</v>
      </c>
      <c r="G168">
        <v>3.5274083366277999E-2</v>
      </c>
      <c r="H168">
        <v>0.98767433425578499</v>
      </c>
      <c r="I168" t="s">
        <v>13043</v>
      </c>
    </row>
    <row r="169" spans="1:9" x14ac:dyDescent="0.25">
      <c r="A169" t="s">
        <v>10777</v>
      </c>
      <c r="C169" s="3" t="str">
        <f>HYPERLINK("http://amigo.geneontology.org/amigo/term/GO:0000281","GO:0000281")</f>
        <v>GO:0000281</v>
      </c>
      <c r="D169" t="s">
        <v>13044</v>
      </c>
      <c r="E169">
        <v>122</v>
      </c>
      <c r="F169">
        <v>6</v>
      </c>
      <c r="G169">
        <v>3.5473306294914603E-2</v>
      </c>
      <c r="H169">
        <v>0.99325257625761099</v>
      </c>
      <c r="I169" t="s">
        <v>13035</v>
      </c>
    </row>
    <row r="170" spans="1:9" x14ac:dyDescent="0.25">
      <c r="A170" t="s">
        <v>10779</v>
      </c>
      <c r="C170" s="3" t="str">
        <f>HYPERLINK("http://amigo.geneontology.org/amigo/term/GO:0061640","GO:0061640")</f>
        <v>GO:0061640</v>
      </c>
      <c r="D170" t="s">
        <v>13045</v>
      </c>
      <c r="E170">
        <v>123</v>
      </c>
      <c r="F170">
        <v>6</v>
      </c>
      <c r="G170">
        <v>3.6690653806024598E-2</v>
      </c>
      <c r="H170">
        <v>1</v>
      </c>
      <c r="I170" t="s">
        <v>13035</v>
      </c>
    </row>
    <row r="171" spans="1:9" x14ac:dyDescent="0.25">
      <c r="A171" t="s">
        <v>10781</v>
      </c>
      <c r="C171" s="3" t="str">
        <f>HYPERLINK("http://amigo.geneontology.org/amigo/term/GO:0009798","GO:0009798")</f>
        <v>GO:0009798</v>
      </c>
      <c r="D171" t="s">
        <v>13046</v>
      </c>
      <c r="E171">
        <v>37</v>
      </c>
      <c r="F171">
        <v>3</v>
      </c>
      <c r="G171">
        <v>3.6898858262536097E-2</v>
      </c>
      <c r="H171">
        <v>1</v>
      </c>
      <c r="I171" t="s">
        <v>13047</v>
      </c>
    </row>
    <row r="172" spans="1:9" x14ac:dyDescent="0.25">
      <c r="A172" t="s">
        <v>10783</v>
      </c>
      <c r="C172" s="3" t="str">
        <f>HYPERLINK("http://amigo.geneontology.org/amigo/term/GO:0030312","GO:0030312")</f>
        <v>GO:0030312</v>
      </c>
      <c r="D172" t="s">
        <v>209</v>
      </c>
      <c r="E172">
        <v>450</v>
      </c>
      <c r="F172">
        <v>15</v>
      </c>
      <c r="G172">
        <v>3.7648186830768302E-2</v>
      </c>
      <c r="H172">
        <v>1</v>
      </c>
      <c r="I172" t="s">
        <v>13043</v>
      </c>
    </row>
    <row r="173" spans="1:9" x14ac:dyDescent="0.25">
      <c r="A173" t="s">
        <v>10788</v>
      </c>
      <c r="C173" s="3" t="str">
        <f>HYPERLINK("http://amigo.geneontology.org/amigo/term/GO:0005507","GO:0005507")</f>
        <v>GO:0005507</v>
      </c>
      <c r="D173" t="s">
        <v>767</v>
      </c>
      <c r="E173">
        <v>451</v>
      </c>
      <c r="F173">
        <v>15</v>
      </c>
      <c r="G173">
        <v>3.8259249485226098E-2</v>
      </c>
      <c r="H173">
        <v>1</v>
      </c>
      <c r="I173" t="s">
        <v>13048</v>
      </c>
    </row>
    <row r="174" spans="1:9" x14ac:dyDescent="0.25">
      <c r="A174" t="s">
        <v>10790</v>
      </c>
      <c r="C174" s="3" t="str">
        <f>HYPERLINK("http://amigo.geneontology.org/amigo/term/GO:1901976","GO:1901976")</f>
        <v>GO:1901976</v>
      </c>
      <c r="D174" t="s">
        <v>7444</v>
      </c>
      <c r="E174">
        <v>2</v>
      </c>
      <c r="F174">
        <v>1</v>
      </c>
      <c r="G174">
        <v>3.9356632678023598E-2</v>
      </c>
      <c r="H174">
        <v>1</v>
      </c>
      <c r="I174" t="s">
        <v>7445</v>
      </c>
    </row>
    <row r="175" spans="1:9" x14ac:dyDescent="0.25">
      <c r="A175" t="s">
        <v>10792</v>
      </c>
      <c r="C175" s="3" t="str">
        <f>HYPERLINK("http://amigo.geneontology.org/amigo/term/GO:0090231","GO:0090231")</f>
        <v>GO:0090231</v>
      </c>
      <c r="D175" t="s">
        <v>7447</v>
      </c>
      <c r="E175">
        <v>2</v>
      </c>
      <c r="F175">
        <v>1</v>
      </c>
      <c r="G175">
        <v>3.9356632678023598E-2</v>
      </c>
      <c r="H175">
        <v>1</v>
      </c>
      <c r="I175" t="s">
        <v>7445</v>
      </c>
    </row>
    <row r="176" spans="1:9" x14ac:dyDescent="0.25">
      <c r="A176" t="s">
        <v>10795</v>
      </c>
      <c r="C176" s="3" t="str">
        <f>HYPERLINK("http://amigo.geneontology.org/amigo/term/GO:1903504","GO:1903504")</f>
        <v>GO:1903504</v>
      </c>
      <c r="D176" t="s">
        <v>7449</v>
      </c>
      <c r="E176">
        <v>2</v>
      </c>
      <c r="F176">
        <v>1</v>
      </c>
      <c r="G176">
        <v>3.9356632678023598E-2</v>
      </c>
      <c r="H176">
        <v>1</v>
      </c>
      <c r="I176" t="s">
        <v>7445</v>
      </c>
    </row>
    <row r="177" spans="1:9" x14ac:dyDescent="0.25">
      <c r="A177" t="s">
        <v>10798</v>
      </c>
      <c r="C177" s="3" t="str">
        <f>HYPERLINK("http://amigo.geneontology.org/amigo/term/GO:0090266","GO:0090266")</f>
        <v>GO:0090266</v>
      </c>
      <c r="D177" t="s">
        <v>7451</v>
      </c>
      <c r="E177">
        <v>2</v>
      </c>
      <c r="F177">
        <v>1</v>
      </c>
      <c r="G177">
        <v>3.9356632678023598E-2</v>
      </c>
      <c r="H177">
        <v>1</v>
      </c>
      <c r="I177" t="s">
        <v>7445</v>
      </c>
    </row>
    <row r="178" spans="1:9" x14ac:dyDescent="0.25">
      <c r="A178" t="s">
        <v>10801</v>
      </c>
      <c r="C178" s="3" t="str">
        <f>HYPERLINK("http://amigo.geneontology.org/amigo/term/GO:0016714","GO:0016714")</f>
        <v>GO:0016714</v>
      </c>
      <c r="D178" t="s">
        <v>10799</v>
      </c>
      <c r="E178">
        <v>2</v>
      </c>
      <c r="F178">
        <v>1</v>
      </c>
      <c r="G178">
        <v>3.9356632678023598E-2</v>
      </c>
      <c r="H178">
        <v>1</v>
      </c>
      <c r="I178" t="s">
        <v>10800</v>
      </c>
    </row>
    <row r="179" spans="1:9" x14ac:dyDescent="0.25">
      <c r="A179" t="s">
        <v>10803</v>
      </c>
      <c r="C179" s="3" t="str">
        <f>HYPERLINK("http://amigo.geneontology.org/amigo/term/GO:0015929","GO:0015929")</f>
        <v>GO:0015929</v>
      </c>
      <c r="D179" t="s">
        <v>9974</v>
      </c>
      <c r="E179">
        <v>16</v>
      </c>
      <c r="F179">
        <v>2</v>
      </c>
      <c r="G179">
        <v>3.9395155208108497E-2</v>
      </c>
      <c r="H179">
        <v>1</v>
      </c>
      <c r="I179" t="s">
        <v>13049</v>
      </c>
    </row>
    <row r="180" spans="1:9" x14ac:dyDescent="0.25">
      <c r="A180" t="s">
        <v>10805</v>
      </c>
      <c r="C180" s="3" t="str">
        <f>HYPERLINK("http://amigo.geneontology.org/amigo/term/GO:0004563","GO:0004563")</f>
        <v>GO:0004563</v>
      </c>
      <c r="D180" t="s">
        <v>9976</v>
      </c>
      <c r="E180">
        <v>16</v>
      </c>
      <c r="F180">
        <v>2</v>
      </c>
      <c r="G180">
        <v>3.9395155208108497E-2</v>
      </c>
      <c r="H180">
        <v>1</v>
      </c>
      <c r="I180" t="s">
        <v>13049</v>
      </c>
    </row>
    <row r="181" spans="1:9" x14ac:dyDescent="0.25">
      <c r="A181" t="s">
        <v>10807</v>
      </c>
      <c r="C181" s="3" t="str">
        <f>HYPERLINK("http://amigo.geneontology.org/amigo/term/GO:0009148","GO:0009148")</f>
        <v>GO:0009148</v>
      </c>
      <c r="D181" t="s">
        <v>4422</v>
      </c>
      <c r="E181">
        <v>38</v>
      </c>
      <c r="F181">
        <v>3</v>
      </c>
      <c r="G181">
        <v>3.9486906423579098E-2</v>
      </c>
      <c r="H181">
        <v>0.98717266058947795</v>
      </c>
      <c r="I181" t="s">
        <v>10555</v>
      </c>
    </row>
    <row r="182" spans="1:9" x14ac:dyDescent="0.25">
      <c r="A182" t="s">
        <v>10809</v>
      </c>
      <c r="C182" s="3" t="str">
        <f>HYPERLINK("http://amigo.geneontology.org/amigo/term/GO:0009208","GO:0009208")</f>
        <v>GO:0009208</v>
      </c>
      <c r="D182" t="s">
        <v>4423</v>
      </c>
      <c r="E182">
        <v>38</v>
      </c>
      <c r="F182">
        <v>3</v>
      </c>
      <c r="G182">
        <v>3.9486906423579098E-2</v>
      </c>
      <c r="H182">
        <v>1</v>
      </c>
      <c r="I182" t="s">
        <v>10555</v>
      </c>
    </row>
    <row r="183" spans="1:9" x14ac:dyDescent="0.25">
      <c r="A183" t="s">
        <v>10811</v>
      </c>
      <c r="C183" s="3" t="str">
        <f>HYPERLINK("http://amigo.geneontology.org/amigo/term/GO:0009209","GO:0009209")</f>
        <v>GO:0009209</v>
      </c>
      <c r="D183" t="s">
        <v>4424</v>
      </c>
      <c r="E183">
        <v>38</v>
      </c>
      <c r="F183">
        <v>3</v>
      </c>
      <c r="G183">
        <v>3.9486906423579098E-2</v>
      </c>
      <c r="H183">
        <v>1</v>
      </c>
      <c r="I183" t="s">
        <v>10555</v>
      </c>
    </row>
    <row r="184" spans="1:9" x14ac:dyDescent="0.25">
      <c r="A184" t="s">
        <v>10813</v>
      </c>
      <c r="C184" s="3" t="str">
        <f>HYPERLINK("http://amigo.geneontology.org/amigo/term/GO:0046036","GO:0046036")</f>
        <v>GO:0046036</v>
      </c>
      <c r="D184" t="s">
        <v>4425</v>
      </c>
      <c r="E184">
        <v>38</v>
      </c>
      <c r="F184">
        <v>3</v>
      </c>
      <c r="G184">
        <v>3.9486906423579098E-2</v>
      </c>
      <c r="H184">
        <v>1</v>
      </c>
      <c r="I184" t="s">
        <v>10555</v>
      </c>
    </row>
    <row r="185" spans="1:9" x14ac:dyDescent="0.25">
      <c r="A185" t="s">
        <v>10814</v>
      </c>
      <c r="C185" s="3" t="str">
        <f>HYPERLINK("http://amigo.geneontology.org/amigo/term/GO:0006241","GO:0006241")</f>
        <v>GO:0006241</v>
      </c>
      <c r="D185" t="s">
        <v>4426</v>
      </c>
      <c r="E185">
        <v>38</v>
      </c>
      <c r="F185">
        <v>3</v>
      </c>
      <c r="G185">
        <v>3.9486906423579098E-2</v>
      </c>
      <c r="H185">
        <v>1</v>
      </c>
      <c r="I185" t="s">
        <v>10555</v>
      </c>
    </row>
    <row r="186" spans="1:9" x14ac:dyDescent="0.25">
      <c r="A186" t="s">
        <v>10815</v>
      </c>
      <c r="C186" s="3" t="str">
        <f>HYPERLINK("http://amigo.geneontology.org/amigo/term/GO:0048444","GO:0048444")</f>
        <v>GO:0048444</v>
      </c>
      <c r="D186" t="s">
        <v>13050</v>
      </c>
      <c r="E186">
        <v>127</v>
      </c>
      <c r="F186">
        <v>6</v>
      </c>
      <c r="G186">
        <v>4.1825595421495602E-2</v>
      </c>
      <c r="H186">
        <v>1</v>
      </c>
      <c r="I186" t="s">
        <v>13037</v>
      </c>
    </row>
    <row r="187" spans="1:9" x14ac:dyDescent="0.25">
      <c r="A187" t="s">
        <v>10816</v>
      </c>
      <c r="C187" s="3" t="str">
        <f>HYPERLINK("http://amigo.geneontology.org/amigo/term/GO:0140103","GO:0140103")</f>
        <v>GO:0140103</v>
      </c>
      <c r="D187" t="s">
        <v>13051</v>
      </c>
      <c r="E187">
        <v>39</v>
      </c>
      <c r="F187">
        <v>3</v>
      </c>
      <c r="G187">
        <v>4.2164517595311798E-2</v>
      </c>
      <c r="H187">
        <v>1</v>
      </c>
      <c r="I187" t="s">
        <v>13007</v>
      </c>
    </row>
    <row r="188" spans="1:9" x14ac:dyDescent="0.25">
      <c r="A188" t="s">
        <v>10817</v>
      </c>
      <c r="C188" s="3" t="str">
        <f>HYPERLINK("http://amigo.geneontology.org/amigo/term/GO:0071555","GO:0071555")</f>
        <v>GO:0071555</v>
      </c>
      <c r="D188" t="s">
        <v>194</v>
      </c>
      <c r="E188">
        <v>577</v>
      </c>
      <c r="F188">
        <v>18</v>
      </c>
      <c r="G188">
        <v>4.2506737350604798E-2</v>
      </c>
      <c r="H188">
        <v>1</v>
      </c>
      <c r="I188" t="s">
        <v>13052</v>
      </c>
    </row>
    <row r="189" spans="1:9" x14ac:dyDescent="0.25">
      <c r="A189" t="s">
        <v>10818</v>
      </c>
      <c r="C189" s="3" t="str">
        <f>HYPERLINK("http://amigo.geneontology.org/amigo/term/GO:0060255","GO:0060255")</f>
        <v>GO:0060255</v>
      </c>
      <c r="D189" t="s">
        <v>6847</v>
      </c>
      <c r="E189">
        <v>5585</v>
      </c>
      <c r="F189">
        <v>129</v>
      </c>
      <c r="G189">
        <v>4.3086748735196398E-2</v>
      </c>
      <c r="H189">
        <v>1</v>
      </c>
      <c r="I189" t="s">
        <v>13053</v>
      </c>
    </row>
    <row r="190" spans="1:9" x14ac:dyDescent="0.25">
      <c r="A190" t="s">
        <v>7081</v>
      </c>
      <c r="C190" s="3" t="str">
        <f>HYPERLINK("http://amigo.geneontology.org/amigo/term/GO:0004427","GO:0004427")</f>
        <v>GO:0004427</v>
      </c>
      <c r="D190" t="s">
        <v>842</v>
      </c>
      <c r="E190">
        <v>40</v>
      </c>
      <c r="F190">
        <v>3</v>
      </c>
      <c r="G190">
        <v>4.4930849861079598E-2</v>
      </c>
      <c r="H190">
        <v>1</v>
      </c>
      <c r="I190" t="s">
        <v>10603</v>
      </c>
    </row>
    <row r="191" spans="1:9" x14ac:dyDescent="0.25">
      <c r="A191" t="s">
        <v>10820</v>
      </c>
    </row>
    <row r="192" spans="1:9" x14ac:dyDescent="0.25">
      <c r="A192" t="s">
        <v>10821</v>
      </c>
    </row>
    <row r="193" spans="1:1" x14ac:dyDescent="0.25">
      <c r="A193" t="s">
        <v>10822</v>
      </c>
    </row>
    <row r="194" spans="1:1" x14ac:dyDescent="0.25">
      <c r="A194" t="s">
        <v>10823</v>
      </c>
    </row>
    <row r="195" spans="1:1" x14ac:dyDescent="0.25">
      <c r="A195" t="s">
        <v>10824</v>
      </c>
    </row>
    <row r="196" spans="1:1" x14ac:dyDescent="0.25">
      <c r="A196" t="s">
        <v>10825</v>
      </c>
    </row>
    <row r="197" spans="1:1" x14ac:dyDescent="0.25">
      <c r="A197" t="s">
        <v>10826</v>
      </c>
    </row>
    <row r="198" spans="1:1" x14ac:dyDescent="0.25">
      <c r="A198" t="s">
        <v>10827</v>
      </c>
    </row>
    <row r="199" spans="1:1" x14ac:dyDescent="0.25">
      <c r="A199" t="s">
        <v>10828</v>
      </c>
    </row>
    <row r="200" spans="1:1" x14ac:dyDescent="0.25">
      <c r="A200" t="s">
        <v>8953</v>
      </c>
    </row>
    <row r="201" spans="1:1" x14ac:dyDescent="0.25">
      <c r="A201" t="s">
        <v>10829</v>
      </c>
    </row>
    <row r="202" spans="1:1" x14ac:dyDescent="0.25">
      <c r="A202" t="s">
        <v>8211</v>
      </c>
    </row>
    <row r="203" spans="1:1" x14ac:dyDescent="0.25">
      <c r="A203" t="s">
        <v>10830</v>
      </c>
    </row>
    <row r="204" spans="1:1" x14ac:dyDescent="0.25">
      <c r="A204" t="s">
        <v>13054</v>
      </c>
    </row>
    <row r="205" spans="1:1" x14ac:dyDescent="0.25">
      <c r="A205" t="s">
        <v>10831</v>
      </c>
    </row>
    <row r="206" spans="1:1" x14ac:dyDescent="0.25">
      <c r="A206" t="s">
        <v>10832</v>
      </c>
    </row>
    <row r="207" spans="1:1" x14ac:dyDescent="0.25">
      <c r="A207" t="s">
        <v>10833</v>
      </c>
    </row>
    <row r="208" spans="1:1" x14ac:dyDescent="0.25">
      <c r="A208" t="s">
        <v>10834</v>
      </c>
    </row>
    <row r="209" spans="1:1" x14ac:dyDescent="0.25">
      <c r="A209" t="s">
        <v>13055</v>
      </c>
    </row>
    <row r="210" spans="1:1" x14ac:dyDescent="0.25">
      <c r="A210" t="s">
        <v>10836</v>
      </c>
    </row>
    <row r="211" spans="1:1" x14ac:dyDescent="0.25">
      <c r="A211" t="s">
        <v>10838</v>
      </c>
    </row>
    <row r="212" spans="1:1" x14ac:dyDescent="0.25">
      <c r="A212" t="s">
        <v>7091</v>
      </c>
    </row>
    <row r="213" spans="1:1" x14ac:dyDescent="0.25">
      <c r="A213" t="s">
        <v>8961</v>
      </c>
    </row>
    <row r="214" spans="1:1" x14ac:dyDescent="0.25">
      <c r="A214" t="s">
        <v>10839</v>
      </c>
    </row>
    <row r="215" spans="1:1" x14ac:dyDescent="0.25">
      <c r="A215" t="s">
        <v>10840</v>
      </c>
    </row>
    <row r="216" spans="1:1" x14ac:dyDescent="0.25">
      <c r="A216" t="s">
        <v>10841</v>
      </c>
    </row>
    <row r="217" spans="1:1" x14ac:dyDescent="0.25">
      <c r="A217" t="s">
        <v>10842</v>
      </c>
    </row>
    <row r="218" spans="1:1" x14ac:dyDescent="0.25">
      <c r="A218" t="s">
        <v>10843</v>
      </c>
    </row>
    <row r="219" spans="1:1" x14ac:dyDescent="0.25">
      <c r="A219" t="s">
        <v>10844</v>
      </c>
    </row>
    <row r="220" spans="1:1" x14ac:dyDescent="0.25">
      <c r="A220" t="s">
        <v>10845</v>
      </c>
    </row>
    <row r="221" spans="1:1" x14ac:dyDescent="0.25">
      <c r="A221" t="s">
        <v>10846</v>
      </c>
    </row>
    <row r="222" spans="1:1" x14ac:dyDescent="0.25">
      <c r="A222" t="s">
        <v>10847</v>
      </c>
    </row>
    <row r="223" spans="1:1" x14ac:dyDescent="0.25">
      <c r="A223" t="s">
        <v>10848</v>
      </c>
    </row>
    <row r="224" spans="1:1" x14ac:dyDescent="0.25">
      <c r="A224" t="s">
        <v>10849</v>
      </c>
    </row>
    <row r="225" spans="1:1" x14ac:dyDescent="0.25">
      <c r="A225" t="s">
        <v>10850</v>
      </c>
    </row>
    <row r="226" spans="1:1" x14ac:dyDescent="0.25">
      <c r="A226" t="s">
        <v>10851</v>
      </c>
    </row>
    <row r="227" spans="1:1" x14ac:dyDescent="0.25">
      <c r="A227" t="s">
        <v>10852</v>
      </c>
    </row>
    <row r="228" spans="1:1" x14ac:dyDescent="0.25">
      <c r="A228" t="s">
        <v>13056</v>
      </c>
    </row>
    <row r="229" spans="1:1" x14ac:dyDescent="0.25">
      <c r="A229" t="s">
        <v>10854</v>
      </c>
    </row>
    <row r="230" spans="1:1" x14ac:dyDescent="0.25">
      <c r="A230" t="s">
        <v>10855</v>
      </c>
    </row>
    <row r="231" spans="1:1" x14ac:dyDescent="0.25">
      <c r="A231" t="s">
        <v>10856</v>
      </c>
    </row>
    <row r="232" spans="1:1" x14ac:dyDescent="0.25">
      <c r="A232" t="s">
        <v>10857</v>
      </c>
    </row>
    <row r="233" spans="1:1" x14ac:dyDescent="0.25">
      <c r="A233" t="s">
        <v>10860</v>
      </c>
    </row>
    <row r="234" spans="1:1" x14ac:dyDescent="0.25">
      <c r="A234" t="s">
        <v>10861</v>
      </c>
    </row>
    <row r="235" spans="1:1" x14ac:dyDescent="0.25">
      <c r="A235" t="s">
        <v>10862</v>
      </c>
    </row>
    <row r="236" spans="1:1" x14ac:dyDescent="0.25">
      <c r="A236" t="s">
        <v>10864</v>
      </c>
    </row>
    <row r="237" spans="1:1" x14ac:dyDescent="0.25">
      <c r="A237" t="s">
        <v>9573</v>
      </c>
    </row>
    <row r="238" spans="1:1" x14ac:dyDescent="0.25">
      <c r="A238" t="s">
        <v>10867</v>
      </c>
    </row>
    <row r="239" spans="1:1" x14ac:dyDescent="0.25">
      <c r="A239" t="s">
        <v>10870</v>
      </c>
    </row>
    <row r="240" spans="1:1" x14ac:dyDescent="0.25">
      <c r="A240" t="s">
        <v>10871</v>
      </c>
    </row>
    <row r="241" spans="1:1" x14ac:dyDescent="0.25">
      <c r="A241" t="s">
        <v>7130</v>
      </c>
    </row>
    <row r="242" spans="1:1" x14ac:dyDescent="0.25">
      <c r="A242" t="s">
        <v>10873</v>
      </c>
    </row>
    <row r="243" spans="1:1" x14ac:dyDescent="0.25">
      <c r="A243" t="s">
        <v>10874</v>
      </c>
    </row>
    <row r="244" spans="1:1" x14ac:dyDescent="0.25">
      <c r="A244" t="s">
        <v>10875</v>
      </c>
    </row>
    <row r="245" spans="1:1" x14ac:dyDescent="0.25">
      <c r="A245" t="s">
        <v>10876</v>
      </c>
    </row>
    <row r="246" spans="1:1" x14ac:dyDescent="0.25">
      <c r="A246" t="s">
        <v>13057</v>
      </c>
    </row>
    <row r="247" spans="1:1" x14ac:dyDescent="0.25">
      <c r="A247" t="s">
        <v>10878</v>
      </c>
    </row>
    <row r="248" spans="1:1" x14ac:dyDescent="0.25">
      <c r="A248" t="s">
        <v>10879</v>
      </c>
    </row>
    <row r="249" spans="1:1" x14ac:dyDescent="0.25">
      <c r="A249" t="s">
        <v>10880</v>
      </c>
    </row>
    <row r="250" spans="1:1" x14ac:dyDescent="0.25">
      <c r="A250" t="s">
        <v>10881</v>
      </c>
    </row>
    <row r="251" spans="1:1" x14ac:dyDescent="0.25">
      <c r="A251" t="s">
        <v>10882</v>
      </c>
    </row>
    <row r="252" spans="1:1" x14ac:dyDescent="0.25">
      <c r="A252" t="s">
        <v>10883</v>
      </c>
    </row>
    <row r="253" spans="1:1" x14ac:dyDescent="0.25">
      <c r="A253" t="s">
        <v>10884</v>
      </c>
    </row>
    <row r="254" spans="1:1" x14ac:dyDescent="0.25">
      <c r="A254" t="s">
        <v>13058</v>
      </c>
    </row>
    <row r="255" spans="1:1" x14ac:dyDescent="0.25">
      <c r="A255" t="s">
        <v>10887</v>
      </c>
    </row>
    <row r="256" spans="1:1" x14ac:dyDescent="0.25">
      <c r="A256" t="s">
        <v>10889</v>
      </c>
    </row>
    <row r="257" spans="1:1" x14ac:dyDescent="0.25">
      <c r="A257" t="s">
        <v>10890</v>
      </c>
    </row>
    <row r="258" spans="1:1" x14ac:dyDescent="0.25">
      <c r="A258" t="s">
        <v>10891</v>
      </c>
    </row>
    <row r="259" spans="1:1" x14ac:dyDescent="0.25">
      <c r="A259" t="s">
        <v>10892</v>
      </c>
    </row>
    <row r="260" spans="1:1" x14ac:dyDescent="0.25">
      <c r="A260" t="s">
        <v>10893</v>
      </c>
    </row>
    <row r="261" spans="1:1" x14ac:dyDescent="0.25">
      <c r="A261" t="s">
        <v>10894</v>
      </c>
    </row>
    <row r="262" spans="1:1" x14ac:dyDescent="0.25">
      <c r="A262" t="s">
        <v>10895</v>
      </c>
    </row>
    <row r="263" spans="1:1" x14ac:dyDescent="0.25">
      <c r="A263" t="s">
        <v>10896</v>
      </c>
    </row>
    <row r="264" spans="1:1" x14ac:dyDescent="0.25">
      <c r="A264" t="s">
        <v>10898</v>
      </c>
    </row>
    <row r="265" spans="1:1" x14ac:dyDescent="0.25">
      <c r="A265" t="s">
        <v>10899</v>
      </c>
    </row>
    <row r="266" spans="1:1" x14ac:dyDescent="0.25">
      <c r="A266" t="s">
        <v>10900</v>
      </c>
    </row>
    <row r="267" spans="1:1" x14ac:dyDescent="0.25">
      <c r="A267" t="s">
        <v>13059</v>
      </c>
    </row>
    <row r="268" spans="1:1" x14ac:dyDescent="0.25">
      <c r="A268" t="s">
        <v>10901</v>
      </c>
    </row>
    <row r="269" spans="1:1" x14ac:dyDescent="0.25">
      <c r="A269" t="s">
        <v>10902</v>
      </c>
    </row>
    <row r="270" spans="1:1" x14ac:dyDescent="0.25">
      <c r="A270" t="s">
        <v>10903</v>
      </c>
    </row>
    <row r="271" spans="1:1" x14ac:dyDescent="0.25">
      <c r="A271" t="s">
        <v>10904</v>
      </c>
    </row>
    <row r="272" spans="1:1" x14ac:dyDescent="0.25">
      <c r="A272" t="s">
        <v>10905</v>
      </c>
    </row>
    <row r="273" spans="1:1" x14ac:dyDescent="0.25">
      <c r="A273" t="s">
        <v>10906</v>
      </c>
    </row>
    <row r="274" spans="1:1" x14ac:dyDescent="0.25">
      <c r="A274" t="s">
        <v>10907</v>
      </c>
    </row>
    <row r="275" spans="1:1" x14ac:dyDescent="0.25">
      <c r="A275" t="s">
        <v>10908</v>
      </c>
    </row>
    <row r="276" spans="1:1" x14ac:dyDescent="0.25">
      <c r="A276" t="s">
        <v>10909</v>
      </c>
    </row>
    <row r="277" spans="1:1" x14ac:dyDescent="0.25">
      <c r="A277" t="s">
        <v>10910</v>
      </c>
    </row>
    <row r="278" spans="1:1" x14ac:dyDescent="0.25">
      <c r="A278" t="s">
        <v>10911</v>
      </c>
    </row>
    <row r="279" spans="1:1" x14ac:dyDescent="0.25">
      <c r="A279" t="s">
        <v>10913</v>
      </c>
    </row>
    <row r="280" spans="1:1" x14ac:dyDescent="0.25">
      <c r="A280" t="s">
        <v>10914</v>
      </c>
    </row>
    <row r="281" spans="1:1" x14ac:dyDescent="0.25">
      <c r="A281" t="s">
        <v>10915</v>
      </c>
    </row>
    <row r="282" spans="1:1" x14ac:dyDescent="0.25">
      <c r="A282" t="s">
        <v>10916</v>
      </c>
    </row>
    <row r="283" spans="1:1" x14ac:dyDescent="0.25">
      <c r="A283" t="s">
        <v>10917</v>
      </c>
    </row>
    <row r="284" spans="1:1" x14ac:dyDescent="0.25">
      <c r="A284" t="s">
        <v>10919</v>
      </c>
    </row>
    <row r="285" spans="1:1" x14ac:dyDescent="0.25">
      <c r="A285" t="s">
        <v>8236</v>
      </c>
    </row>
    <row r="286" spans="1:1" x14ac:dyDescent="0.25">
      <c r="A286" t="s">
        <v>10920</v>
      </c>
    </row>
    <row r="287" spans="1:1" x14ac:dyDescent="0.25">
      <c r="A287" t="s">
        <v>10921</v>
      </c>
    </row>
    <row r="288" spans="1:1" x14ac:dyDescent="0.25">
      <c r="A288" t="s">
        <v>8782</v>
      </c>
    </row>
    <row r="289" spans="1:1" x14ac:dyDescent="0.25">
      <c r="A289" t="s">
        <v>10922</v>
      </c>
    </row>
    <row r="290" spans="1:1" x14ac:dyDescent="0.25">
      <c r="A290" t="s">
        <v>10923</v>
      </c>
    </row>
    <row r="291" spans="1:1" x14ac:dyDescent="0.25">
      <c r="A291" t="s">
        <v>10924</v>
      </c>
    </row>
    <row r="292" spans="1:1" x14ac:dyDescent="0.25">
      <c r="A292" t="s">
        <v>13060</v>
      </c>
    </row>
    <row r="293" spans="1:1" x14ac:dyDescent="0.25">
      <c r="A293" t="s">
        <v>9582</v>
      </c>
    </row>
    <row r="294" spans="1:1" x14ac:dyDescent="0.25">
      <c r="A294" t="s">
        <v>9008</v>
      </c>
    </row>
    <row r="295" spans="1:1" x14ac:dyDescent="0.25">
      <c r="A295" t="s">
        <v>10925</v>
      </c>
    </row>
    <row r="296" spans="1:1" x14ac:dyDescent="0.25">
      <c r="A296" t="s">
        <v>10926</v>
      </c>
    </row>
    <row r="297" spans="1:1" x14ac:dyDescent="0.25">
      <c r="A297" t="s">
        <v>10927</v>
      </c>
    </row>
    <row r="298" spans="1:1" x14ac:dyDescent="0.25">
      <c r="A298" t="s">
        <v>10928</v>
      </c>
    </row>
    <row r="299" spans="1:1" x14ac:dyDescent="0.25">
      <c r="A299" t="s">
        <v>10929</v>
      </c>
    </row>
    <row r="300" spans="1:1" x14ac:dyDescent="0.25">
      <c r="A300" t="s">
        <v>10930</v>
      </c>
    </row>
    <row r="301" spans="1:1" x14ac:dyDescent="0.25">
      <c r="A301" t="s">
        <v>10931</v>
      </c>
    </row>
    <row r="302" spans="1:1" x14ac:dyDescent="0.25">
      <c r="A302" t="s">
        <v>10933</v>
      </c>
    </row>
    <row r="303" spans="1:1" x14ac:dyDescent="0.25">
      <c r="A303" t="s">
        <v>9896</v>
      </c>
    </row>
    <row r="304" spans="1:1" x14ac:dyDescent="0.25">
      <c r="A304" t="s">
        <v>7176</v>
      </c>
    </row>
    <row r="305" spans="1:1" x14ac:dyDescent="0.25">
      <c r="A305" t="s">
        <v>8698</v>
      </c>
    </row>
    <row r="306" spans="1:1" x14ac:dyDescent="0.25">
      <c r="A306" t="s">
        <v>10935</v>
      </c>
    </row>
    <row r="307" spans="1:1" x14ac:dyDescent="0.25">
      <c r="A307" t="s">
        <v>10937</v>
      </c>
    </row>
    <row r="308" spans="1:1" x14ac:dyDescent="0.25">
      <c r="A308" t="s">
        <v>8699</v>
      </c>
    </row>
    <row r="309" spans="1:1" x14ac:dyDescent="0.25">
      <c r="A309" t="s">
        <v>8700</v>
      </c>
    </row>
    <row r="310" spans="1:1" x14ac:dyDescent="0.25">
      <c r="A310" t="s">
        <v>8701</v>
      </c>
    </row>
    <row r="311" spans="1:1" x14ac:dyDescent="0.25">
      <c r="A311" t="s">
        <v>8702</v>
      </c>
    </row>
    <row r="312" spans="1:1" x14ac:dyDescent="0.25">
      <c r="A312" t="s">
        <v>8703</v>
      </c>
    </row>
    <row r="313" spans="1:1" x14ac:dyDescent="0.25">
      <c r="A313" t="s">
        <v>10939</v>
      </c>
    </row>
    <row r="314" spans="1:1" x14ac:dyDescent="0.25">
      <c r="A314" t="s">
        <v>10940</v>
      </c>
    </row>
    <row r="315" spans="1:1" x14ac:dyDescent="0.25">
      <c r="A315" t="s">
        <v>10941</v>
      </c>
    </row>
    <row r="316" spans="1:1" x14ac:dyDescent="0.25">
      <c r="A316" t="s">
        <v>10942</v>
      </c>
    </row>
    <row r="317" spans="1:1" x14ac:dyDescent="0.25">
      <c r="A317" t="s">
        <v>10944</v>
      </c>
    </row>
    <row r="318" spans="1:1" x14ac:dyDescent="0.25">
      <c r="A318" t="s">
        <v>10945</v>
      </c>
    </row>
    <row r="319" spans="1:1" x14ac:dyDescent="0.25">
      <c r="A319" t="s">
        <v>10946</v>
      </c>
    </row>
    <row r="320" spans="1:1" x14ac:dyDescent="0.25">
      <c r="A320" t="s">
        <v>10948</v>
      </c>
    </row>
    <row r="321" spans="1:1" x14ac:dyDescent="0.25">
      <c r="A321" t="s">
        <v>10949</v>
      </c>
    </row>
    <row r="322" spans="1:1" x14ac:dyDescent="0.25">
      <c r="A322" t="s">
        <v>10950</v>
      </c>
    </row>
    <row r="323" spans="1:1" x14ac:dyDescent="0.25">
      <c r="A323" t="s">
        <v>10951</v>
      </c>
    </row>
    <row r="324" spans="1:1" x14ac:dyDescent="0.25">
      <c r="A324" t="s">
        <v>10952</v>
      </c>
    </row>
    <row r="325" spans="1:1" x14ac:dyDescent="0.25">
      <c r="A325" t="s">
        <v>10953</v>
      </c>
    </row>
    <row r="326" spans="1:1" x14ac:dyDescent="0.25">
      <c r="A326" t="s">
        <v>10955</v>
      </c>
    </row>
    <row r="327" spans="1:1" x14ac:dyDescent="0.25">
      <c r="A327" t="s">
        <v>13061</v>
      </c>
    </row>
    <row r="328" spans="1:1" x14ac:dyDescent="0.25">
      <c r="A328" t="s">
        <v>10956</v>
      </c>
    </row>
    <row r="329" spans="1:1" x14ac:dyDescent="0.25">
      <c r="A329" t="s">
        <v>10957</v>
      </c>
    </row>
    <row r="330" spans="1:1" x14ac:dyDescent="0.25">
      <c r="A330" t="s">
        <v>10958</v>
      </c>
    </row>
    <row r="331" spans="1:1" x14ac:dyDescent="0.25">
      <c r="A331" t="s">
        <v>7184</v>
      </c>
    </row>
    <row r="332" spans="1:1" x14ac:dyDescent="0.25">
      <c r="A332" t="s">
        <v>10961</v>
      </c>
    </row>
    <row r="333" spans="1:1" x14ac:dyDescent="0.25">
      <c r="A333" t="s">
        <v>10962</v>
      </c>
    </row>
    <row r="334" spans="1:1" x14ac:dyDescent="0.25">
      <c r="A334" t="s">
        <v>10963</v>
      </c>
    </row>
    <row r="335" spans="1:1" x14ac:dyDescent="0.25">
      <c r="A335" t="s">
        <v>10965</v>
      </c>
    </row>
    <row r="336" spans="1:1" x14ac:dyDescent="0.25">
      <c r="A336" t="s">
        <v>10966</v>
      </c>
    </row>
    <row r="337" spans="1:1" x14ac:dyDescent="0.25">
      <c r="A337" t="s">
        <v>10967</v>
      </c>
    </row>
    <row r="338" spans="1:1" x14ac:dyDescent="0.25">
      <c r="A338" t="s">
        <v>10968</v>
      </c>
    </row>
    <row r="339" spans="1:1" x14ac:dyDescent="0.25">
      <c r="A339" t="s">
        <v>10970</v>
      </c>
    </row>
    <row r="340" spans="1:1" x14ac:dyDescent="0.25">
      <c r="A340" t="s">
        <v>9599</v>
      </c>
    </row>
    <row r="341" spans="1:1" x14ac:dyDescent="0.25">
      <c r="A341" t="s">
        <v>8705</v>
      </c>
    </row>
    <row r="342" spans="1:1" x14ac:dyDescent="0.25">
      <c r="A342" t="s">
        <v>10972</v>
      </c>
    </row>
    <row r="343" spans="1:1" x14ac:dyDescent="0.25">
      <c r="A343" t="s">
        <v>10973</v>
      </c>
    </row>
    <row r="344" spans="1:1" x14ac:dyDescent="0.25">
      <c r="A344" t="s">
        <v>10974</v>
      </c>
    </row>
    <row r="345" spans="1:1" x14ac:dyDescent="0.25">
      <c r="A345" t="s">
        <v>10975</v>
      </c>
    </row>
    <row r="346" spans="1:1" x14ac:dyDescent="0.25">
      <c r="A346" t="s">
        <v>10976</v>
      </c>
    </row>
    <row r="347" spans="1:1" x14ac:dyDescent="0.25">
      <c r="A347" t="s">
        <v>10977</v>
      </c>
    </row>
    <row r="348" spans="1:1" x14ac:dyDescent="0.25">
      <c r="A348" t="s">
        <v>8258</v>
      </c>
    </row>
    <row r="349" spans="1:1" x14ac:dyDescent="0.25">
      <c r="A349" t="s">
        <v>10979</v>
      </c>
    </row>
    <row r="350" spans="1:1" x14ac:dyDescent="0.25">
      <c r="A350" t="s">
        <v>7207</v>
      </c>
    </row>
    <row r="351" spans="1:1" x14ac:dyDescent="0.25">
      <c r="A351" t="s">
        <v>10980</v>
      </c>
    </row>
    <row r="352" spans="1:1" x14ac:dyDescent="0.25">
      <c r="A352" t="s">
        <v>8783</v>
      </c>
    </row>
    <row r="353" spans="1:1" x14ac:dyDescent="0.25">
      <c r="A353" t="s">
        <v>10981</v>
      </c>
    </row>
    <row r="354" spans="1:1" x14ac:dyDescent="0.25">
      <c r="A354" t="s">
        <v>13062</v>
      </c>
    </row>
    <row r="355" spans="1:1" x14ac:dyDescent="0.25">
      <c r="A355" t="s">
        <v>10984</v>
      </c>
    </row>
    <row r="356" spans="1:1" x14ac:dyDescent="0.25">
      <c r="A356" t="s">
        <v>9051</v>
      </c>
    </row>
    <row r="357" spans="1:1" x14ac:dyDescent="0.25">
      <c r="A357" t="s">
        <v>10986</v>
      </c>
    </row>
    <row r="358" spans="1:1" x14ac:dyDescent="0.25">
      <c r="A358" t="s">
        <v>10988</v>
      </c>
    </row>
    <row r="359" spans="1:1" x14ac:dyDescent="0.25">
      <c r="A359" t="s">
        <v>13063</v>
      </c>
    </row>
    <row r="360" spans="1:1" x14ac:dyDescent="0.25">
      <c r="A360" t="s">
        <v>10989</v>
      </c>
    </row>
    <row r="361" spans="1:1" x14ac:dyDescent="0.25">
      <c r="A361" t="s">
        <v>10991</v>
      </c>
    </row>
    <row r="362" spans="1:1" x14ac:dyDescent="0.25">
      <c r="A362" t="s">
        <v>7219</v>
      </c>
    </row>
    <row r="363" spans="1:1" x14ac:dyDescent="0.25">
      <c r="A363" t="s">
        <v>10992</v>
      </c>
    </row>
    <row r="364" spans="1:1" x14ac:dyDescent="0.25">
      <c r="A364" t="s">
        <v>10993</v>
      </c>
    </row>
    <row r="365" spans="1:1" x14ac:dyDescent="0.25">
      <c r="A365" t="s">
        <v>9052</v>
      </c>
    </row>
    <row r="366" spans="1:1" x14ac:dyDescent="0.25">
      <c r="A366" t="s">
        <v>10994</v>
      </c>
    </row>
    <row r="367" spans="1:1" x14ac:dyDescent="0.25">
      <c r="A367" t="s">
        <v>10996</v>
      </c>
    </row>
    <row r="368" spans="1:1" x14ac:dyDescent="0.25">
      <c r="A368" t="s">
        <v>10997</v>
      </c>
    </row>
    <row r="369" spans="1:1" x14ac:dyDescent="0.25">
      <c r="A369" t="s">
        <v>10998</v>
      </c>
    </row>
    <row r="370" spans="1:1" x14ac:dyDescent="0.25">
      <c r="A370" t="s">
        <v>10999</v>
      </c>
    </row>
    <row r="371" spans="1:1" x14ac:dyDescent="0.25">
      <c r="A371" t="s">
        <v>11000</v>
      </c>
    </row>
    <row r="372" spans="1:1" x14ac:dyDescent="0.25">
      <c r="A372" t="s">
        <v>11001</v>
      </c>
    </row>
    <row r="373" spans="1:1" x14ac:dyDescent="0.25">
      <c r="A373" t="s">
        <v>11004</v>
      </c>
    </row>
    <row r="374" spans="1:1" x14ac:dyDescent="0.25">
      <c r="A374" t="s">
        <v>11005</v>
      </c>
    </row>
    <row r="375" spans="1:1" x14ac:dyDescent="0.25">
      <c r="A375" t="s">
        <v>11006</v>
      </c>
    </row>
    <row r="376" spans="1:1" x14ac:dyDescent="0.25">
      <c r="A376" t="s">
        <v>11007</v>
      </c>
    </row>
    <row r="377" spans="1:1" x14ac:dyDescent="0.25">
      <c r="A377" t="s">
        <v>7253</v>
      </c>
    </row>
    <row r="378" spans="1:1" x14ac:dyDescent="0.25">
      <c r="A378" t="s">
        <v>11008</v>
      </c>
    </row>
    <row r="379" spans="1:1" x14ac:dyDescent="0.25">
      <c r="A379" t="s">
        <v>11009</v>
      </c>
    </row>
    <row r="380" spans="1:1" x14ac:dyDescent="0.25">
      <c r="A380" t="s">
        <v>11010</v>
      </c>
    </row>
    <row r="381" spans="1:1" x14ac:dyDescent="0.25">
      <c r="A381" t="s">
        <v>8710</v>
      </c>
    </row>
    <row r="382" spans="1:1" x14ac:dyDescent="0.25">
      <c r="A382" t="s">
        <v>11011</v>
      </c>
    </row>
    <row r="383" spans="1:1" x14ac:dyDescent="0.25">
      <c r="A383" t="s">
        <v>11012</v>
      </c>
    </row>
    <row r="384" spans="1:1" x14ac:dyDescent="0.25">
      <c r="A384" t="s">
        <v>11013</v>
      </c>
    </row>
    <row r="385" spans="1:1" x14ac:dyDescent="0.25">
      <c r="A385" t="s">
        <v>11014</v>
      </c>
    </row>
    <row r="386" spans="1:1" x14ac:dyDescent="0.25">
      <c r="A386" t="s">
        <v>11015</v>
      </c>
    </row>
    <row r="387" spans="1:1" x14ac:dyDescent="0.25">
      <c r="A387" t="s">
        <v>11016</v>
      </c>
    </row>
    <row r="388" spans="1:1" x14ac:dyDescent="0.25">
      <c r="A388" t="s">
        <v>11017</v>
      </c>
    </row>
    <row r="389" spans="1:1" x14ac:dyDescent="0.25">
      <c r="A389" t="s">
        <v>11019</v>
      </c>
    </row>
    <row r="390" spans="1:1" x14ac:dyDescent="0.25">
      <c r="A390" t="s">
        <v>9083</v>
      </c>
    </row>
    <row r="391" spans="1:1" x14ac:dyDescent="0.25">
      <c r="A391" t="s">
        <v>11020</v>
      </c>
    </row>
    <row r="392" spans="1:1" x14ac:dyDescent="0.25">
      <c r="A392" t="s">
        <v>7259</v>
      </c>
    </row>
    <row r="393" spans="1:1" x14ac:dyDescent="0.25">
      <c r="A393" t="s">
        <v>11022</v>
      </c>
    </row>
    <row r="394" spans="1:1" x14ac:dyDescent="0.25">
      <c r="A394" t="s">
        <v>11023</v>
      </c>
    </row>
    <row r="395" spans="1:1" x14ac:dyDescent="0.25">
      <c r="A395" t="s">
        <v>11024</v>
      </c>
    </row>
    <row r="396" spans="1:1" x14ac:dyDescent="0.25">
      <c r="A396" t="s">
        <v>11025</v>
      </c>
    </row>
    <row r="397" spans="1:1" x14ac:dyDescent="0.25">
      <c r="A397" t="s">
        <v>11026</v>
      </c>
    </row>
    <row r="398" spans="1:1" x14ac:dyDescent="0.25">
      <c r="A398" t="s">
        <v>11027</v>
      </c>
    </row>
    <row r="399" spans="1:1" x14ac:dyDescent="0.25">
      <c r="A399" t="s">
        <v>11028</v>
      </c>
    </row>
    <row r="400" spans="1:1" x14ac:dyDescent="0.25">
      <c r="A400" t="s">
        <v>11029</v>
      </c>
    </row>
    <row r="401" spans="1:1" x14ac:dyDescent="0.25">
      <c r="A401" t="s">
        <v>13064</v>
      </c>
    </row>
    <row r="402" spans="1:1" x14ac:dyDescent="0.25">
      <c r="A402" t="s">
        <v>11031</v>
      </c>
    </row>
    <row r="403" spans="1:1" x14ac:dyDescent="0.25">
      <c r="A403" t="s">
        <v>11032</v>
      </c>
    </row>
    <row r="404" spans="1:1" x14ac:dyDescent="0.25">
      <c r="A404" t="s">
        <v>11033</v>
      </c>
    </row>
    <row r="405" spans="1:1" x14ac:dyDescent="0.25">
      <c r="A405" t="s">
        <v>7273</v>
      </c>
    </row>
    <row r="406" spans="1:1" x14ac:dyDescent="0.25">
      <c r="A406" t="s">
        <v>11034</v>
      </c>
    </row>
    <row r="407" spans="1:1" x14ac:dyDescent="0.25">
      <c r="A407" t="s">
        <v>11035</v>
      </c>
    </row>
    <row r="408" spans="1:1" x14ac:dyDescent="0.25">
      <c r="A408" t="s">
        <v>11037</v>
      </c>
    </row>
    <row r="409" spans="1:1" x14ac:dyDescent="0.25">
      <c r="A409" t="s">
        <v>11038</v>
      </c>
    </row>
    <row r="410" spans="1:1" x14ac:dyDescent="0.25">
      <c r="A410" t="s">
        <v>11039</v>
      </c>
    </row>
    <row r="411" spans="1:1" x14ac:dyDescent="0.25">
      <c r="A411" t="s">
        <v>11040</v>
      </c>
    </row>
    <row r="412" spans="1:1" x14ac:dyDescent="0.25">
      <c r="A412" t="s">
        <v>11041</v>
      </c>
    </row>
    <row r="413" spans="1:1" x14ac:dyDescent="0.25">
      <c r="A413" t="s">
        <v>11042</v>
      </c>
    </row>
    <row r="414" spans="1:1" x14ac:dyDescent="0.25">
      <c r="A414" t="s">
        <v>11045</v>
      </c>
    </row>
    <row r="415" spans="1:1" x14ac:dyDescent="0.25">
      <c r="A415" t="s">
        <v>11046</v>
      </c>
    </row>
    <row r="416" spans="1:1" x14ac:dyDescent="0.25">
      <c r="A416" t="s">
        <v>11047</v>
      </c>
    </row>
    <row r="417" spans="1:1" x14ac:dyDescent="0.25">
      <c r="A417" t="s">
        <v>11048</v>
      </c>
    </row>
    <row r="418" spans="1:1" x14ac:dyDescent="0.25">
      <c r="A418" t="s">
        <v>11049</v>
      </c>
    </row>
    <row r="419" spans="1:1" x14ac:dyDescent="0.25">
      <c r="A419" t="s">
        <v>11050</v>
      </c>
    </row>
    <row r="420" spans="1:1" x14ac:dyDescent="0.25">
      <c r="A420" t="s">
        <v>11051</v>
      </c>
    </row>
    <row r="421" spans="1:1" x14ac:dyDescent="0.25">
      <c r="A421" t="s">
        <v>11052</v>
      </c>
    </row>
    <row r="422" spans="1:1" x14ac:dyDescent="0.25">
      <c r="A422" t="s">
        <v>11053</v>
      </c>
    </row>
    <row r="423" spans="1:1" x14ac:dyDescent="0.25">
      <c r="A423" t="s">
        <v>9606</v>
      </c>
    </row>
    <row r="424" spans="1:1" x14ac:dyDescent="0.25">
      <c r="A424" t="s">
        <v>11056</v>
      </c>
    </row>
    <row r="425" spans="1:1" x14ac:dyDescent="0.25">
      <c r="A425" t="s">
        <v>11057</v>
      </c>
    </row>
    <row r="426" spans="1:1" x14ac:dyDescent="0.25">
      <c r="A426" t="s">
        <v>11058</v>
      </c>
    </row>
    <row r="427" spans="1:1" x14ac:dyDescent="0.25">
      <c r="A427" t="s">
        <v>11059</v>
      </c>
    </row>
    <row r="428" spans="1:1" x14ac:dyDescent="0.25">
      <c r="A428" t="s">
        <v>11061</v>
      </c>
    </row>
    <row r="429" spans="1:1" x14ac:dyDescent="0.25">
      <c r="A429" t="s">
        <v>11062</v>
      </c>
    </row>
    <row r="430" spans="1:1" x14ac:dyDescent="0.25">
      <c r="A430" t="s">
        <v>11063</v>
      </c>
    </row>
    <row r="431" spans="1:1" x14ac:dyDescent="0.25">
      <c r="A431" t="s">
        <v>11065</v>
      </c>
    </row>
    <row r="432" spans="1:1" x14ac:dyDescent="0.25">
      <c r="A432" t="s">
        <v>11066</v>
      </c>
    </row>
    <row r="433" spans="1:1" x14ac:dyDescent="0.25">
      <c r="A433" t="s">
        <v>11067</v>
      </c>
    </row>
    <row r="434" spans="1:1" x14ac:dyDescent="0.25">
      <c r="A434" t="s">
        <v>11068</v>
      </c>
    </row>
    <row r="435" spans="1:1" x14ac:dyDescent="0.25">
      <c r="A435" t="s">
        <v>11069</v>
      </c>
    </row>
    <row r="436" spans="1:1" x14ac:dyDescent="0.25">
      <c r="A436" t="s">
        <v>11070</v>
      </c>
    </row>
    <row r="437" spans="1:1" x14ac:dyDescent="0.25">
      <c r="A437" t="s">
        <v>11071</v>
      </c>
    </row>
    <row r="438" spans="1:1" x14ac:dyDescent="0.25">
      <c r="A438" t="s">
        <v>8714</v>
      </c>
    </row>
    <row r="439" spans="1:1" x14ac:dyDescent="0.25">
      <c r="A439" t="s">
        <v>9116</v>
      </c>
    </row>
    <row r="440" spans="1:1" x14ac:dyDescent="0.25">
      <c r="A440" t="s">
        <v>9608</v>
      </c>
    </row>
    <row r="441" spans="1:1" x14ac:dyDescent="0.25">
      <c r="A441" t="s">
        <v>8293</v>
      </c>
    </row>
    <row r="442" spans="1:1" x14ac:dyDescent="0.25">
      <c r="A442" t="s">
        <v>11073</v>
      </c>
    </row>
    <row r="443" spans="1:1" x14ac:dyDescent="0.25">
      <c r="A443" t="s">
        <v>11074</v>
      </c>
    </row>
    <row r="444" spans="1:1" x14ac:dyDescent="0.25">
      <c r="A444" t="s">
        <v>13065</v>
      </c>
    </row>
    <row r="445" spans="1:1" x14ac:dyDescent="0.25">
      <c r="A445" t="s">
        <v>9610</v>
      </c>
    </row>
    <row r="446" spans="1:1" x14ac:dyDescent="0.25">
      <c r="A446" t="s">
        <v>9613</v>
      </c>
    </row>
    <row r="447" spans="1:1" x14ac:dyDescent="0.25">
      <c r="A447" t="s">
        <v>11077</v>
      </c>
    </row>
    <row r="448" spans="1:1" x14ac:dyDescent="0.25">
      <c r="A448" t="s">
        <v>11078</v>
      </c>
    </row>
    <row r="449" spans="1:1" x14ac:dyDescent="0.25">
      <c r="A449" t="s">
        <v>9617</v>
      </c>
    </row>
    <row r="450" spans="1:1" x14ac:dyDescent="0.25">
      <c r="A450" t="s">
        <v>11079</v>
      </c>
    </row>
    <row r="451" spans="1:1" x14ac:dyDescent="0.25">
      <c r="A451" t="s">
        <v>11080</v>
      </c>
    </row>
    <row r="452" spans="1:1" x14ac:dyDescent="0.25">
      <c r="A452" t="s">
        <v>11083</v>
      </c>
    </row>
    <row r="453" spans="1:1" x14ac:dyDescent="0.25">
      <c r="A453" t="s">
        <v>11084</v>
      </c>
    </row>
    <row r="454" spans="1:1" x14ac:dyDescent="0.25">
      <c r="A454" t="s">
        <v>11086</v>
      </c>
    </row>
    <row r="455" spans="1:1" x14ac:dyDescent="0.25">
      <c r="A455" t="s">
        <v>11087</v>
      </c>
    </row>
    <row r="456" spans="1:1" x14ac:dyDescent="0.25">
      <c r="A456" t="s">
        <v>8298</v>
      </c>
    </row>
    <row r="457" spans="1:1" x14ac:dyDescent="0.25">
      <c r="A457" t="s">
        <v>11089</v>
      </c>
    </row>
    <row r="458" spans="1:1" x14ac:dyDescent="0.25">
      <c r="A458" t="s">
        <v>11091</v>
      </c>
    </row>
    <row r="459" spans="1:1" x14ac:dyDescent="0.25">
      <c r="A459" t="s">
        <v>11092</v>
      </c>
    </row>
    <row r="460" spans="1:1" x14ac:dyDescent="0.25">
      <c r="A460" t="s">
        <v>11093</v>
      </c>
    </row>
    <row r="461" spans="1:1" x14ac:dyDescent="0.25">
      <c r="A461" t="s">
        <v>11094</v>
      </c>
    </row>
    <row r="462" spans="1:1" x14ac:dyDescent="0.25">
      <c r="A462" t="s">
        <v>11095</v>
      </c>
    </row>
    <row r="463" spans="1:1" x14ac:dyDescent="0.25">
      <c r="A463" t="s">
        <v>13066</v>
      </c>
    </row>
    <row r="464" spans="1:1" x14ac:dyDescent="0.25">
      <c r="A464" t="s">
        <v>11096</v>
      </c>
    </row>
    <row r="465" spans="1:1" x14ac:dyDescent="0.25">
      <c r="A465" t="s">
        <v>11097</v>
      </c>
    </row>
    <row r="466" spans="1:1" x14ac:dyDescent="0.25">
      <c r="A466" t="s">
        <v>11098</v>
      </c>
    </row>
    <row r="467" spans="1:1" x14ac:dyDescent="0.25">
      <c r="A467" t="s">
        <v>11100</v>
      </c>
    </row>
    <row r="468" spans="1:1" x14ac:dyDescent="0.25">
      <c r="A468" t="s">
        <v>11103</v>
      </c>
    </row>
    <row r="469" spans="1:1" x14ac:dyDescent="0.25">
      <c r="A469" t="s">
        <v>11106</v>
      </c>
    </row>
    <row r="470" spans="1:1" x14ac:dyDescent="0.25">
      <c r="A470" t="s">
        <v>11108</v>
      </c>
    </row>
    <row r="471" spans="1:1" x14ac:dyDescent="0.25">
      <c r="A471" t="s">
        <v>11109</v>
      </c>
    </row>
    <row r="472" spans="1:1" x14ac:dyDescent="0.25">
      <c r="A472" t="s">
        <v>11111</v>
      </c>
    </row>
    <row r="473" spans="1:1" x14ac:dyDescent="0.25">
      <c r="A473" t="s">
        <v>11112</v>
      </c>
    </row>
    <row r="474" spans="1:1" x14ac:dyDescent="0.25">
      <c r="A474" t="s">
        <v>11115</v>
      </c>
    </row>
    <row r="475" spans="1:1" x14ac:dyDescent="0.25">
      <c r="A475" t="s">
        <v>11116</v>
      </c>
    </row>
    <row r="476" spans="1:1" x14ac:dyDescent="0.25">
      <c r="A476" t="s">
        <v>11117</v>
      </c>
    </row>
    <row r="477" spans="1:1" x14ac:dyDescent="0.25">
      <c r="A477" t="s">
        <v>8718</v>
      </c>
    </row>
    <row r="478" spans="1:1" x14ac:dyDescent="0.25">
      <c r="A478" t="s">
        <v>9622</v>
      </c>
    </row>
    <row r="479" spans="1:1" x14ac:dyDescent="0.25">
      <c r="A479" t="s">
        <v>11120</v>
      </c>
    </row>
    <row r="480" spans="1:1" x14ac:dyDescent="0.25">
      <c r="A480" t="s">
        <v>11122</v>
      </c>
    </row>
    <row r="481" spans="1:1" x14ac:dyDescent="0.25">
      <c r="A481" t="s">
        <v>11125</v>
      </c>
    </row>
    <row r="482" spans="1:1" x14ac:dyDescent="0.25">
      <c r="A482" t="s">
        <v>11126</v>
      </c>
    </row>
    <row r="483" spans="1:1" x14ac:dyDescent="0.25">
      <c r="A483" t="s">
        <v>11127</v>
      </c>
    </row>
    <row r="484" spans="1:1" x14ac:dyDescent="0.25">
      <c r="A484" t="s">
        <v>11128</v>
      </c>
    </row>
    <row r="485" spans="1:1" x14ac:dyDescent="0.25">
      <c r="A485" t="s">
        <v>8310</v>
      </c>
    </row>
    <row r="486" spans="1:1" x14ac:dyDescent="0.25">
      <c r="A486" t="s">
        <v>11129</v>
      </c>
    </row>
    <row r="487" spans="1:1" x14ac:dyDescent="0.25">
      <c r="A487" t="s">
        <v>11130</v>
      </c>
    </row>
    <row r="488" spans="1:1" x14ac:dyDescent="0.25">
      <c r="A488" t="s">
        <v>11132</v>
      </c>
    </row>
    <row r="489" spans="1:1" x14ac:dyDescent="0.25">
      <c r="A489" t="s">
        <v>11133</v>
      </c>
    </row>
    <row r="490" spans="1:1" x14ac:dyDescent="0.25">
      <c r="A490" t="s">
        <v>11134</v>
      </c>
    </row>
    <row r="491" spans="1:1" x14ac:dyDescent="0.25">
      <c r="A491" t="s">
        <v>11137</v>
      </c>
    </row>
    <row r="492" spans="1:1" x14ac:dyDescent="0.25">
      <c r="A492" t="s">
        <v>8720</v>
      </c>
    </row>
    <row r="493" spans="1:1" x14ac:dyDescent="0.25">
      <c r="A493" t="s">
        <v>11139</v>
      </c>
    </row>
    <row r="494" spans="1:1" x14ac:dyDescent="0.25">
      <c r="A494" t="s">
        <v>11140</v>
      </c>
    </row>
    <row r="495" spans="1:1" x14ac:dyDescent="0.25">
      <c r="A495" t="s">
        <v>11141</v>
      </c>
    </row>
    <row r="496" spans="1:1" x14ac:dyDescent="0.25">
      <c r="A496" t="s">
        <v>11142</v>
      </c>
    </row>
    <row r="497" spans="1:1" x14ac:dyDescent="0.25">
      <c r="A497" t="s">
        <v>11143</v>
      </c>
    </row>
    <row r="498" spans="1:1" x14ac:dyDescent="0.25">
      <c r="A498" t="s">
        <v>8721</v>
      </c>
    </row>
    <row r="499" spans="1:1" x14ac:dyDescent="0.25">
      <c r="A499" t="s">
        <v>11144</v>
      </c>
    </row>
    <row r="500" spans="1:1" x14ac:dyDescent="0.25">
      <c r="A500" t="s">
        <v>11145</v>
      </c>
    </row>
    <row r="501" spans="1:1" x14ac:dyDescent="0.25">
      <c r="A501" t="s">
        <v>11146</v>
      </c>
    </row>
    <row r="502" spans="1:1" x14ac:dyDescent="0.25">
      <c r="A502" t="s">
        <v>11147</v>
      </c>
    </row>
    <row r="503" spans="1:1" x14ac:dyDescent="0.25">
      <c r="A503" t="s">
        <v>11148</v>
      </c>
    </row>
    <row r="504" spans="1:1" x14ac:dyDescent="0.25">
      <c r="A504" t="s">
        <v>11149</v>
      </c>
    </row>
    <row r="505" spans="1:1" x14ac:dyDescent="0.25">
      <c r="A505" t="s">
        <v>11150</v>
      </c>
    </row>
    <row r="506" spans="1:1" x14ac:dyDescent="0.25">
      <c r="A506" t="s">
        <v>11151</v>
      </c>
    </row>
    <row r="507" spans="1:1" x14ac:dyDescent="0.25">
      <c r="A507" t="s">
        <v>11152</v>
      </c>
    </row>
    <row r="508" spans="1:1" x14ac:dyDescent="0.25">
      <c r="A508" t="s">
        <v>11153</v>
      </c>
    </row>
    <row r="509" spans="1:1" x14ac:dyDescent="0.25">
      <c r="A509" t="s">
        <v>11154</v>
      </c>
    </row>
    <row r="510" spans="1:1" x14ac:dyDescent="0.25">
      <c r="A510" t="s">
        <v>11155</v>
      </c>
    </row>
    <row r="511" spans="1:1" x14ac:dyDescent="0.25">
      <c r="A511" t="s">
        <v>11156</v>
      </c>
    </row>
    <row r="512" spans="1:1" x14ac:dyDescent="0.25">
      <c r="A512" t="s">
        <v>11157</v>
      </c>
    </row>
    <row r="513" spans="1:1" x14ac:dyDescent="0.25">
      <c r="A513" t="s">
        <v>8722</v>
      </c>
    </row>
    <row r="514" spans="1:1" x14ac:dyDescent="0.25">
      <c r="A514" t="s">
        <v>11158</v>
      </c>
    </row>
    <row r="515" spans="1:1" x14ac:dyDescent="0.25">
      <c r="A515" t="s">
        <v>11159</v>
      </c>
    </row>
    <row r="516" spans="1:1" x14ac:dyDescent="0.25">
      <c r="A516" t="s">
        <v>11160</v>
      </c>
    </row>
    <row r="517" spans="1:1" x14ac:dyDescent="0.25">
      <c r="A517" t="s">
        <v>11161</v>
      </c>
    </row>
    <row r="518" spans="1:1" x14ac:dyDescent="0.25">
      <c r="A518" t="s">
        <v>11163</v>
      </c>
    </row>
    <row r="519" spans="1:1" x14ac:dyDescent="0.25">
      <c r="A519" t="s">
        <v>7390</v>
      </c>
    </row>
    <row r="520" spans="1:1" x14ac:dyDescent="0.25">
      <c r="A520" t="s">
        <v>11164</v>
      </c>
    </row>
    <row r="521" spans="1:1" x14ac:dyDescent="0.25">
      <c r="A521" t="s">
        <v>11165</v>
      </c>
    </row>
    <row r="522" spans="1:1" x14ac:dyDescent="0.25">
      <c r="A522" t="s">
        <v>11166</v>
      </c>
    </row>
    <row r="523" spans="1:1" x14ac:dyDescent="0.25">
      <c r="A523" t="s">
        <v>11167</v>
      </c>
    </row>
    <row r="524" spans="1:1" x14ac:dyDescent="0.25">
      <c r="A524" t="s">
        <v>7392</v>
      </c>
    </row>
    <row r="525" spans="1:1" x14ac:dyDescent="0.25">
      <c r="A525" t="s">
        <v>11168</v>
      </c>
    </row>
    <row r="526" spans="1:1" x14ac:dyDescent="0.25">
      <c r="A526" t="s">
        <v>11169</v>
      </c>
    </row>
    <row r="527" spans="1:1" x14ac:dyDescent="0.25">
      <c r="A527" t="s">
        <v>11171</v>
      </c>
    </row>
    <row r="528" spans="1:1" x14ac:dyDescent="0.25">
      <c r="A528" t="s">
        <v>11173</v>
      </c>
    </row>
    <row r="529" spans="1:1" x14ac:dyDescent="0.25">
      <c r="A529" t="s">
        <v>11174</v>
      </c>
    </row>
    <row r="530" spans="1:1" x14ac:dyDescent="0.25">
      <c r="A530" t="s">
        <v>11175</v>
      </c>
    </row>
    <row r="531" spans="1:1" x14ac:dyDescent="0.25">
      <c r="A531" t="s">
        <v>11176</v>
      </c>
    </row>
    <row r="532" spans="1:1" x14ac:dyDescent="0.25">
      <c r="A532" t="s">
        <v>11177</v>
      </c>
    </row>
    <row r="533" spans="1:1" x14ac:dyDescent="0.25">
      <c r="A533" t="s">
        <v>9193</v>
      </c>
    </row>
    <row r="534" spans="1:1" x14ac:dyDescent="0.25">
      <c r="A534" t="s">
        <v>11178</v>
      </c>
    </row>
    <row r="535" spans="1:1" x14ac:dyDescent="0.25">
      <c r="A535" t="s">
        <v>11179</v>
      </c>
    </row>
    <row r="536" spans="1:1" x14ac:dyDescent="0.25">
      <c r="A536" t="s">
        <v>11180</v>
      </c>
    </row>
    <row r="537" spans="1:1" x14ac:dyDescent="0.25">
      <c r="A537" t="s">
        <v>11181</v>
      </c>
    </row>
    <row r="538" spans="1:1" x14ac:dyDescent="0.25">
      <c r="A538" t="s">
        <v>11182</v>
      </c>
    </row>
    <row r="539" spans="1:1" x14ac:dyDescent="0.25">
      <c r="A539" t="s">
        <v>11183</v>
      </c>
    </row>
    <row r="540" spans="1:1" x14ac:dyDescent="0.25">
      <c r="A540" t="s">
        <v>11184</v>
      </c>
    </row>
    <row r="541" spans="1:1" x14ac:dyDescent="0.25">
      <c r="A541" t="s">
        <v>11185</v>
      </c>
    </row>
    <row r="542" spans="1:1" x14ac:dyDescent="0.25">
      <c r="A542" t="s">
        <v>11187</v>
      </c>
    </row>
    <row r="543" spans="1:1" x14ac:dyDescent="0.25">
      <c r="A543" t="s">
        <v>11188</v>
      </c>
    </row>
    <row r="544" spans="1:1" x14ac:dyDescent="0.25">
      <c r="A544" t="s">
        <v>8724</v>
      </c>
    </row>
    <row r="545" spans="1:1" x14ac:dyDescent="0.25">
      <c r="A545" t="s">
        <v>11190</v>
      </c>
    </row>
    <row r="546" spans="1:1" x14ac:dyDescent="0.25">
      <c r="A546" t="s">
        <v>11191</v>
      </c>
    </row>
    <row r="547" spans="1:1" x14ac:dyDescent="0.25">
      <c r="A547" t="s">
        <v>11194</v>
      </c>
    </row>
    <row r="548" spans="1:1" x14ac:dyDescent="0.25">
      <c r="A548" t="s">
        <v>11195</v>
      </c>
    </row>
    <row r="549" spans="1:1" x14ac:dyDescent="0.25">
      <c r="A549" t="s">
        <v>11196</v>
      </c>
    </row>
    <row r="550" spans="1:1" x14ac:dyDescent="0.25">
      <c r="A550" t="s">
        <v>9917</v>
      </c>
    </row>
    <row r="551" spans="1:1" x14ac:dyDescent="0.25">
      <c r="A551" t="s">
        <v>11197</v>
      </c>
    </row>
    <row r="552" spans="1:1" x14ac:dyDescent="0.25">
      <c r="A552" t="s">
        <v>11198</v>
      </c>
    </row>
    <row r="553" spans="1:1" x14ac:dyDescent="0.25">
      <c r="A553" t="s">
        <v>11199</v>
      </c>
    </row>
    <row r="554" spans="1:1" x14ac:dyDescent="0.25">
      <c r="A554" t="s">
        <v>8725</v>
      </c>
    </row>
    <row r="555" spans="1:1" x14ac:dyDescent="0.25">
      <c r="A555" t="s">
        <v>11200</v>
      </c>
    </row>
    <row r="556" spans="1:1" x14ac:dyDescent="0.25">
      <c r="A556" t="s">
        <v>11201</v>
      </c>
    </row>
    <row r="557" spans="1:1" x14ac:dyDescent="0.25">
      <c r="A557" t="s">
        <v>7414</v>
      </c>
    </row>
    <row r="558" spans="1:1" x14ac:dyDescent="0.25">
      <c r="A558" t="s">
        <v>11202</v>
      </c>
    </row>
    <row r="559" spans="1:1" x14ac:dyDescent="0.25">
      <c r="A559" t="s">
        <v>11203</v>
      </c>
    </row>
    <row r="560" spans="1:1" x14ac:dyDescent="0.25">
      <c r="A560" t="s">
        <v>11204</v>
      </c>
    </row>
    <row r="561" spans="1:1" x14ac:dyDescent="0.25">
      <c r="A561" t="s">
        <v>11206</v>
      </c>
    </row>
    <row r="562" spans="1:1" x14ac:dyDescent="0.25">
      <c r="A562" t="s">
        <v>11207</v>
      </c>
    </row>
    <row r="563" spans="1:1" x14ac:dyDescent="0.25">
      <c r="A563" t="s">
        <v>11210</v>
      </c>
    </row>
    <row r="564" spans="1:1" x14ac:dyDescent="0.25">
      <c r="A564" t="s">
        <v>11211</v>
      </c>
    </row>
    <row r="565" spans="1:1" x14ac:dyDescent="0.25">
      <c r="A565" t="s">
        <v>8727</v>
      </c>
    </row>
    <row r="566" spans="1:1" x14ac:dyDescent="0.25">
      <c r="A566" t="s">
        <v>9208</v>
      </c>
    </row>
    <row r="567" spans="1:1" x14ac:dyDescent="0.25">
      <c r="A567" t="s">
        <v>11214</v>
      </c>
    </row>
    <row r="568" spans="1:1" x14ac:dyDescent="0.25">
      <c r="A568" t="s">
        <v>11215</v>
      </c>
    </row>
    <row r="569" spans="1:1" x14ac:dyDescent="0.25">
      <c r="A569" t="s">
        <v>11216</v>
      </c>
    </row>
    <row r="570" spans="1:1" x14ac:dyDescent="0.25">
      <c r="A570" t="s">
        <v>13067</v>
      </c>
    </row>
    <row r="571" spans="1:1" x14ac:dyDescent="0.25">
      <c r="A571" t="s">
        <v>7446</v>
      </c>
    </row>
    <row r="572" spans="1:1" x14ac:dyDescent="0.25">
      <c r="A572" t="s">
        <v>11218</v>
      </c>
    </row>
    <row r="573" spans="1:1" x14ac:dyDescent="0.25">
      <c r="A573" t="s">
        <v>11219</v>
      </c>
    </row>
    <row r="574" spans="1:1" x14ac:dyDescent="0.25">
      <c r="A574" t="s">
        <v>11220</v>
      </c>
    </row>
    <row r="575" spans="1:1" x14ac:dyDescent="0.25">
      <c r="A575" t="s">
        <v>11223</v>
      </c>
    </row>
    <row r="576" spans="1:1" x14ac:dyDescent="0.25">
      <c r="A576" t="s">
        <v>11224</v>
      </c>
    </row>
    <row r="577" spans="1:1" x14ac:dyDescent="0.25">
      <c r="A577" t="s">
        <v>11227</v>
      </c>
    </row>
    <row r="578" spans="1:1" x14ac:dyDescent="0.25">
      <c r="A578" t="s">
        <v>11228</v>
      </c>
    </row>
    <row r="579" spans="1:1" x14ac:dyDescent="0.25">
      <c r="A579" t="s">
        <v>11229</v>
      </c>
    </row>
    <row r="580" spans="1:1" x14ac:dyDescent="0.25">
      <c r="A580" t="s">
        <v>11231</v>
      </c>
    </row>
    <row r="581" spans="1:1" x14ac:dyDescent="0.25">
      <c r="A581" t="s">
        <v>9652</v>
      </c>
    </row>
    <row r="582" spans="1:1" x14ac:dyDescent="0.25">
      <c r="A582" t="s">
        <v>8788</v>
      </c>
    </row>
    <row r="583" spans="1:1" x14ac:dyDescent="0.25">
      <c r="A583" t="s">
        <v>11232</v>
      </c>
    </row>
    <row r="584" spans="1:1" x14ac:dyDescent="0.25">
      <c r="A584" t="s">
        <v>11235</v>
      </c>
    </row>
    <row r="585" spans="1:1" x14ac:dyDescent="0.25">
      <c r="A585" t="s">
        <v>11236</v>
      </c>
    </row>
    <row r="586" spans="1:1" x14ac:dyDescent="0.25">
      <c r="A586" t="s">
        <v>11237</v>
      </c>
    </row>
    <row r="587" spans="1:1" x14ac:dyDescent="0.25">
      <c r="A587" t="s">
        <v>11238</v>
      </c>
    </row>
    <row r="588" spans="1:1" x14ac:dyDescent="0.25">
      <c r="A588" t="s">
        <v>11239</v>
      </c>
    </row>
    <row r="589" spans="1:1" x14ac:dyDescent="0.25">
      <c r="A589" t="s">
        <v>11240</v>
      </c>
    </row>
    <row r="590" spans="1:1" x14ac:dyDescent="0.25">
      <c r="A590" t="s">
        <v>11241</v>
      </c>
    </row>
    <row r="591" spans="1:1" x14ac:dyDescent="0.25">
      <c r="A591" t="s">
        <v>8731</v>
      </c>
    </row>
    <row r="592" spans="1:1" x14ac:dyDescent="0.25">
      <c r="A592" t="s">
        <v>11242</v>
      </c>
    </row>
    <row r="593" spans="1:1" x14ac:dyDescent="0.25">
      <c r="A593" t="s">
        <v>11243</v>
      </c>
    </row>
    <row r="594" spans="1:1" x14ac:dyDescent="0.25">
      <c r="A594" t="s">
        <v>11244</v>
      </c>
    </row>
    <row r="595" spans="1:1" x14ac:dyDescent="0.25">
      <c r="A595" t="s">
        <v>11245</v>
      </c>
    </row>
    <row r="596" spans="1:1" x14ac:dyDescent="0.25">
      <c r="A596" t="s">
        <v>11246</v>
      </c>
    </row>
    <row r="597" spans="1:1" x14ac:dyDescent="0.25">
      <c r="A597" t="s">
        <v>11247</v>
      </c>
    </row>
    <row r="598" spans="1:1" x14ac:dyDescent="0.25">
      <c r="A598" t="s">
        <v>11248</v>
      </c>
    </row>
    <row r="599" spans="1:1" x14ac:dyDescent="0.25">
      <c r="A599" t="s">
        <v>11249</v>
      </c>
    </row>
    <row r="600" spans="1:1" x14ac:dyDescent="0.25">
      <c r="A600" t="s">
        <v>11250</v>
      </c>
    </row>
    <row r="601" spans="1:1" x14ac:dyDescent="0.25">
      <c r="A601" t="s">
        <v>11251</v>
      </c>
    </row>
    <row r="602" spans="1:1" x14ac:dyDescent="0.25">
      <c r="A602" t="s">
        <v>13068</v>
      </c>
    </row>
    <row r="603" spans="1:1" x14ac:dyDescent="0.25">
      <c r="A603" t="s">
        <v>13069</v>
      </c>
    </row>
    <row r="604" spans="1:1" x14ac:dyDescent="0.25">
      <c r="A604" t="s">
        <v>7470</v>
      </c>
    </row>
    <row r="605" spans="1:1" x14ac:dyDescent="0.25">
      <c r="A605" t="s">
        <v>7472</v>
      </c>
    </row>
    <row r="606" spans="1:1" x14ac:dyDescent="0.25">
      <c r="A606" t="s">
        <v>11252</v>
      </c>
    </row>
    <row r="607" spans="1:1" x14ac:dyDescent="0.25">
      <c r="A607" t="s">
        <v>11253</v>
      </c>
    </row>
    <row r="608" spans="1:1" x14ac:dyDescent="0.25">
      <c r="A608" t="s">
        <v>11254</v>
      </c>
    </row>
    <row r="609" spans="1:1" x14ac:dyDescent="0.25">
      <c r="A609" t="s">
        <v>11255</v>
      </c>
    </row>
    <row r="610" spans="1:1" x14ac:dyDescent="0.25">
      <c r="A610" t="s">
        <v>11256</v>
      </c>
    </row>
    <row r="611" spans="1:1" x14ac:dyDescent="0.25">
      <c r="A611" t="s">
        <v>11257</v>
      </c>
    </row>
    <row r="612" spans="1:1" x14ac:dyDescent="0.25">
      <c r="A612" t="s">
        <v>9217</v>
      </c>
    </row>
    <row r="613" spans="1:1" x14ac:dyDescent="0.25">
      <c r="A613" t="s">
        <v>11258</v>
      </c>
    </row>
    <row r="614" spans="1:1" x14ac:dyDescent="0.25">
      <c r="A614" t="s">
        <v>11259</v>
      </c>
    </row>
    <row r="615" spans="1:1" x14ac:dyDescent="0.25">
      <c r="A615" t="s">
        <v>11260</v>
      </c>
    </row>
    <row r="616" spans="1:1" x14ac:dyDescent="0.25">
      <c r="A616" t="s">
        <v>11261</v>
      </c>
    </row>
    <row r="617" spans="1:1" x14ac:dyDescent="0.25">
      <c r="A617" t="s">
        <v>11262</v>
      </c>
    </row>
    <row r="618" spans="1:1" x14ac:dyDescent="0.25">
      <c r="A618" t="s">
        <v>11263</v>
      </c>
    </row>
    <row r="619" spans="1:1" x14ac:dyDescent="0.25">
      <c r="A619" t="s">
        <v>13070</v>
      </c>
    </row>
    <row r="620" spans="1:1" x14ac:dyDescent="0.25">
      <c r="A620" t="s">
        <v>11264</v>
      </c>
    </row>
    <row r="621" spans="1:1" x14ac:dyDescent="0.25">
      <c r="A621" t="s">
        <v>11265</v>
      </c>
    </row>
    <row r="622" spans="1:1" x14ac:dyDescent="0.25">
      <c r="A622" t="s">
        <v>11266</v>
      </c>
    </row>
    <row r="623" spans="1:1" x14ac:dyDescent="0.25">
      <c r="A623" t="s">
        <v>8357</v>
      </c>
    </row>
    <row r="624" spans="1:1" x14ac:dyDescent="0.25">
      <c r="A624" t="s">
        <v>11267</v>
      </c>
    </row>
    <row r="625" spans="1:1" x14ac:dyDescent="0.25">
      <c r="A625" t="s">
        <v>13071</v>
      </c>
    </row>
    <row r="626" spans="1:1" x14ac:dyDescent="0.25">
      <c r="A626" t="s">
        <v>11270</v>
      </c>
    </row>
    <row r="627" spans="1:1" x14ac:dyDescent="0.25">
      <c r="A627" t="s">
        <v>11271</v>
      </c>
    </row>
    <row r="628" spans="1:1" x14ac:dyDescent="0.25">
      <c r="A628" t="s">
        <v>11272</v>
      </c>
    </row>
    <row r="629" spans="1:1" x14ac:dyDescent="0.25">
      <c r="A629" t="s">
        <v>11273</v>
      </c>
    </row>
    <row r="630" spans="1:1" x14ac:dyDescent="0.25">
      <c r="A630" t="s">
        <v>11274</v>
      </c>
    </row>
    <row r="631" spans="1:1" x14ac:dyDescent="0.25">
      <c r="A631" t="s">
        <v>11275</v>
      </c>
    </row>
    <row r="632" spans="1:1" x14ac:dyDescent="0.25">
      <c r="A632" t="s">
        <v>11278</v>
      </c>
    </row>
    <row r="633" spans="1:1" x14ac:dyDescent="0.25">
      <c r="A633" t="s">
        <v>8790</v>
      </c>
    </row>
    <row r="634" spans="1:1" x14ac:dyDescent="0.25">
      <c r="A634" t="s">
        <v>11279</v>
      </c>
    </row>
    <row r="635" spans="1:1" x14ac:dyDescent="0.25">
      <c r="A635" t="s">
        <v>11280</v>
      </c>
    </row>
    <row r="636" spans="1:1" x14ac:dyDescent="0.25">
      <c r="A636" t="s">
        <v>11281</v>
      </c>
    </row>
    <row r="637" spans="1:1" x14ac:dyDescent="0.25">
      <c r="A637" t="s">
        <v>11282</v>
      </c>
    </row>
    <row r="638" spans="1:1" x14ac:dyDescent="0.25">
      <c r="A638" t="s">
        <v>11285</v>
      </c>
    </row>
    <row r="639" spans="1:1" x14ac:dyDescent="0.25">
      <c r="A639" t="s">
        <v>11286</v>
      </c>
    </row>
    <row r="640" spans="1:1" x14ac:dyDescent="0.25">
      <c r="A640" t="s">
        <v>11288</v>
      </c>
    </row>
    <row r="641" spans="1:1" x14ac:dyDescent="0.25">
      <c r="A641" t="s">
        <v>11289</v>
      </c>
    </row>
    <row r="642" spans="1:1" x14ac:dyDescent="0.25">
      <c r="A642" t="s">
        <v>11290</v>
      </c>
    </row>
    <row r="643" spans="1:1" x14ac:dyDescent="0.25">
      <c r="A643" t="s">
        <v>11291</v>
      </c>
    </row>
    <row r="644" spans="1:1" x14ac:dyDescent="0.25">
      <c r="A644" t="s">
        <v>11294</v>
      </c>
    </row>
    <row r="645" spans="1:1" x14ac:dyDescent="0.25">
      <c r="A645" t="s">
        <v>11297</v>
      </c>
    </row>
    <row r="646" spans="1:1" x14ac:dyDescent="0.25">
      <c r="A646" t="s">
        <v>11298</v>
      </c>
    </row>
    <row r="647" spans="1:1" x14ac:dyDescent="0.25">
      <c r="A647" t="s">
        <v>8733</v>
      </c>
    </row>
    <row r="648" spans="1:1" x14ac:dyDescent="0.25">
      <c r="A648" t="s">
        <v>11299</v>
      </c>
    </row>
    <row r="649" spans="1:1" x14ac:dyDescent="0.25">
      <c r="A649" t="s">
        <v>11300</v>
      </c>
    </row>
    <row r="650" spans="1:1" x14ac:dyDescent="0.25">
      <c r="A650" t="s">
        <v>11301</v>
      </c>
    </row>
    <row r="651" spans="1:1" x14ac:dyDescent="0.25">
      <c r="A651" t="s">
        <v>11302</v>
      </c>
    </row>
    <row r="652" spans="1:1" x14ac:dyDescent="0.25">
      <c r="A652" t="s">
        <v>11303</v>
      </c>
    </row>
    <row r="653" spans="1:1" x14ac:dyDescent="0.25">
      <c r="A653" t="s">
        <v>11304</v>
      </c>
    </row>
    <row r="654" spans="1:1" x14ac:dyDescent="0.25">
      <c r="A654" t="s">
        <v>11305</v>
      </c>
    </row>
    <row r="655" spans="1:1" x14ac:dyDescent="0.25">
      <c r="A655" t="s">
        <v>9662</v>
      </c>
    </row>
    <row r="656" spans="1:1" x14ac:dyDescent="0.25">
      <c r="A656" t="s">
        <v>11306</v>
      </c>
    </row>
    <row r="657" spans="1:1" x14ac:dyDescent="0.25">
      <c r="A657" t="s">
        <v>11307</v>
      </c>
    </row>
    <row r="658" spans="1:1" x14ac:dyDescent="0.25">
      <c r="A658" t="s">
        <v>11308</v>
      </c>
    </row>
    <row r="659" spans="1:1" x14ac:dyDescent="0.25">
      <c r="A659" t="s">
        <v>11309</v>
      </c>
    </row>
    <row r="660" spans="1:1" x14ac:dyDescent="0.25">
      <c r="A660" t="s">
        <v>11310</v>
      </c>
    </row>
    <row r="661" spans="1:1" x14ac:dyDescent="0.25">
      <c r="A661" t="s">
        <v>11311</v>
      </c>
    </row>
    <row r="662" spans="1:1" x14ac:dyDescent="0.25">
      <c r="A662" t="s">
        <v>11312</v>
      </c>
    </row>
    <row r="663" spans="1:1" x14ac:dyDescent="0.25">
      <c r="A663" t="s">
        <v>11313</v>
      </c>
    </row>
    <row r="664" spans="1:1" x14ac:dyDescent="0.25">
      <c r="A664" t="s">
        <v>11315</v>
      </c>
    </row>
    <row r="665" spans="1:1" x14ac:dyDescent="0.25">
      <c r="A665" t="s">
        <v>11316</v>
      </c>
    </row>
    <row r="666" spans="1:1" x14ac:dyDescent="0.25">
      <c r="A666" t="s">
        <v>11319</v>
      </c>
    </row>
    <row r="667" spans="1:1" x14ac:dyDescent="0.25">
      <c r="A667" t="s">
        <v>11320</v>
      </c>
    </row>
    <row r="668" spans="1:1" x14ac:dyDescent="0.25">
      <c r="A668" t="s">
        <v>11321</v>
      </c>
    </row>
    <row r="669" spans="1:1" x14ac:dyDescent="0.25">
      <c r="A669" t="s">
        <v>11322</v>
      </c>
    </row>
    <row r="670" spans="1:1" x14ac:dyDescent="0.25">
      <c r="A670" t="s">
        <v>7531</v>
      </c>
    </row>
    <row r="671" spans="1:1" x14ac:dyDescent="0.25">
      <c r="A671" t="s">
        <v>11323</v>
      </c>
    </row>
    <row r="672" spans="1:1" x14ac:dyDescent="0.25">
      <c r="A672" t="s">
        <v>11324</v>
      </c>
    </row>
    <row r="673" spans="1:1" x14ac:dyDescent="0.25">
      <c r="A673" t="s">
        <v>11325</v>
      </c>
    </row>
    <row r="674" spans="1:1" x14ac:dyDescent="0.25">
      <c r="A674" t="s">
        <v>11326</v>
      </c>
    </row>
    <row r="675" spans="1:1" x14ac:dyDescent="0.25">
      <c r="A675" t="s">
        <v>11327</v>
      </c>
    </row>
    <row r="676" spans="1:1" x14ac:dyDescent="0.25">
      <c r="A676" t="s">
        <v>11328</v>
      </c>
    </row>
    <row r="677" spans="1:1" x14ac:dyDescent="0.25">
      <c r="A677" t="s">
        <v>11329</v>
      </c>
    </row>
    <row r="678" spans="1:1" x14ac:dyDescent="0.25">
      <c r="A678" t="s">
        <v>11330</v>
      </c>
    </row>
    <row r="679" spans="1:1" x14ac:dyDescent="0.25">
      <c r="A679" t="s">
        <v>11331</v>
      </c>
    </row>
    <row r="680" spans="1:1" x14ac:dyDescent="0.25">
      <c r="A680" t="s">
        <v>11332</v>
      </c>
    </row>
    <row r="681" spans="1:1" x14ac:dyDescent="0.25">
      <c r="A681" t="s">
        <v>11333</v>
      </c>
    </row>
    <row r="682" spans="1:1" x14ac:dyDescent="0.25">
      <c r="A682" t="s">
        <v>11334</v>
      </c>
    </row>
    <row r="683" spans="1:1" x14ac:dyDescent="0.25">
      <c r="A683" t="s">
        <v>11336</v>
      </c>
    </row>
    <row r="684" spans="1:1" x14ac:dyDescent="0.25">
      <c r="A684" t="s">
        <v>11337</v>
      </c>
    </row>
    <row r="685" spans="1:1" x14ac:dyDescent="0.25">
      <c r="A685" t="s">
        <v>11338</v>
      </c>
    </row>
    <row r="686" spans="1:1" x14ac:dyDescent="0.25">
      <c r="A686" t="s">
        <v>11339</v>
      </c>
    </row>
    <row r="687" spans="1:1" x14ac:dyDescent="0.25">
      <c r="A687" t="s">
        <v>11340</v>
      </c>
    </row>
    <row r="688" spans="1:1" x14ac:dyDescent="0.25">
      <c r="A688" t="s">
        <v>11341</v>
      </c>
    </row>
    <row r="689" spans="1:1" x14ac:dyDescent="0.25">
      <c r="A689" t="s">
        <v>11342</v>
      </c>
    </row>
    <row r="690" spans="1:1" x14ac:dyDescent="0.25">
      <c r="A690" t="s">
        <v>11343</v>
      </c>
    </row>
    <row r="691" spans="1:1" x14ac:dyDescent="0.25">
      <c r="A691" t="s">
        <v>11344</v>
      </c>
    </row>
    <row r="692" spans="1:1" x14ac:dyDescent="0.25">
      <c r="A692" t="s">
        <v>11345</v>
      </c>
    </row>
    <row r="693" spans="1:1" x14ac:dyDescent="0.25">
      <c r="A693" t="s">
        <v>8371</v>
      </c>
    </row>
    <row r="694" spans="1:1" x14ac:dyDescent="0.25">
      <c r="A694" t="s">
        <v>11346</v>
      </c>
    </row>
    <row r="695" spans="1:1" x14ac:dyDescent="0.25">
      <c r="A695" t="s">
        <v>7536</v>
      </c>
    </row>
    <row r="696" spans="1:1" x14ac:dyDescent="0.25">
      <c r="A696" t="s">
        <v>11350</v>
      </c>
    </row>
    <row r="697" spans="1:1" x14ac:dyDescent="0.25">
      <c r="A697" t="s">
        <v>11352</v>
      </c>
    </row>
    <row r="698" spans="1:1" x14ac:dyDescent="0.25">
      <c r="A698" t="s">
        <v>11353</v>
      </c>
    </row>
    <row r="699" spans="1:1" x14ac:dyDescent="0.25">
      <c r="A699" t="s">
        <v>11354</v>
      </c>
    </row>
    <row r="700" spans="1:1" x14ac:dyDescent="0.25">
      <c r="A700" t="s">
        <v>11355</v>
      </c>
    </row>
    <row r="701" spans="1:1" x14ac:dyDescent="0.25">
      <c r="A701" t="s">
        <v>11356</v>
      </c>
    </row>
    <row r="702" spans="1:1" x14ac:dyDescent="0.25">
      <c r="A702" t="s">
        <v>11357</v>
      </c>
    </row>
    <row r="703" spans="1:1" x14ac:dyDescent="0.25">
      <c r="A703" t="s">
        <v>11358</v>
      </c>
    </row>
    <row r="704" spans="1:1" x14ac:dyDescent="0.25">
      <c r="A704" t="s">
        <v>13072</v>
      </c>
    </row>
    <row r="705" spans="1:1" x14ac:dyDescent="0.25">
      <c r="A705" t="s">
        <v>11359</v>
      </c>
    </row>
    <row r="706" spans="1:1" x14ac:dyDescent="0.25">
      <c r="A706" t="s">
        <v>7538</v>
      </c>
    </row>
    <row r="707" spans="1:1" x14ac:dyDescent="0.25">
      <c r="A707" t="s">
        <v>8373</v>
      </c>
    </row>
    <row r="708" spans="1:1" x14ac:dyDescent="0.25">
      <c r="A708" t="s">
        <v>11360</v>
      </c>
    </row>
    <row r="709" spans="1:1" x14ac:dyDescent="0.25">
      <c r="A709" t="s">
        <v>11361</v>
      </c>
    </row>
    <row r="710" spans="1:1" x14ac:dyDescent="0.25">
      <c r="A710" t="s">
        <v>11362</v>
      </c>
    </row>
    <row r="711" spans="1:1" x14ac:dyDescent="0.25">
      <c r="A711" t="s">
        <v>11363</v>
      </c>
    </row>
    <row r="712" spans="1:1" x14ac:dyDescent="0.25">
      <c r="A712" t="s">
        <v>11364</v>
      </c>
    </row>
    <row r="713" spans="1:1" x14ac:dyDescent="0.25">
      <c r="A713" t="s">
        <v>11366</v>
      </c>
    </row>
    <row r="714" spans="1:1" x14ac:dyDescent="0.25">
      <c r="A714" t="s">
        <v>11367</v>
      </c>
    </row>
    <row r="715" spans="1:1" x14ac:dyDescent="0.25">
      <c r="A715" t="s">
        <v>11368</v>
      </c>
    </row>
    <row r="716" spans="1:1" x14ac:dyDescent="0.25">
      <c r="A716" t="s">
        <v>11369</v>
      </c>
    </row>
    <row r="717" spans="1:1" x14ac:dyDescent="0.25">
      <c r="A717" t="s">
        <v>11370</v>
      </c>
    </row>
    <row r="718" spans="1:1" x14ac:dyDescent="0.25">
      <c r="A718" t="s">
        <v>11371</v>
      </c>
    </row>
    <row r="719" spans="1:1" x14ac:dyDescent="0.25">
      <c r="A719" t="s">
        <v>11372</v>
      </c>
    </row>
    <row r="720" spans="1:1" x14ac:dyDescent="0.25">
      <c r="A720" t="s">
        <v>11373</v>
      </c>
    </row>
    <row r="721" spans="1:1" x14ac:dyDescent="0.25">
      <c r="A721" t="s">
        <v>11374</v>
      </c>
    </row>
    <row r="722" spans="1:1" x14ac:dyDescent="0.25">
      <c r="A722" t="s">
        <v>11375</v>
      </c>
    </row>
    <row r="723" spans="1:1" x14ac:dyDescent="0.25">
      <c r="A723" t="s">
        <v>11376</v>
      </c>
    </row>
    <row r="724" spans="1:1" x14ac:dyDescent="0.25">
      <c r="A724" t="s">
        <v>8376</v>
      </c>
    </row>
    <row r="725" spans="1:1" x14ac:dyDescent="0.25">
      <c r="A725" t="s">
        <v>11377</v>
      </c>
    </row>
    <row r="726" spans="1:1" x14ac:dyDescent="0.25">
      <c r="A726" t="s">
        <v>13073</v>
      </c>
    </row>
    <row r="727" spans="1:1" x14ac:dyDescent="0.25">
      <c r="A727" t="s">
        <v>11379</v>
      </c>
    </row>
    <row r="728" spans="1:1" x14ac:dyDescent="0.25">
      <c r="A728" t="s">
        <v>11380</v>
      </c>
    </row>
    <row r="729" spans="1:1" x14ac:dyDescent="0.25">
      <c r="A729" t="s">
        <v>11381</v>
      </c>
    </row>
    <row r="730" spans="1:1" x14ac:dyDescent="0.25">
      <c r="A730" t="s">
        <v>11382</v>
      </c>
    </row>
    <row r="731" spans="1:1" x14ac:dyDescent="0.25">
      <c r="A731" t="s">
        <v>11383</v>
      </c>
    </row>
    <row r="732" spans="1:1" x14ac:dyDescent="0.25">
      <c r="A732" t="s">
        <v>11384</v>
      </c>
    </row>
    <row r="733" spans="1:1" x14ac:dyDescent="0.25">
      <c r="A733" t="s">
        <v>11386</v>
      </c>
    </row>
    <row r="734" spans="1:1" x14ac:dyDescent="0.25">
      <c r="A734" t="s">
        <v>11387</v>
      </c>
    </row>
    <row r="735" spans="1:1" x14ac:dyDescent="0.25">
      <c r="A735" t="s">
        <v>11388</v>
      </c>
    </row>
    <row r="736" spans="1:1" x14ac:dyDescent="0.25">
      <c r="A736" t="s">
        <v>11389</v>
      </c>
    </row>
    <row r="737" spans="1:1" x14ac:dyDescent="0.25">
      <c r="A737" t="s">
        <v>11390</v>
      </c>
    </row>
    <row r="738" spans="1:1" x14ac:dyDescent="0.25">
      <c r="A738" t="s">
        <v>11391</v>
      </c>
    </row>
    <row r="739" spans="1:1" x14ac:dyDescent="0.25">
      <c r="A739" t="s">
        <v>11392</v>
      </c>
    </row>
    <row r="740" spans="1:1" x14ac:dyDescent="0.25">
      <c r="A740" t="s">
        <v>11393</v>
      </c>
    </row>
    <row r="741" spans="1:1" x14ac:dyDescent="0.25">
      <c r="A741" t="s">
        <v>11394</v>
      </c>
    </row>
    <row r="742" spans="1:1" x14ac:dyDescent="0.25">
      <c r="A742" t="s">
        <v>11395</v>
      </c>
    </row>
    <row r="743" spans="1:1" x14ac:dyDescent="0.25">
      <c r="A743" t="s">
        <v>11396</v>
      </c>
    </row>
    <row r="744" spans="1:1" x14ac:dyDescent="0.25">
      <c r="A744" t="s">
        <v>11397</v>
      </c>
    </row>
    <row r="745" spans="1:1" x14ac:dyDescent="0.25">
      <c r="A745" t="s">
        <v>11399</v>
      </c>
    </row>
    <row r="746" spans="1:1" x14ac:dyDescent="0.25">
      <c r="A746" t="s">
        <v>11400</v>
      </c>
    </row>
    <row r="747" spans="1:1" x14ac:dyDescent="0.25">
      <c r="A747" t="s">
        <v>11401</v>
      </c>
    </row>
    <row r="748" spans="1:1" x14ac:dyDescent="0.25">
      <c r="A748" t="s">
        <v>11402</v>
      </c>
    </row>
    <row r="749" spans="1:1" x14ac:dyDescent="0.25">
      <c r="A749" t="s">
        <v>9255</v>
      </c>
    </row>
    <row r="750" spans="1:1" x14ac:dyDescent="0.25">
      <c r="A750" t="s">
        <v>11403</v>
      </c>
    </row>
    <row r="751" spans="1:1" x14ac:dyDescent="0.25">
      <c r="A751" t="s">
        <v>13074</v>
      </c>
    </row>
    <row r="752" spans="1:1" x14ac:dyDescent="0.25">
      <c r="A752" t="s">
        <v>11404</v>
      </c>
    </row>
    <row r="753" spans="1:1" x14ac:dyDescent="0.25">
      <c r="A753" t="s">
        <v>11405</v>
      </c>
    </row>
    <row r="754" spans="1:1" x14ac:dyDescent="0.25">
      <c r="A754" t="s">
        <v>11406</v>
      </c>
    </row>
    <row r="755" spans="1:1" x14ac:dyDescent="0.25">
      <c r="A755" t="s">
        <v>11407</v>
      </c>
    </row>
    <row r="756" spans="1:1" x14ac:dyDescent="0.25">
      <c r="A756" t="s">
        <v>13075</v>
      </c>
    </row>
    <row r="757" spans="1:1" x14ac:dyDescent="0.25">
      <c r="A757" t="s">
        <v>11409</v>
      </c>
    </row>
    <row r="758" spans="1:1" x14ac:dyDescent="0.25">
      <c r="A758" t="s">
        <v>11411</v>
      </c>
    </row>
    <row r="759" spans="1:1" x14ac:dyDescent="0.25">
      <c r="A759" t="s">
        <v>11412</v>
      </c>
    </row>
    <row r="760" spans="1:1" x14ac:dyDescent="0.25">
      <c r="A760" t="s">
        <v>11416</v>
      </c>
    </row>
    <row r="761" spans="1:1" x14ac:dyDescent="0.25">
      <c r="A761" t="s">
        <v>11418</v>
      </c>
    </row>
    <row r="762" spans="1:1" x14ac:dyDescent="0.25">
      <c r="A762" t="s">
        <v>8735</v>
      </c>
    </row>
    <row r="763" spans="1:1" x14ac:dyDescent="0.25">
      <c r="A763" t="s">
        <v>11419</v>
      </c>
    </row>
    <row r="764" spans="1:1" x14ac:dyDescent="0.25">
      <c r="A764" t="s">
        <v>11420</v>
      </c>
    </row>
    <row r="765" spans="1:1" x14ac:dyDescent="0.25">
      <c r="A765" t="s">
        <v>7591</v>
      </c>
    </row>
    <row r="766" spans="1:1" x14ac:dyDescent="0.25">
      <c r="A766" t="s">
        <v>11422</v>
      </c>
    </row>
    <row r="767" spans="1:1" x14ac:dyDescent="0.25">
      <c r="A767" t="s">
        <v>11423</v>
      </c>
    </row>
    <row r="768" spans="1:1" x14ac:dyDescent="0.25">
      <c r="A768" t="s">
        <v>11424</v>
      </c>
    </row>
    <row r="769" spans="1:1" x14ac:dyDescent="0.25">
      <c r="A769" t="s">
        <v>11426</v>
      </c>
    </row>
    <row r="770" spans="1:1" x14ac:dyDescent="0.25">
      <c r="A770" t="s">
        <v>11427</v>
      </c>
    </row>
    <row r="771" spans="1:1" x14ac:dyDescent="0.25">
      <c r="A771" t="s">
        <v>11428</v>
      </c>
    </row>
    <row r="772" spans="1:1" x14ac:dyDescent="0.25">
      <c r="A772" t="s">
        <v>11429</v>
      </c>
    </row>
    <row r="773" spans="1:1" x14ac:dyDescent="0.25">
      <c r="A773" t="s">
        <v>13076</v>
      </c>
    </row>
    <row r="774" spans="1:1" x14ac:dyDescent="0.25">
      <c r="A774" t="s">
        <v>11431</v>
      </c>
    </row>
    <row r="775" spans="1:1" x14ac:dyDescent="0.25">
      <c r="A775" t="s">
        <v>11434</v>
      </c>
    </row>
    <row r="776" spans="1:1" x14ac:dyDescent="0.25">
      <c r="A776" t="s">
        <v>11435</v>
      </c>
    </row>
    <row r="777" spans="1:1" x14ac:dyDescent="0.25">
      <c r="A777" t="s">
        <v>11437</v>
      </c>
    </row>
    <row r="778" spans="1:1" x14ac:dyDescent="0.25">
      <c r="A778" t="s">
        <v>11438</v>
      </c>
    </row>
    <row r="779" spans="1:1" x14ac:dyDescent="0.25">
      <c r="A779" t="s">
        <v>11439</v>
      </c>
    </row>
    <row r="780" spans="1:1" x14ac:dyDescent="0.25">
      <c r="A780" t="s">
        <v>11440</v>
      </c>
    </row>
    <row r="781" spans="1:1" x14ac:dyDescent="0.25">
      <c r="A781" t="s">
        <v>11441</v>
      </c>
    </row>
    <row r="782" spans="1:1" x14ac:dyDescent="0.25">
      <c r="A782" t="s">
        <v>11442</v>
      </c>
    </row>
    <row r="783" spans="1:1" x14ac:dyDescent="0.25">
      <c r="A783" t="s">
        <v>11443</v>
      </c>
    </row>
    <row r="784" spans="1:1" x14ac:dyDescent="0.25">
      <c r="A784" t="s">
        <v>11444</v>
      </c>
    </row>
    <row r="785" spans="1:1" x14ac:dyDescent="0.25">
      <c r="A785" t="s">
        <v>11445</v>
      </c>
    </row>
    <row r="786" spans="1:1" x14ac:dyDescent="0.25">
      <c r="A786" t="s">
        <v>11447</v>
      </c>
    </row>
    <row r="787" spans="1:1" x14ac:dyDescent="0.25">
      <c r="A787" t="s">
        <v>11448</v>
      </c>
    </row>
    <row r="788" spans="1:1" x14ac:dyDescent="0.25">
      <c r="A788" t="s">
        <v>11449</v>
      </c>
    </row>
    <row r="789" spans="1:1" x14ac:dyDescent="0.25">
      <c r="A789" t="s">
        <v>11450</v>
      </c>
    </row>
    <row r="790" spans="1:1" x14ac:dyDescent="0.25">
      <c r="A790" t="s">
        <v>8396</v>
      </c>
    </row>
    <row r="791" spans="1:1" x14ac:dyDescent="0.25">
      <c r="A791" t="s">
        <v>8397</v>
      </c>
    </row>
    <row r="792" spans="1:1" x14ac:dyDescent="0.25">
      <c r="A792" t="s">
        <v>11451</v>
      </c>
    </row>
    <row r="793" spans="1:1" x14ac:dyDescent="0.25">
      <c r="A793" t="s">
        <v>11452</v>
      </c>
    </row>
    <row r="794" spans="1:1" x14ac:dyDescent="0.25">
      <c r="A794" t="s">
        <v>11453</v>
      </c>
    </row>
    <row r="795" spans="1:1" x14ac:dyDescent="0.25">
      <c r="A795" t="s">
        <v>11454</v>
      </c>
    </row>
    <row r="796" spans="1:1" x14ac:dyDescent="0.25">
      <c r="A796" t="s">
        <v>7605</v>
      </c>
    </row>
    <row r="797" spans="1:1" x14ac:dyDescent="0.25">
      <c r="A797" t="s">
        <v>11455</v>
      </c>
    </row>
    <row r="798" spans="1:1" x14ac:dyDescent="0.25">
      <c r="A798" t="s">
        <v>11456</v>
      </c>
    </row>
    <row r="799" spans="1:1" x14ac:dyDescent="0.25">
      <c r="A799" t="s">
        <v>13077</v>
      </c>
    </row>
    <row r="800" spans="1:1" x14ac:dyDescent="0.25">
      <c r="A800" t="s">
        <v>11457</v>
      </c>
    </row>
    <row r="801" spans="1:1" x14ac:dyDescent="0.25">
      <c r="A801" t="s">
        <v>11458</v>
      </c>
    </row>
    <row r="802" spans="1:1" x14ac:dyDescent="0.25">
      <c r="A802" t="s">
        <v>11459</v>
      </c>
    </row>
    <row r="803" spans="1:1" x14ac:dyDescent="0.25">
      <c r="A803" t="s">
        <v>11460</v>
      </c>
    </row>
    <row r="804" spans="1:1" x14ac:dyDescent="0.25">
      <c r="A804" t="s">
        <v>11461</v>
      </c>
    </row>
    <row r="805" spans="1:1" x14ac:dyDescent="0.25">
      <c r="A805" t="s">
        <v>11462</v>
      </c>
    </row>
    <row r="806" spans="1:1" x14ac:dyDescent="0.25">
      <c r="A806" t="s">
        <v>11463</v>
      </c>
    </row>
    <row r="807" spans="1:1" x14ac:dyDescent="0.25">
      <c r="A807" t="s">
        <v>11464</v>
      </c>
    </row>
    <row r="808" spans="1:1" x14ac:dyDescent="0.25">
      <c r="A808" t="s">
        <v>11465</v>
      </c>
    </row>
    <row r="809" spans="1:1" x14ac:dyDescent="0.25">
      <c r="A809" t="s">
        <v>11467</v>
      </c>
    </row>
    <row r="810" spans="1:1" x14ac:dyDescent="0.25">
      <c r="A810" t="s">
        <v>11468</v>
      </c>
    </row>
    <row r="811" spans="1:1" x14ac:dyDescent="0.25">
      <c r="A811" t="s">
        <v>8402</v>
      </c>
    </row>
    <row r="812" spans="1:1" x14ac:dyDescent="0.25">
      <c r="A812" t="s">
        <v>9930</v>
      </c>
    </row>
    <row r="813" spans="1:1" x14ac:dyDescent="0.25">
      <c r="A813" t="s">
        <v>11469</v>
      </c>
    </row>
    <row r="814" spans="1:1" x14ac:dyDescent="0.25">
      <c r="A814" t="s">
        <v>11470</v>
      </c>
    </row>
    <row r="815" spans="1:1" x14ac:dyDescent="0.25">
      <c r="A815" t="s">
        <v>11471</v>
      </c>
    </row>
    <row r="816" spans="1:1" x14ac:dyDescent="0.25">
      <c r="A816" t="s">
        <v>11472</v>
      </c>
    </row>
    <row r="817" spans="1:1" x14ac:dyDescent="0.25">
      <c r="A817" t="s">
        <v>11473</v>
      </c>
    </row>
    <row r="818" spans="1:1" x14ac:dyDescent="0.25">
      <c r="A818" t="s">
        <v>11474</v>
      </c>
    </row>
    <row r="819" spans="1:1" x14ac:dyDescent="0.25">
      <c r="A819" t="s">
        <v>11475</v>
      </c>
    </row>
    <row r="820" spans="1:1" x14ac:dyDescent="0.25">
      <c r="A820" t="s">
        <v>7611</v>
      </c>
    </row>
    <row r="821" spans="1:1" x14ac:dyDescent="0.25">
      <c r="A821" t="s">
        <v>11477</v>
      </c>
    </row>
    <row r="822" spans="1:1" x14ac:dyDescent="0.25">
      <c r="A822" t="s">
        <v>11478</v>
      </c>
    </row>
    <row r="823" spans="1:1" x14ac:dyDescent="0.25">
      <c r="A823" t="s">
        <v>11479</v>
      </c>
    </row>
    <row r="824" spans="1:1" x14ac:dyDescent="0.25">
      <c r="A824" t="s">
        <v>11480</v>
      </c>
    </row>
    <row r="825" spans="1:1" x14ac:dyDescent="0.25">
      <c r="A825" t="s">
        <v>11481</v>
      </c>
    </row>
    <row r="826" spans="1:1" x14ac:dyDescent="0.25">
      <c r="A826" t="s">
        <v>11482</v>
      </c>
    </row>
    <row r="827" spans="1:1" x14ac:dyDescent="0.25">
      <c r="A827" t="s">
        <v>7613</v>
      </c>
    </row>
    <row r="828" spans="1:1" x14ac:dyDescent="0.25">
      <c r="A828" t="s">
        <v>11485</v>
      </c>
    </row>
    <row r="829" spans="1:1" x14ac:dyDescent="0.25">
      <c r="A829" t="s">
        <v>11486</v>
      </c>
    </row>
    <row r="830" spans="1:1" x14ac:dyDescent="0.25">
      <c r="A830" t="s">
        <v>11487</v>
      </c>
    </row>
    <row r="831" spans="1:1" x14ac:dyDescent="0.25">
      <c r="A831" t="s">
        <v>7614</v>
      </c>
    </row>
    <row r="832" spans="1:1" x14ac:dyDescent="0.25">
      <c r="A832" t="s">
        <v>8737</v>
      </c>
    </row>
    <row r="833" spans="1:1" x14ac:dyDescent="0.25">
      <c r="A833" t="s">
        <v>11488</v>
      </c>
    </row>
    <row r="834" spans="1:1" x14ac:dyDescent="0.25">
      <c r="A834" t="s">
        <v>8404</v>
      </c>
    </row>
    <row r="835" spans="1:1" x14ac:dyDescent="0.25">
      <c r="A835" t="s">
        <v>11489</v>
      </c>
    </row>
    <row r="836" spans="1:1" x14ac:dyDescent="0.25">
      <c r="A836" t="s">
        <v>11490</v>
      </c>
    </row>
    <row r="837" spans="1:1" x14ac:dyDescent="0.25">
      <c r="A837" t="s">
        <v>11491</v>
      </c>
    </row>
    <row r="838" spans="1:1" x14ac:dyDescent="0.25">
      <c r="A838" t="s">
        <v>11492</v>
      </c>
    </row>
    <row r="839" spans="1:1" x14ac:dyDescent="0.25">
      <c r="A839" t="s">
        <v>11493</v>
      </c>
    </row>
    <row r="840" spans="1:1" x14ac:dyDescent="0.25">
      <c r="A840" t="s">
        <v>11494</v>
      </c>
    </row>
    <row r="841" spans="1:1" x14ac:dyDescent="0.25">
      <c r="A841" t="s">
        <v>11495</v>
      </c>
    </row>
    <row r="842" spans="1:1" x14ac:dyDescent="0.25">
      <c r="A842" t="s">
        <v>11496</v>
      </c>
    </row>
    <row r="843" spans="1:1" x14ac:dyDescent="0.25">
      <c r="A843" t="s">
        <v>11497</v>
      </c>
    </row>
    <row r="844" spans="1:1" x14ac:dyDescent="0.25">
      <c r="A844" t="s">
        <v>11498</v>
      </c>
    </row>
    <row r="845" spans="1:1" x14ac:dyDescent="0.25">
      <c r="A845" t="s">
        <v>11499</v>
      </c>
    </row>
    <row r="846" spans="1:1" x14ac:dyDescent="0.25">
      <c r="A846" t="s">
        <v>11500</v>
      </c>
    </row>
    <row r="847" spans="1:1" x14ac:dyDescent="0.25">
      <c r="A847" t="s">
        <v>11501</v>
      </c>
    </row>
    <row r="848" spans="1:1" x14ac:dyDescent="0.25">
      <c r="A848" t="s">
        <v>11502</v>
      </c>
    </row>
    <row r="849" spans="1:1" x14ac:dyDescent="0.25">
      <c r="A849" t="s">
        <v>11503</v>
      </c>
    </row>
    <row r="850" spans="1:1" x14ac:dyDescent="0.25">
      <c r="A850" t="s">
        <v>11504</v>
      </c>
    </row>
    <row r="851" spans="1:1" x14ac:dyDescent="0.25">
      <c r="A851" t="s">
        <v>8405</v>
      </c>
    </row>
    <row r="852" spans="1:1" x14ac:dyDescent="0.25">
      <c r="A852" t="s">
        <v>11505</v>
      </c>
    </row>
    <row r="853" spans="1:1" x14ac:dyDescent="0.25">
      <c r="A853" t="s">
        <v>11506</v>
      </c>
    </row>
    <row r="854" spans="1:1" x14ac:dyDescent="0.25">
      <c r="A854" t="s">
        <v>11507</v>
      </c>
    </row>
    <row r="855" spans="1:1" x14ac:dyDescent="0.25">
      <c r="A855" t="s">
        <v>11508</v>
      </c>
    </row>
    <row r="856" spans="1:1" x14ac:dyDescent="0.25">
      <c r="A856" t="s">
        <v>11509</v>
      </c>
    </row>
    <row r="857" spans="1:1" x14ac:dyDescent="0.25">
      <c r="A857" t="s">
        <v>11510</v>
      </c>
    </row>
    <row r="858" spans="1:1" x14ac:dyDescent="0.25">
      <c r="A858" t="s">
        <v>11511</v>
      </c>
    </row>
    <row r="859" spans="1:1" x14ac:dyDescent="0.25">
      <c r="A859" t="s">
        <v>11512</v>
      </c>
    </row>
    <row r="860" spans="1:1" x14ac:dyDescent="0.25">
      <c r="A860" t="s">
        <v>11513</v>
      </c>
    </row>
    <row r="861" spans="1:1" x14ac:dyDescent="0.25">
      <c r="A861" t="s">
        <v>11514</v>
      </c>
    </row>
    <row r="862" spans="1:1" x14ac:dyDescent="0.25">
      <c r="A862" t="s">
        <v>8792</v>
      </c>
    </row>
    <row r="863" spans="1:1" x14ac:dyDescent="0.25">
      <c r="A863" t="s">
        <v>8409</v>
      </c>
    </row>
    <row r="864" spans="1:1" x14ac:dyDescent="0.25">
      <c r="A864" t="s">
        <v>11515</v>
      </c>
    </row>
    <row r="865" spans="1:1" x14ac:dyDescent="0.25">
      <c r="A865" t="s">
        <v>11516</v>
      </c>
    </row>
    <row r="866" spans="1:1" x14ac:dyDescent="0.25">
      <c r="A866" t="s">
        <v>11517</v>
      </c>
    </row>
    <row r="867" spans="1:1" x14ac:dyDescent="0.25">
      <c r="A867" t="s">
        <v>11520</v>
      </c>
    </row>
    <row r="868" spans="1:1" x14ac:dyDescent="0.25">
      <c r="A868" t="s">
        <v>11522</v>
      </c>
    </row>
    <row r="869" spans="1:1" x14ac:dyDescent="0.25">
      <c r="A869" t="s">
        <v>11523</v>
      </c>
    </row>
    <row r="870" spans="1:1" x14ac:dyDescent="0.25">
      <c r="A870" t="s">
        <v>11524</v>
      </c>
    </row>
    <row r="871" spans="1:1" x14ac:dyDescent="0.25">
      <c r="A871" t="s">
        <v>13078</v>
      </c>
    </row>
    <row r="872" spans="1:1" x14ac:dyDescent="0.25">
      <c r="A872" t="s">
        <v>11525</v>
      </c>
    </row>
    <row r="873" spans="1:1" x14ac:dyDescent="0.25">
      <c r="A873" t="s">
        <v>11526</v>
      </c>
    </row>
    <row r="874" spans="1:1" x14ac:dyDescent="0.25">
      <c r="A874" t="s">
        <v>11527</v>
      </c>
    </row>
    <row r="875" spans="1:1" x14ac:dyDescent="0.25">
      <c r="A875" t="s">
        <v>11529</v>
      </c>
    </row>
    <row r="876" spans="1:1" x14ac:dyDescent="0.25">
      <c r="A876" t="s">
        <v>11530</v>
      </c>
    </row>
    <row r="877" spans="1:1" x14ac:dyDescent="0.25">
      <c r="A877" t="s">
        <v>11531</v>
      </c>
    </row>
    <row r="878" spans="1:1" x14ac:dyDescent="0.25">
      <c r="A878" t="s">
        <v>11534</v>
      </c>
    </row>
    <row r="879" spans="1:1" x14ac:dyDescent="0.25">
      <c r="A879" t="s">
        <v>8741</v>
      </c>
    </row>
    <row r="880" spans="1:1" x14ac:dyDescent="0.25">
      <c r="A880" t="s">
        <v>11536</v>
      </c>
    </row>
    <row r="881" spans="1:1" x14ac:dyDescent="0.25">
      <c r="A881" t="s">
        <v>11537</v>
      </c>
    </row>
    <row r="882" spans="1:1" x14ac:dyDescent="0.25">
      <c r="A882" t="s">
        <v>11538</v>
      </c>
    </row>
    <row r="883" spans="1:1" x14ac:dyDescent="0.25">
      <c r="A883" t="s">
        <v>11541</v>
      </c>
    </row>
    <row r="884" spans="1:1" x14ac:dyDescent="0.25">
      <c r="A884" t="s">
        <v>11542</v>
      </c>
    </row>
    <row r="885" spans="1:1" x14ac:dyDescent="0.25">
      <c r="A885" t="s">
        <v>11543</v>
      </c>
    </row>
    <row r="886" spans="1:1" x14ac:dyDescent="0.25">
      <c r="A886" t="s">
        <v>11544</v>
      </c>
    </row>
    <row r="887" spans="1:1" x14ac:dyDescent="0.25">
      <c r="A887" t="s">
        <v>11546</v>
      </c>
    </row>
    <row r="888" spans="1:1" x14ac:dyDescent="0.25">
      <c r="A888" t="s">
        <v>11547</v>
      </c>
    </row>
    <row r="889" spans="1:1" x14ac:dyDescent="0.25">
      <c r="A889" t="s">
        <v>11549</v>
      </c>
    </row>
    <row r="890" spans="1:1" x14ac:dyDescent="0.25">
      <c r="A890" t="s">
        <v>11550</v>
      </c>
    </row>
    <row r="891" spans="1:1" x14ac:dyDescent="0.25">
      <c r="A891" t="s">
        <v>11551</v>
      </c>
    </row>
    <row r="892" spans="1:1" x14ac:dyDescent="0.25">
      <c r="A892" t="s">
        <v>11552</v>
      </c>
    </row>
    <row r="893" spans="1:1" x14ac:dyDescent="0.25">
      <c r="A893" t="s">
        <v>13079</v>
      </c>
    </row>
    <row r="894" spans="1:1" x14ac:dyDescent="0.25">
      <c r="A894" t="s">
        <v>11555</v>
      </c>
    </row>
    <row r="895" spans="1:1" x14ac:dyDescent="0.25">
      <c r="A895" t="s">
        <v>11558</v>
      </c>
    </row>
    <row r="896" spans="1:1" x14ac:dyDescent="0.25">
      <c r="A896" t="s">
        <v>11559</v>
      </c>
    </row>
    <row r="897" spans="1:1" x14ac:dyDescent="0.25">
      <c r="A897" t="s">
        <v>11560</v>
      </c>
    </row>
    <row r="898" spans="1:1" x14ac:dyDescent="0.25">
      <c r="A898" t="s">
        <v>7641</v>
      </c>
    </row>
    <row r="899" spans="1:1" x14ac:dyDescent="0.25">
      <c r="A899" t="s">
        <v>11561</v>
      </c>
    </row>
    <row r="900" spans="1:1" x14ac:dyDescent="0.25">
      <c r="A900" t="s">
        <v>11562</v>
      </c>
    </row>
    <row r="901" spans="1:1" x14ac:dyDescent="0.25">
      <c r="A901" t="s">
        <v>11564</v>
      </c>
    </row>
    <row r="902" spans="1:1" x14ac:dyDescent="0.25">
      <c r="A902" t="s">
        <v>11565</v>
      </c>
    </row>
    <row r="903" spans="1:1" x14ac:dyDescent="0.25">
      <c r="A903" t="s">
        <v>11566</v>
      </c>
    </row>
    <row r="904" spans="1:1" x14ac:dyDescent="0.25">
      <c r="A904" t="s">
        <v>11567</v>
      </c>
    </row>
    <row r="905" spans="1:1" x14ac:dyDescent="0.25">
      <c r="A905" t="s">
        <v>11568</v>
      </c>
    </row>
    <row r="906" spans="1:1" x14ac:dyDescent="0.25">
      <c r="A906" t="s">
        <v>11569</v>
      </c>
    </row>
    <row r="907" spans="1:1" x14ac:dyDescent="0.25">
      <c r="A907" t="s">
        <v>11570</v>
      </c>
    </row>
    <row r="908" spans="1:1" x14ac:dyDescent="0.25">
      <c r="A908" t="s">
        <v>8427</v>
      </c>
    </row>
    <row r="909" spans="1:1" x14ac:dyDescent="0.25">
      <c r="A909" t="s">
        <v>11574</v>
      </c>
    </row>
    <row r="910" spans="1:1" x14ac:dyDescent="0.25">
      <c r="A910" t="s">
        <v>11575</v>
      </c>
    </row>
    <row r="911" spans="1:1" x14ac:dyDescent="0.25">
      <c r="A911" t="s">
        <v>11576</v>
      </c>
    </row>
    <row r="912" spans="1:1" x14ac:dyDescent="0.25">
      <c r="A912" t="s">
        <v>11577</v>
      </c>
    </row>
    <row r="913" spans="1:1" x14ac:dyDescent="0.25">
      <c r="A913" t="s">
        <v>8794</v>
      </c>
    </row>
    <row r="914" spans="1:1" x14ac:dyDescent="0.25">
      <c r="A914" t="s">
        <v>11579</v>
      </c>
    </row>
    <row r="915" spans="1:1" x14ac:dyDescent="0.25">
      <c r="A915" t="s">
        <v>11581</v>
      </c>
    </row>
    <row r="916" spans="1:1" x14ac:dyDescent="0.25">
      <c r="A916" t="s">
        <v>11582</v>
      </c>
    </row>
    <row r="917" spans="1:1" x14ac:dyDescent="0.25">
      <c r="A917" t="s">
        <v>11583</v>
      </c>
    </row>
    <row r="918" spans="1:1" x14ac:dyDescent="0.25">
      <c r="A918" t="s">
        <v>11584</v>
      </c>
    </row>
    <row r="919" spans="1:1" x14ac:dyDescent="0.25">
      <c r="A919" t="s">
        <v>11585</v>
      </c>
    </row>
    <row r="920" spans="1:1" x14ac:dyDescent="0.25">
      <c r="A920" t="s">
        <v>8428</v>
      </c>
    </row>
    <row r="921" spans="1:1" x14ac:dyDescent="0.25">
      <c r="A921" t="s">
        <v>11588</v>
      </c>
    </row>
    <row r="922" spans="1:1" x14ac:dyDescent="0.25">
      <c r="A922" t="s">
        <v>11589</v>
      </c>
    </row>
    <row r="923" spans="1:1" x14ac:dyDescent="0.25">
      <c r="A923" t="s">
        <v>11590</v>
      </c>
    </row>
    <row r="924" spans="1:1" x14ac:dyDescent="0.25">
      <c r="A924" t="s">
        <v>11592</v>
      </c>
    </row>
    <row r="925" spans="1:1" x14ac:dyDescent="0.25">
      <c r="A925" t="s">
        <v>11595</v>
      </c>
    </row>
    <row r="926" spans="1:1" x14ac:dyDescent="0.25">
      <c r="A926" t="s">
        <v>11596</v>
      </c>
    </row>
    <row r="927" spans="1:1" x14ac:dyDescent="0.25">
      <c r="A927" t="s">
        <v>11597</v>
      </c>
    </row>
    <row r="928" spans="1:1" x14ac:dyDescent="0.25">
      <c r="A928" t="s">
        <v>11598</v>
      </c>
    </row>
    <row r="929" spans="1:1" x14ac:dyDescent="0.25">
      <c r="A929" t="s">
        <v>13080</v>
      </c>
    </row>
    <row r="930" spans="1:1" x14ac:dyDescent="0.25">
      <c r="A930" t="s">
        <v>11601</v>
      </c>
    </row>
    <row r="931" spans="1:1" x14ac:dyDescent="0.25">
      <c r="A931" t="s">
        <v>11602</v>
      </c>
    </row>
    <row r="932" spans="1:1" x14ac:dyDescent="0.25">
      <c r="A932" t="s">
        <v>11603</v>
      </c>
    </row>
    <row r="933" spans="1:1" x14ac:dyDescent="0.25">
      <c r="A933" t="s">
        <v>11604</v>
      </c>
    </row>
    <row r="934" spans="1:1" x14ac:dyDescent="0.25">
      <c r="A934" t="s">
        <v>11605</v>
      </c>
    </row>
    <row r="935" spans="1:1" x14ac:dyDescent="0.25">
      <c r="A935" t="s">
        <v>13081</v>
      </c>
    </row>
    <row r="936" spans="1:1" x14ac:dyDescent="0.25">
      <c r="A936" t="s">
        <v>11606</v>
      </c>
    </row>
    <row r="937" spans="1:1" x14ac:dyDescent="0.25">
      <c r="A937" t="s">
        <v>11607</v>
      </c>
    </row>
    <row r="938" spans="1:1" x14ac:dyDescent="0.25">
      <c r="A938" t="s">
        <v>11608</v>
      </c>
    </row>
    <row r="939" spans="1:1" x14ac:dyDescent="0.25">
      <c r="A939" t="s">
        <v>11610</v>
      </c>
    </row>
    <row r="940" spans="1:1" x14ac:dyDescent="0.25">
      <c r="A940" t="s">
        <v>11611</v>
      </c>
    </row>
    <row r="941" spans="1:1" x14ac:dyDescent="0.25">
      <c r="A941" t="s">
        <v>11612</v>
      </c>
    </row>
    <row r="942" spans="1:1" x14ac:dyDescent="0.25">
      <c r="A942" t="s">
        <v>11613</v>
      </c>
    </row>
    <row r="943" spans="1:1" x14ac:dyDescent="0.25">
      <c r="A943" t="s">
        <v>11615</v>
      </c>
    </row>
    <row r="944" spans="1:1" x14ac:dyDescent="0.25">
      <c r="A944" t="s">
        <v>11616</v>
      </c>
    </row>
    <row r="945" spans="1:1" x14ac:dyDescent="0.25">
      <c r="A945" t="s">
        <v>11617</v>
      </c>
    </row>
    <row r="946" spans="1:1" x14ac:dyDescent="0.25">
      <c r="A946" t="s">
        <v>11618</v>
      </c>
    </row>
    <row r="947" spans="1:1" x14ac:dyDescent="0.25">
      <c r="A947" t="s">
        <v>11619</v>
      </c>
    </row>
    <row r="948" spans="1:1" x14ac:dyDescent="0.25">
      <c r="A948" t="s">
        <v>11620</v>
      </c>
    </row>
    <row r="949" spans="1:1" x14ac:dyDescent="0.25">
      <c r="A949" t="s">
        <v>11621</v>
      </c>
    </row>
    <row r="950" spans="1:1" x14ac:dyDescent="0.25">
      <c r="A950" t="s">
        <v>11622</v>
      </c>
    </row>
    <row r="951" spans="1:1" x14ac:dyDescent="0.25">
      <c r="A951" t="s">
        <v>11626</v>
      </c>
    </row>
    <row r="952" spans="1:1" x14ac:dyDescent="0.25">
      <c r="A952" t="s">
        <v>11627</v>
      </c>
    </row>
    <row r="953" spans="1:1" x14ac:dyDescent="0.25">
      <c r="A953" t="s">
        <v>11628</v>
      </c>
    </row>
    <row r="954" spans="1:1" x14ac:dyDescent="0.25">
      <c r="A954" t="s">
        <v>11631</v>
      </c>
    </row>
    <row r="955" spans="1:1" x14ac:dyDescent="0.25">
      <c r="A955" t="s">
        <v>11632</v>
      </c>
    </row>
    <row r="956" spans="1:1" x14ac:dyDescent="0.25">
      <c r="A956" t="s">
        <v>11633</v>
      </c>
    </row>
    <row r="957" spans="1:1" x14ac:dyDescent="0.25">
      <c r="A957" t="s">
        <v>11634</v>
      </c>
    </row>
    <row r="958" spans="1:1" x14ac:dyDescent="0.25">
      <c r="A958" t="s">
        <v>9316</v>
      </c>
    </row>
    <row r="959" spans="1:1" x14ac:dyDescent="0.25">
      <c r="A959" t="s">
        <v>13082</v>
      </c>
    </row>
    <row r="960" spans="1:1" x14ac:dyDescent="0.25">
      <c r="A960" t="s">
        <v>11636</v>
      </c>
    </row>
    <row r="961" spans="1:1" x14ac:dyDescent="0.25">
      <c r="A961" t="s">
        <v>11637</v>
      </c>
    </row>
    <row r="962" spans="1:1" x14ac:dyDescent="0.25">
      <c r="A962" t="s">
        <v>11639</v>
      </c>
    </row>
    <row r="963" spans="1:1" x14ac:dyDescent="0.25">
      <c r="A963" t="s">
        <v>11640</v>
      </c>
    </row>
    <row r="964" spans="1:1" x14ac:dyDescent="0.25">
      <c r="A964" t="s">
        <v>13083</v>
      </c>
    </row>
    <row r="965" spans="1:1" x14ac:dyDescent="0.25">
      <c r="A965" t="s">
        <v>11642</v>
      </c>
    </row>
    <row r="966" spans="1:1" x14ac:dyDescent="0.25">
      <c r="A966" t="s">
        <v>11644</v>
      </c>
    </row>
    <row r="967" spans="1:1" x14ac:dyDescent="0.25">
      <c r="A967" t="s">
        <v>11645</v>
      </c>
    </row>
    <row r="968" spans="1:1" x14ac:dyDescent="0.25">
      <c r="A968" t="s">
        <v>8438</v>
      </c>
    </row>
    <row r="969" spans="1:1" x14ac:dyDescent="0.25">
      <c r="A969" t="s">
        <v>11649</v>
      </c>
    </row>
    <row r="970" spans="1:1" x14ac:dyDescent="0.25">
      <c r="A970" t="s">
        <v>11650</v>
      </c>
    </row>
    <row r="971" spans="1:1" x14ac:dyDescent="0.25">
      <c r="A971" t="s">
        <v>11651</v>
      </c>
    </row>
    <row r="972" spans="1:1" x14ac:dyDescent="0.25">
      <c r="A972" t="s">
        <v>11652</v>
      </c>
    </row>
    <row r="973" spans="1:1" x14ac:dyDescent="0.25">
      <c r="A973" t="s">
        <v>11653</v>
      </c>
    </row>
    <row r="974" spans="1:1" x14ac:dyDescent="0.25">
      <c r="A974" t="s">
        <v>8439</v>
      </c>
    </row>
    <row r="975" spans="1:1" x14ac:dyDescent="0.25">
      <c r="A975" t="s">
        <v>11654</v>
      </c>
    </row>
    <row r="976" spans="1:1" x14ac:dyDescent="0.25">
      <c r="A976" t="s">
        <v>13084</v>
      </c>
    </row>
    <row r="977" spans="1:1" x14ac:dyDescent="0.25">
      <c r="A977" t="s">
        <v>11655</v>
      </c>
    </row>
    <row r="978" spans="1:1" x14ac:dyDescent="0.25">
      <c r="A978" t="s">
        <v>11656</v>
      </c>
    </row>
    <row r="979" spans="1:1" x14ac:dyDescent="0.25">
      <c r="A979" t="s">
        <v>11657</v>
      </c>
    </row>
    <row r="980" spans="1:1" x14ac:dyDescent="0.25">
      <c r="A980" t="s">
        <v>11658</v>
      </c>
    </row>
    <row r="981" spans="1:1" x14ac:dyDescent="0.25">
      <c r="A981" t="s">
        <v>11659</v>
      </c>
    </row>
    <row r="982" spans="1:1" x14ac:dyDescent="0.25">
      <c r="A982" t="s">
        <v>7678</v>
      </c>
    </row>
    <row r="983" spans="1:1" x14ac:dyDescent="0.25">
      <c r="A983" t="s">
        <v>11660</v>
      </c>
    </row>
    <row r="984" spans="1:1" x14ac:dyDescent="0.25">
      <c r="A984" t="s">
        <v>9689</v>
      </c>
    </row>
    <row r="985" spans="1:1" x14ac:dyDescent="0.25">
      <c r="A985" t="s">
        <v>11662</v>
      </c>
    </row>
    <row r="986" spans="1:1" x14ac:dyDescent="0.25">
      <c r="A986" t="s">
        <v>11664</v>
      </c>
    </row>
    <row r="987" spans="1:1" x14ac:dyDescent="0.25">
      <c r="A987" t="s">
        <v>11665</v>
      </c>
    </row>
    <row r="988" spans="1:1" x14ac:dyDescent="0.25">
      <c r="A988" t="s">
        <v>11666</v>
      </c>
    </row>
    <row r="989" spans="1:1" x14ac:dyDescent="0.25">
      <c r="A989" t="s">
        <v>8443</v>
      </c>
    </row>
    <row r="990" spans="1:1" x14ac:dyDescent="0.25">
      <c r="A990" t="s">
        <v>11667</v>
      </c>
    </row>
    <row r="991" spans="1:1" x14ac:dyDescent="0.25">
      <c r="A991" t="s">
        <v>11669</v>
      </c>
    </row>
    <row r="992" spans="1:1" x14ac:dyDescent="0.25">
      <c r="A992" t="s">
        <v>7680</v>
      </c>
    </row>
    <row r="993" spans="1:1" x14ac:dyDescent="0.25">
      <c r="A993" t="s">
        <v>11670</v>
      </c>
    </row>
    <row r="994" spans="1:1" x14ac:dyDescent="0.25">
      <c r="A994" t="s">
        <v>7682</v>
      </c>
    </row>
    <row r="995" spans="1:1" x14ac:dyDescent="0.25">
      <c r="A995" t="s">
        <v>11671</v>
      </c>
    </row>
    <row r="996" spans="1:1" x14ac:dyDescent="0.25">
      <c r="A996" t="s">
        <v>13085</v>
      </c>
    </row>
    <row r="997" spans="1:1" x14ac:dyDescent="0.25">
      <c r="A997" t="s">
        <v>9326</v>
      </c>
    </row>
    <row r="998" spans="1:1" x14ac:dyDescent="0.25">
      <c r="A998" t="s">
        <v>11673</v>
      </c>
    </row>
    <row r="999" spans="1:1" x14ac:dyDescent="0.25">
      <c r="A999" t="s">
        <v>11677</v>
      </c>
    </row>
    <row r="1000" spans="1:1" x14ac:dyDescent="0.25">
      <c r="A1000" t="s">
        <v>11678</v>
      </c>
    </row>
    <row r="1001" spans="1:1" x14ac:dyDescent="0.25">
      <c r="A1001" t="s">
        <v>11679</v>
      </c>
    </row>
    <row r="1002" spans="1:1" x14ac:dyDescent="0.25">
      <c r="A1002" t="s">
        <v>9942</v>
      </c>
    </row>
    <row r="1003" spans="1:1" x14ac:dyDescent="0.25">
      <c r="A1003" t="s">
        <v>11682</v>
      </c>
    </row>
    <row r="1004" spans="1:1" x14ac:dyDescent="0.25">
      <c r="A1004" t="s">
        <v>11683</v>
      </c>
    </row>
    <row r="1005" spans="1:1" x14ac:dyDescent="0.25">
      <c r="A1005" t="s">
        <v>11684</v>
      </c>
    </row>
    <row r="1006" spans="1:1" x14ac:dyDescent="0.25">
      <c r="A1006" t="s">
        <v>11685</v>
      </c>
    </row>
    <row r="1007" spans="1:1" x14ac:dyDescent="0.25">
      <c r="A1007" t="s">
        <v>11686</v>
      </c>
    </row>
    <row r="1008" spans="1:1" x14ac:dyDescent="0.25">
      <c r="A1008" t="s">
        <v>11687</v>
      </c>
    </row>
    <row r="1009" spans="1:1" x14ac:dyDescent="0.25">
      <c r="A1009" t="s">
        <v>11688</v>
      </c>
    </row>
    <row r="1010" spans="1:1" x14ac:dyDescent="0.25">
      <c r="A1010" t="s">
        <v>11689</v>
      </c>
    </row>
    <row r="1011" spans="1:1" x14ac:dyDescent="0.25">
      <c r="A1011" t="s">
        <v>11690</v>
      </c>
    </row>
    <row r="1012" spans="1:1" x14ac:dyDescent="0.25">
      <c r="A1012" t="s">
        <v>11691</v>
      </c>
    </row>
    <row r="1013" spans="1:1" x14ac:dyDescent="0.25">
      <c r="A1013" t="s">
        <v>11692</v>
      </c>
    </row>
    <row r="1014" spans="1:1" x14ac:dyDescent="0.25">
      <c r="A1014" t="s">
        <v>11693</v>
      </c>
    </row>
    <row r="1015" spans="1:1" x14ac:dyDescent="0.25">
      <c r="A1015" t="s">
        <v>11694</v>
      </c>
    </row>
    <row r="1016" spans="1:1" x14ac:dyDescent="0.25">
      <c r="A1016" t="s">
        <v>11695</v>
      </c>
    </row>
    <row r="1017" spans="1:1" x14ac:dyDescent="0.25">
      <c r="A1017" t="s">
        <v>11696</v>
      </c>
    </row>
    <row r="1018" spans="1:1" x14ac:dyDescent="0.25">
      <c r="A1018" t="s">
        <v>11697</v>
      </c>
    </row>
    <row r="1019" spans="1:1" x14ac:dyDescent="0.25">
      <c r="A1019" t="s">
        <v>11698</v>
      </c>
    </row>
    <row r="1020" spans="1:1" x14ac:dyDescent="0.25">
      <c r="A1020" t="s">
        <v>11699</v>
      </c>
    </row>
    <row r="1021" spans="1:1" x14ac:dyDescent="0.25">
      <c r="A1021" t="s">
        <v>11700</v>
      </c>
    </row>
    <row r="1022" spans="1:1" x14ac:dyDescent="0.25">
      <c r="A1022" t="s">
        <v>11701</v>
      </c>
    </row>
    <row r="1023" spans="1:1" x14ac:dyDescent="0.25">
      <c r="A1023" t="s">
        <v>13086</v>
      </c>
    </row>
    <row r="1024" spans="1:1" x14ac:dyDescent="0.25">
      <c r="A1024" t="s">
        <v>11702</v>
      </c>
    </row>
    <row r="1025" spans="1:1" x14ac:dyDescent="0.25">
      <c r="A1025" t="s">
        <v>8449</v>
      </c>
    </row>
    <row r="1026" spans="1:1" x14ac:dyDescent="0.25">
      <c r="A1026" t="s">
        <v>11703</v>
      </c>
    </row>
    <row r="1027" spans="1:1" x14ac:dyDescent="0.25">
      <c r="A1027" t="s">
        <v>11704</v>
      </c>
    </row>
    <row r="1028" spans="1:1" x14ac:dyDescent="0.25">
      <c r="A1028" t="s">
        <v>11705</v>
      </c>
    </row>
    <row r="1029" spans="1:1" x14ac:dyDescent="0.25">
      <c r="A1029" t="s">
        <v>11706</v>
      </c>
    </row>
    <row r="1030" spans="1:1" x14ac:dyDescent="0.25">
      <c r="A1030" t="s">
        <v>11707</v>
      </c>
    </row>
    <row r="1031" spans="1:1" x14ac:dyDescent="0.25">
      <c r="A1031" t="s">
        <v>11708</v>
      </c>
    </row>
    <row r="1032" spans="1:1" x14ac:dyDescent="0.25">
      <c r="A1032" t="s">
        <v>11709</v>
      </c>
    </row>
    <row r="1033" spans="1:1" x14ac:dyDescent="0.25">
      <c r="A1033" t="s">
        <v>11710</v>
      </c>
    </row>
    <row r="1034" spans="1:1" x14ac:dyDescent="0.25">
      <c r="A1034" t="s">
        <v>11711</v>
      </c>
    </row>
    <row r="1035" spans="1:1" x14ac:dyDescent="0.25">
      <c r="A1035" t="s">
        <v>11712</v>
      </c>
    </row>
    <row r="1036" spans="1:1" x14ac:dyDescent="0.25">
      <c r="A1036" t="s">
        <v>11713</v>
      </c>
    </row>
    <row r="1037" spans="1:1" x14ac:dyDescent="0.25">
      <c r="A1037" t="s">
        <v>7702</v>
      </c>
    </row>
    <row r="1038" spans="1:1" x14ac:dyDescent="0.25">
      <c r="A1038" t="s">
        <v>11714</v>
      </c>
    </row>
    <row r="1039" spans="1:1" x14ac:dyDescent="0.25">
      <c r="A1039" t="s">
        <v>11716</v>
      </c>
    </row>
    <row r="1040" spans="1:1" x14ac:dyDescent="0.25">
      <c r="A1040" t="s">
        <v>11717</v>
      </c>
    </row>
    <row r="1041" spans="1:1" x14ac:dyDescent="0.25">
      <c r="A1041" t="s">
        <v>11718</v>
      </c>
    </row>
    <row r="1042" spans="1:1" x14ac:dyDescent="0.25">
      <c r="A1042" t="s">
        <v>11720</v>
      </c>
    </row>
    <row r="1043" spans="1:1" x14ac:dyDescent="0.25">
      <c r="A1043" t="s">
        <v>13087</v>
      </c>
    </row>
    <row r="1044" spans="1:1" x14ac:dyDescent="0.25">
      <c r="A1044" t="s">
        <v>11721</v>
      </c>
    </row>
    <row r="1045" spans="1:1" x14ac:dyDescent="0.25">
      <c r="A1045" t="s">
        <v>11723</v>
      </c>
    </row>
    <row r="1046" spans="1:1" x14ac:dyDescent="0.25">
      <c r="A1046" t="s">
        <v>11724</v>
      </c>
    </row>
    <row r="1047" spans="1:1" x14ac:dyDescent="0.25">
      <c r="A1047" t="s">
        <v>11725</v>
      </c>
    </row>
    <row r="1048" spans="1:1" x14ac:dyDescent="0.25">
      <c r="A1048" t="s">
        <v>11726</v>
      </c>
    </row>
    <row r="1049" spans="1:1" x14ac:dyDescent="0.25">
      <c r="A1049" t="s">
        <v>13088</v>
      </c>
    </row>
    <row r="1050" spans="1:1" x14ac:dyDescent="0.25">
      <c r="A1050" t="s">
        <v>11728</v>
      </c>
    </row>
    <row r="1051" spans="1:1" x14ac:dyDescent="0.25">
      <c r="A1051" t="s">
        <v>11729</v>
      </c>
    </row>
    <row r="1052" spans="1:1" x14ac:dyDescent="0.25">
      <c r="A1052" t="s">
        <v>9334</v>
      </c>
    </row>
    <row r="1053" spans="1:1" x14ac:dyDescent="0.25">
      <c r="A1053" t="s">
        <v>9337</v>
      </c>
    </row>
    <row r="1054" spans="1:1" x14ac:dyDescent="0.25">
      <c r="A1054" t="s">
        <v>11733</v>
      </c>
    </row>
    <row r="1055" spans="1:1" x14ac:dyDescent="0.25">
      <c r="A1055" t="s">
        <v>11734</v>
      </c>
    </row>
    <row r="1056" spans="1:1" x14ac:dyDescent="0.25">
      <c r="A1056" t="s">
        <v>9339</v>
      </c>
    </row>
    <row r="1057" spans="1:1" x14ac:dyDescent="0.25">
      <c r="A1057" t="s">
        <v>13089</v>
      </c>
    </row>
    <row r="1058" spans="1:1" x14ac:dyDescent="0.25">
      <c r="A1058" t="s">
        <v>11739</v>
      </c>
    </row>
    <row r="1059" spans="1:1" x14ac:dyDescent="0.25">
      <c r="A1059" t="s">
        <v>11740</v>
      </c>
    </row>
    <row r="1060" spans="1:1" x14ac:dyDescent="0.25">
      <c r="A1060" t="s">
        <v>11741</v>
      </c>
    </row>
    <row r="1061" spans="1:1" x14ac:dyDescent="0.25">
      <c r="A1061" t="s">
        <v>13090</v>
      </c>
    </row>
    <row r="1062" spans="1:1" x14ac:dyDescent="0.25">
      <c r="A1062" t="s">
        <v>11742</v>
      </c>
    </row>
    <row r="1063" spans="1:1" x14ac:dyDescent="0.25">
      <c r="A1063" t="s">
        <v>11743</v>
      </c>
    </row>
    <row r="1064" spans="1:1" x14ac:dyDescent="0.25">
      <c r="A1064" t="s">
        <v>13091</v>
      </c>
    </row>
    <row r="1065" spans="1:1" x14ac:dyDescent="0.25">
      <c r="A1065" t="s">
        <v>11745</v>
      </c>
    </row>
    <row r="1066" spans="1:1" x14ac:dyDescent="0.25">
      <c r="A1066" t="s">
        <v>11746</v>
      </c>
    </row>
    <row r="1067" spans="1:1" x14ac:dyDescent="0.25">
      <c r="A1067" t="s">
        <v>11748</v>
      </c>
    </row>
    <row r="1068" spans="1:1" x14ac:dyDescent="0.25">
      <c r="A1068" t="s">
        <v>11750</v>
      </c>
    </row>
    <row r="1069" spans="1:1" x14ac:dyDescent="0.25">
      <c r="A1069" t="s">
        <v>13092</v>
      </c>
    </row>
    <row r="1070" spans="1:1" x14ac:dyDescent="0.25">
      <c r="A1070" t="s">
        <v>13093</v>
      </c>
    </row>
    <row r="1071" spans="1:1" x14ac:dyDescent="0.25">
      <c r="A1071" t="s">
        <v>11752</v>
      </c>
    </row>
    <row r="1072" spans="1:1" x14ac:dyDescent="0.25">
      <c r="A1072" t="s">
        <v>11753</v>
      </c>
    </row>
    <row r="1073" spans="1:1" x14ac:dyDescent="0.25">
      <c r="A1073" t="s">
        <v>13094</v>
      </c>
    </row>
    <row r="1074" spans="1:1" x14ac:dyDescent="0.25">
      <c r="A1074" t="s">
        <v>11755</v>
      </c>
    </row>
    <row r="1075" spans="1:1" x14ac:dyDescent="0.25">
      <c r="A1075" t="s">
        <v>11759</v>
      </c>
    </row>
    <row r="1076" spans="1:1" x14ac:dyDescent="0.25">
      <c r="A1076" t="s">
        <v>8459</v>
      </c>
    </row>
    <row r="1077" spans="1:1" x14ac:dyDescent="0.25">
      <c r="A1077" t="s">
        <v>11761</v>
      </c>
    </row>
    <row r="1078" spans="1:1" x14ac:dyDescent="0.25">
      <c r="A1078" t="s">
        <v>11762</v>
      </c>
    </row>
    <row r="1079" spans="1:1" x14ac:dyDescent="0.25">
      <c r="A1079" t="s">
        <v>11763</v>
      </c>
    </row>
    <row r="1080" spans="1:1" x14ac:dyDescent="0.25">
      <c r="A1080" t="s">
        <v>11764</v>
      </c>
    </row>
    <row r="1081" spans="1:1" x14ac:dyDescent="0.25">
      <c r="A1081" t="s">
        <v>8460</v>
      </c>
    </row>
    <row r="1082" spans="1:1" x14ac:dyDescent="0.25">
      <c r="A1082" t="s">
        <v>11766</v>
      </c>
    </row>
    <row r="1083" spans="1:1" x14ac:dyDescent="0.25">
      <c r="A1083" t="s">
        <v>7726</v>
      </c>
    </row>
    <row r="1084" spans="1:1" x14ac:dyDescent="0.25">
      <c r="A1084" t="s">
        <v>11767</v>
      </c>
    </row>
    <row r="1085" spans="1:1" x14ac:dyDescent="0.25">
      <c r="A1085" t="s">
        <v>11768</v>
      </c>
    </row>
    <row r="1086" spans="1:1" x14ac:dyDescent="0.25">
      <c r="A1086" t="s">
        <v>11769</v>
      </c>
    </row>
    <row r="1087" spans="1:1" x14ac:dyDescent="0.25">
      <c r="A1087" t="s">
        <v>11770</v>
      </c>
    </row>
    <row r="1088" spans="1:1" x14ac:dyDescent="0.25">
      <c r="A1088" t="s">
        <v>11771</v>
      </c>
    </row>
    <row r="1089" spans="1:1" x14ac:dyDescent="0.25">
      <c r="A1089" t="s">
        <v>11772</v>
      </c>
    </row>
    <row r="1090" spans="1:1" x14ac:dyDescent="0.25">
      <c r="A1090" t="s">
        <v>11774</v>
      </c>
    </row>
    <row r="1091" spans="1:1" x14ac:dyDescent="0.25">
      <c r="A1091" t="s">
        <v>11775</v>
      </c>
    </row>
    <row r="1092" spans="1:1" x14ac:dyDescent="0.25">
      <c r="A1092" t="s">
        <v>11776</v>
      </c>
    </row>
    <row r="1093" spans="1:1" x14ac:dyDescent="0.25">
      <c r="A1093" t="s">
        <v>11777</v>
      </c>
    </row>
    <row r="1094" spans="1:1" x14ac:dyDescent="0.25">
      <c r="A1094" t="s">
        <v>11778</v>
      </c>
    </row>
    <row r="1095" spans="1:1" x14ac:dyDescent="0.25">
      <c r="A1095" t="s">
        <v>11779</v>
      </c>
    </row>
    <row r="1096" spans="1:1" x14ac:dyDescent="0.25">
      <c r="A1096" t="s">
        <v>11780</v>
      </c>
    </row>
    <row r="1097" spans="1:1" x14ac:dyDescent="0.25">
      <c r="A1097" t="s">
        <v>11781</v>
      </c>
    </row>
    <row r="1098" spans="1:1" x14ac:dyDescent="0.25">
      <c r="A1098" t="s">
        <v>11782</v>
      </c>
    </row>
    <row r="1099" spans="1:1" x14ac:dyDescent="0.25">
      <c r="A1099" t="s">
        <v>11784</v>
      </c>
    </row>
    <row r="1100" spans="1:1" x14ac:dyDescent="0.25">
      <c r="A1100" t="s">
        <v>11785</v>
      </c>
    </row>
    <row r="1101" spans="1:1" x14ac:dyDescent="0.25">
      <c r="A1101" t="s">
        <v>11786</v>
      </c>
    </row>
    <row r="1102" spans="1:1" x14ac:dyDescent="0.25">
      <c r="A1102" t="s">
        <v>11787</v>
      </c>
    </row>
    <row r="1103" spans="1:1" x14ac:dyDescent="0.25">
      <c r="A1103" t="s">
        <v>11788</v>
      </c>
    </row>
    <row r="1104" spans="1:1" x14ac:dyDescent="0.25">
      <c r="A1104" t="s">
        <v>11789</v>
      </c>
    </row>
    <row r="1105" spans="1:1" x14ac:dyDescent="0.25">
      <c r="A1105" t="s">
        <v>11790</v>
      </c>
    </row>
    <row r="1106" spans="1:1" x14ac:dyDescent="0.25">
      <c r="A1106" t="s">
        <v>11791</v>
      </c>
    </row>
    <row r="1107" spans="1:1" x14ac:dyDescent="0.25">
      <c r="A1107" t="s">
        <v>11792</v>
      </c>
    </row>
    <row r="1108" spans="1:1" x14ac:dyDescent="0.25">
      <c r="A1108" t="s">
        <v>11793</v>
      </c>
    </row>
    <row r="1109" spans="1:1" x14ac:dyDescent="0.25">
      <c r="A1109" t="s">
        <v>11794</v>
      </c>
    </row>
    <row r="1110" spans="1:1" x14ac:dyDescent="0.25">
      <c r="A1110" t="s">
        <v>11795</v>
      </c>
    </row>
    <row r="1111" spans="1:1" x14ac:dyDescent="0.25">
      <c r="A1111" t="s">
        <v>11796</v>
      </c>
    </row>
    <row r="1112" spans="1:1" x14ac:dyDescent="0.25">
      <c r="A1112" t="s">
        <v>11797</v>
      </c>
    </row>
    <row r="1113" spans="1:1" x14ac:dyDescent="0.25">
      <c r="A1113" t="s">
        <v>7733</v>
      </c>
    </row>
    <row r="1114" spans="1:1" x14ac:dyDescent="0.25">
      <c r="A1114" t="s">
        <v>11798</v>
      </c>
    </row>
    <row r="1115" spans="1:1" x14ac:dyDescent="0.25">
      <c r="A1115" t="s">
        <v>11801</v>
      </c>
    </row>
    <row r="1116" spans="1:1" x14ac:dyDescent="0.25">
      <c r="A1116" t="s">
        <v>11802</v>
      </c>
    </row>
    <row r="1117" spans="1:1" x14ac:dyDescent="0.25">
      <c r="A1117" t="s">
        <v>11803</v>
      </c>
    </row>
    <row r="1118" spans="1:1" x14ac:dyDescent="0.25">
      <c r="A1118" t="s">
        <v>11804</v>
      </c>
    </row>
    <row r="1119" spans="1:1" x14ac:dyDescent="0.25">
      <c r="A1119" t="s">
        <v>11805</v>
      </c>
    </row>
    <row r="1120" spans="1:1" x14ac:dyDescent="0.25">
      <c r="A1120" t="s">
        <v>11806</v>
      </c>
    </row>
    <row r="1121" spans="1:1" x14ac:dyDescent="0.25">
      <c r="A1121" t="s">
        <v>11808</v>
      </c>
    </row>
    <row r="1122" spans="1:1" x14ac:dyDescent="0.25">
      <c r="A1122" t="s">
        <v>9708</v>
      </c>
    </row>
    <row r="1123" spans="1:1" x14ac:dyDescent="0.25">
      <c r="A1123" t="s">
        <v>11809</v>
      </c>
    </row>
    <row r="1124" spans="1:1" x14ac:dyDescent="0.25">
      <c r="A1124" t="s">
        <v>11810</v>
      </c>
    </row>
    <row r="1125" spans="1:1" x14ac:dyDescent="0.25">
      <c r="A1125" t="s">
        <v>11811</v>
      </c>
    </row>
    <row r="1126" spans="1:1" x14ac:dyDescent="0.25">
      <c r="A1126" t="s">
        <v>11813</v>
      </c>
    </row>
    <row r="1127" spans="1:1" x14ac:dyDescent="0.25">
      <c r="A1127" t="s">
        <v>11816</v>
      </c>
    </row>
    <row r="1128" spans="1:1" x14ac:dyDescent="0.25">
      <c r="A1128" t="s">
        <v>11817</v>
      </c>
    </row>
    <row r="1129" spans="1:1" x14ac:dyDescent="0.25">
      <c r="A1129" t="s">
        <v>9352</v>
      </c>
    </row>
    <row r="1130" spans="1:1" x14ac:dyDescent="0.25">
      <c r="A1130" t="s">
        <v>8468</v>
      </c>
    </row>
    <row r="1131" spans="1:1" x14ac:dyDescent="0.25">
      <c r="A1131" t="s">
        <v>11818</v>
      </c>
    </row>
    <row r="1132" spans="1:1" x14ac:dyDescent="0.25">
      <c r="A1132" t="s">
        <v>11819</v>
      </c>
    </row>
    <row r="1133" spans="1:1" x14ac:dyDescent="0.25">
      <c r="A1133" t="s">
        <v>11820</v>
      </c>
    </row>
    <row r="1134" spans="1:1" x14ac:dyDescent="0.25">
      <c r="A1134" t="s">
        <v>11821</v>
      </c>
    </row>
    <row r="1135" spans="1:1" x14ac:dyDescent="0.25">
      <c r="A1135" t="s">
        <v>11824</v>
      </c>
    </row>
    <row r="1136" spans="1:1" x14ac:dyDescent="0.25">
      <c r="A1136" t="s">
        <v>11827</v>
      </c>
    </row>
    <row r="1137" spans="1:1" x14ac:dyDescent="0.25">
      <c r="A1137" t="s">
        <v>13095</v>
      </c>
    </row>
    <row r="1138" spans="1:1" x14ac:dyDescent="0.25">
      <c r="A1138" t="s">
        <v>11831</v>
      </c>
    </row>
    <row r="1139" spans="1:1" x14ac:dyDescent="0.25">
      <c r="A1139" t="s">
        <v>11832</v>
      </c>
    </row>
    <row r="1140" spans="1:1" x14ac:dyDescent="0.25">
      <c r="A1140" t="s">
        <v>13096</v>
      </c>
    </row>
    <row r="1141" spans="1:1" x14ac:dyDescent="0.25">
      <c r="A1141" t="s">
        <v>11833</v>
      </c>
    </row>
    <row r="1142" spans="1:1" x14ac:dyDescent="0.25">
      <c r="A1142" t="s">
        <v>11834</v>
      </c>
    </row>
    <row r="1143" spans="1:1" x14ac:dyDescent="0.25">
      <c r="A1143" t="s">
        <v>11835</v>
      </c>
    </row>
    <row r="1144" spans="1:1" x14ac:dyDescent="0.25">
      <c r="A1144" t="s">
        <v>11836</v>
      </c>
    </row>
    <row r="1145" spans="1:1" x14ac:dyDescent="0.25">
      <c r="A1145" t="s">
        <v>11837</v>
      </c>
    </row>
    <row r="1146" spans="1:1" x14ac:dyDescent="0.25">
      <c r="A1146" t="s">
        <v>11838</v>
      </c>
    </row>
    <row r="1147" spans="1:1" x14ac:dyDescent="0.25">
      <c r="A1147" t="s">
        <v>11839</v>
      </c>
    </row>
    <row r="1148" spans="1:1" x14ac:dyDescent="0.25">
      <c r="A1148" t="s">
        <v>11840</v>
      </c>
    </row>
    <row r="1149" spans="1:1" x14ac:dyDescent="0.25">
      <c r="A1149" t="s">
        <v>11841</v>
      </c>
    </row>
    <row r="1150" spans="1:1" x14ac:dyDescent="0.25">
      <c r="A1150" t="s">
        <v>11842</v>
      </c>
    </row>
    <row r="1151" spans="1:1" x14ac:dyDescent="0.25">
      <c r="A1151" t="s">
        <v>13097</v>
      </c>
    </row>
    <row r="1152" spans="1:1" x14ac:dyDescent="0.25">
      <c r="A1152" t="s">
        <v>11843</v>
      </c>
    </row>
    <row r="1153" spans="1:1" x14ac:dyDescent="0.25">
      <c r="A1153" t="s">
        <v>9709</v>
      </c>
    </row>
    <row r="1154" spans="1:1" x14ac:dyDescent="0.25">
      <c r="A1154" t="s">
        <v>11844</v>
      </c>
    </row>
    <row r="1155" spans="1:1" x14ac:dyDescent="0.25">
      <c r="A1155" t="s">
        <v>11845</v>
      </c>
    </row>
    <row r="1156" spans="1:1" x14ac:dyDescent="0.25">
      <c r="A1156" t="s">
        <v>8797</v>
      </c>
    </row>
    <row r="1157" spans="1:1" x14ac:dyDescent="0.25">
      <c r="A1157" t="s">
        <v>11849</v>
      </c>
    </row>
    <row r="1158" spans="1:1" x14ac:dyDescent="0.25">
      <c r="A1158" t="s">
        <v>11850</v>
      </c>
    </row>
    <row r="1159" spans="1:1" x14ac:dyDescent="0.25">
      <c r="A1159" t="s">
        <v>11853</v>
      </c>
    </row>
    <row r="1160" spans="1:1" x14ac:dyDescent="0.25">
      <c r="A1160" t="s">
        <v>11854</v>
      </c>
    </row>
    <row r="1161" spans="1:1" x14ac:dyDescent="0.25">
      <c r="A1161" t="s">
        <v>11856</v>
      </c>
    </row>
    <row r="1162" spans="1:1" x14ac:dyDescent="0.25">
      <c r="A1162" t="s">
        <v>11858</v>
      </c>
    </row>
    <row r="1163" spans="1:1" x14ac:dyDescent="0.25">
      <c r="A1163" t="s">
        <v>11859</v>
      </c>
    </row>
    <row r="1164" spans="1:1" x14ac:dyDescent="0.25">
      <c r="A1164" t="s">
        <v>11860</v>
      </c>
    </row>
    <row r="1165" spans="1:1" x14ac:dyDescent="0.25">
      <c r="A1165" t="s">
        <v>11861</v>
      </c>
    </row>
    <row r="1166" spans="1:1" x14ac:dyDescent="0.25">
      <c r="A1166" t="s">
        <v>11862</v>
      </c>
    </row>
    <row r="1167" spans="1:1" x14ac:dyDescent="0.25">
      <c r="A1167" t="s">
        <v>11863</v>
      </c>
    </row>
    <row r="1168" spans="1:1" x14ac:dyDescent="0.25">
      <c r="A1168" t="s">
        <v>11864</v>
      </c>
    </row>
    <row r="1169" spans="1:1" x14ac:dyDescent="0.25">
      <c r="A1169" t="s">
        <v>11865</v>
      </c>
    </row>
    <row r="1170" spans="1:1" x14ac:dyDescent="0.25">
      <c r="A1170" t="s">
        <v>11866</v>
      </c>
    </row>
    <row r="1171" spans="1:1" x14ac:dyDescent="0.25">
      <c r="A1171" t="s">
        <v>11867</v>
      </c>
    </row>
    <row r="1172" spans="1:1" x14ac:dyDescent="0.25">
      <c r="A1172" t="s">
        <v>11868</v>
      </c>
    </row>
    <row r="1173" spans="1:1" x14ac:dyDescent="0.25">
      <c r="A1173" t="s">
        <v>11870</v>
      </c>
    </row>
    <row r="1174" spans="1:1" x14ac:dyDescent="0.25">
      <c r="A1174" t="s">
        <v>8745</v>
      </c>
    </row>
    <row r="1175" spans="1:1" x14ac:dyDescent="0.25">
      <c r="A1175" t="s">
        <v>11872</v>
      </c>
    </row>
    <row r="1176" spans="1:1" x14ac:dyDescent="0.25">
      <c r="A1176" t="s">
        <v>11874</v>
      </c>
    </row>
    <row r="1177" spans="1:1" x14ac:dyDescent="0.25">
      <c r="A1177" t="s">
        <v>11877</v>
      </c>
    </row>
    <row r="1178" spans="1:1" x14ac:dyDescent="0.25">
      <c r="A1178" t="s">
        <v>11878</v>
      </c>
    </row>
    <row r="1179" spans="1:1" x14ac:dyDescent="0.25">
      <c r="A1179" t="s">
        <v>11879</v>
      </c>
    </row>
    <row r="1180" spans="1:1" x14ac:dyDescent="0.25">
      <c r="A1180" t="s">
        <v>11880</v>
      </c>
    </row>
    <row r="1181" spans="1:1" x14ac:dyDescent="0.25">
      <c r="A1181" t="s">
        <v>11881</v>
      </c>
    </row>
    <row r="1182" spans="1:1" x14ac:dyDescent="0.25">
      <c r="A1182" t="s">
        <v>11882</v>
      </c>
    </row>
    <row r="1183" spans="1:1" x14ac:dyDescent="0.25">
      <c r="A1183" t="s">
        <v>11883</v>
      </c>
    </row>
    <row r="1184" spans="1:1" x14ac:dyDescent="0.25">
      <c r="A1184" t="s">
        <v>11886</v>
      </c>
    </row>
    <row r="1185" spans="1:1" x14ac:dyDescent="0.25">
      <c r="A1185" t="s">
        <v>8482</v>
      </c>
    </row>
    <row r="1186" spans="1:1" x14ac:dyDescent="0.25">
      <c r="A1186" t="s">
        <v>11887</v>
      </c>
    </row>
    <row r="1187" spans="1:1" x14ac:dyDescent="0.25">
      <c r="A1187" t="s">
        <v>11888</v>
      </c>
    </row>
    <row r="1188" spans="1:1" x14ac:dyDescent="0.25">
      <c r="A1188" t="s">
        <v>11889</v>
      </c>
    </row>
    <row r="1189" spans="1:1" x14ac:dyDescent="0.25">
      <c r="A1189" t="s">
        <v>11890</v>
      </c>
    </row>
    <row r="1190" spans="1:1" x14ac:dyDescent="0.25">
      <c r="A1190" t="s">
        <v>11891</v>
      </c>
    </row>
    <row r="1191" spans="1:1" x14ac:dyDescent="0.25">
      <c r="A1191" t="s">
        <v>11892</v>
      </c>
    </row>
    <row r="1192" spans="1:1" x14ac:dyDescent="0.25">
      <c r="A1192" t="s">
        <v>11893</v>
      </c>
    </row>
    <row r="1193" spans="1:1" x14ac:dyDescent="0.25">
      <c r="A1193" t="s">
        <v>11895</v>
      </c>
    </row>
    <row r="1194" spans="1:1" x14ac:dyDescent="0.25">
      <c r="A1194" t="s">
        <v>11897</v>
      </c>
    </row>
    <row r="1195" spans="1:1" x14ac:dyDescent="0.25">
      <c r="A1195" t="s">
        <v>11898</v>
      </c>
    </row>
    <row r="1196" spans="1:1" x14ac:dyDescent="0.25">
      <c r="A1196" t="s">
        <v>11900</v>
      </c>
    </row>
    <row r="1197" spans="1:1" x14ac:dyDescent="0.25">
      <c r="A1197" t="s">
        <v>11901</v>
      </c>
    </row>
    <row r="1198" spans="1:1" x14ac:dyDescent="0.25">
      <c r="A1198" t="s">
        <v>11902</v>
      </c>
    </row>
    <row r="1199" spans="1:1" x14ac:dyDescent="0.25">
      <c r="A1199" t="s">
        <v>11903</v>
      </c>
    </row>
    <row r="1200" spans="1:1" x14ac:dyDescent="0.25">
      <c r="A1200" t="s">
        <v>11904</v>
      </c>
    </row>
    <row r="1201" spans="1:1" x14ac:dyDescent="0.25">
      <c r="A1201" t="s">
        <v>11905</v>
      </c>
    </row>
    <row r="1202" spans="1:1" x14ac:dyDescent="0.25">
      <c r="A1202" t="s">
        <v>11906</v>
      </c>
    </row>
    <row r="1203" spans="1:1" x14ac:dyDescent="0.25">
      <c r="A1203" t="s">
        <v>11907</v>
      </c>
    </row>
    <row r="1204" spans="1:1" x14ac:dyDescent="0.25">
      <c r="A1204" t="s">
        <v>8484</v>
      </c>
    </row>
    <row r="1205" spans="1:1" x14ac:dyDescent="0.25">
      <c r="A1205" t="s">
        <v>11908</v>
      </c>
    </row>
    <row r="1206" spans="1:1" x14ac:dyDescent="0.25">
      <c r="A1206" t="s">
        <v>11909</v>
      </c>
    </row>
    <row r="1207" spans="1:1" x14ac:dyDescent="0.25">
      <c r="A1207" t="s">
        <v>8801</v>
      </c>
    </row>
    <row r="1208" spans="1:1" x14ac:dyDescent="0.25">
      <c r="A1208" t="s">
        <v>11910</v>
      </c>
    </row>
    <row r="1209" spans="1:1" x14ac:dyDescent="0.25">
      <c r="A1209" t="s">
        <v>11911</v>
      </c>
    </row>
    <row r="1210" spans="1:1" x14ac:dyDescent="0.25">
      <c r="A1210" t="s">
        <v>11912</v>
      </c>
    </row>
    <row r="1211" spans="1:1" x14ac:dyDescent="0.25">
      <c r="A1211" t="s">
        <v>11913</v>
      </c>
    </row>
    <row r="1212" spans="1:1" x14ac:dyDescent="0.25">
      <c r="A1212" t="s">
        <v>11914</v>
      </c>
    </row>
    <row r="1213" spans="1:1" x14ac:dyDescent="0.25">
      <c r="A1213" t="s">
        <v>11915</v>
      </c>
    </row>
    <row r="1214" spans="1:1" x14ac:dyDescent="0.25">
      <c r="A1214" t="s">
        <v>8802</v>
      </c>
    </row>
    <row r="1215" spans="1:1" x14ac:dyDescent="0.25">
      <c r="A1215" t="s">
        <v>11916</v>
      </c>
    </row>
    <row r="1216" spans="1:1" x14ac:dyDescent="0.25">
      <c r="A1216" t="s">
        <v>11917</v>
      </c>
    </row>
    <row r="1217" spans="1:1" x14ac:dyDescent="0.25">
      <c r="A1217" t="s">
        <v>11919</v>
      </c>
    </row>
    <row r="1218" spans="1:1" x14ac:dyDescent="0.25">
      <c r="A1218" t="s">
        <v>13098</v>
      </c>
    </row>
    <row r="1219" spans="1:1" x14ac:dyDescent="0.25">
      <c r="A1219" t="s">
        <v>11920</v>
      </c>
    </row>
    <row r="1220" spans="1:1" x14ac:dyDescent="0.25">
      <c r="A1220" t="s">
        <v>11921</v>
      </c>
    </row>
    <row r="1221" spans="1:1" x14ac:dyDescent="0.25">
      <c r="A1221" t="s">
        <v>11923</v>
      </c>
    </row>
    <row r="1222" spans="1:1" x14ac:dyDescent="0.25">
      <c r="A1222" t="s">
        <v>11924</v>
      </c>
    </row>
    <row r="1223" spans="1:1" x14ac:dyDescent="0.25">
      <c r="A1223" t="s">
        <v>11925</v>
      </c>
    </row>
    <row r="1224" spans="1:1" x14ac:dyDescent="0.25">
      <c r="A1224" t="s">
        <v>11926</v>
      </c>
    </row>
    <row r="1225" spans="1:1" x14ac:dyDescent="0.25">
      <c r="A1225" t="s">
        <v>9715</v>
      </c>
    </row>
    <row r="1226" spans="1:1" x14ac:dyDescent="0.25">
      <c r="A1226" t="s">
        <v>11929</v>
      </c>
    </row>
    <row r="1227" spans="1:1" x14ac:dyDescent="0.25">
      <c r="A1227" t="s">
        <v>11930</v>
      </c>
    </row>
    <row r="1228" spans="1:1" x14ac:dyDescent="0.25">
      <c r="A1228" t="s">
        <v>11931</v>
      </c>
    </row>
    <row r="1229" spans="1:1" x14ac:dyDescent="0.25">
      <c r="A1229" t="s">
        <v>11932</v>
      </c>
    </row>
    <row r="1230" spans="1:1" x14ac:dyDescent="0.25">
      <c r="A1230" t="s">
        <v>13099</v>
      </c>
    </row>
    <row r="1231" spans="1:1" x14ac:dyDescent="0.25">
      <c r="A1231" t="s">
        <v>13100</v>
      </c>
    </row>
    <row r="1232" spans="1:1" x14ac:dyDescent="0.25">
      <c r="A1232" t="s">
        <v>11934</v>
      </c>
    </row>
    <row r="1233" spans="1:1" x14ac:dyDescent="0.25">
      <c r="A1233" t="s">
        <v>9716</v>
      </c>
    </row>
    <row r="1234" spans="1:1" x14ac:dyDescent="0.25">
      <c r="A1234" t="s">
        <v>9966</v>
      </c>
    </row>
    <row r="1235" spans="1:1" x14ac:dyDescent="0.25">
      <c r="A1235" t="s">
        <v>11938</v>
      </c>
    </row>
    <row r="1236" spans="1:1" x14ac:dyDescent="0.25">
      <c r="A1236" t="s">
        <v>11940</v>
      </c>
    </row>
    <row r="1237" spans="1:1" x14ac:dyDescent="0.25">
      <c r="A1237" t="s">
        <v>11941</v>
      </c>
    </row>
    <row r="1238" spans="1:1" x14ac:dyDescent="0.25">
      <c r="A1238" t="s">
        <v>11942</v>
      </c>
    </row>
    <row r="1239" spans="1:1" x14ac:dyDescent="0.25">
      <c r="A1239" t="s">
        <v>9717</v>
      </c>
    </row>
    <row r="1240" spans="1:1" x14ac:dyDescent="0.25">
      <c r="A1240" t="s">
        <v>11945</v>
      </c>
    </row>
    <row r="1241" spans="1:1" x14ac:dyDescent="0.25">
      <c r="A1241" t="s">
        <v>11946</v>
      </c>
    </row>
    <row r="1242" spans="1:1" x14ac:dyDescent="0.25">
      <c r="A1242" t="s">
        <v>9718</v>
      </c>
    </row>
    <row r="1243" spans="1:1" x14ac:dyDescent="0.25">
      <c r="A1243" t="s">
        <v>11947</v>
      </c>
    </row>
    <row r="1244" spans="1:1" x14ac:dyDescent="0.25">
      <c r="A1244" t="s">
        <v>11948</v>
      </c>
    </row>
    <row r="1245" spans="1:1" x14ac:dyDescent="0.25">
      <c r="A1245" t="s">
        <v>11949</v>
      </c>
    </row>
    <row r="1246" spans="1:1" x14ac:dyDescent="0.25">
      <c r="A1246" t="s">
        <v>11950</v>
      </c>
    </row>
    <row r="1247" spans="1:1" x14ac:dyDescent="0.25">
      <c r="A1247" t="s">
        <v>11951</v>
      </c>
    </row>
    <row r="1248" spans="1:1" x14ac:dyDescent="0.25">
      <c r="A1248" t="s">
        <v>11952</v>
      </c>
    </row>
    <row r="1249" spans="1:1" x14ac:dyDescent="0.25">
      <c r="A1249" t="s">
        <v>7794</v>
      </c>
    </row>
    <row r="1250" spans="1:1" x14ac:dyDescent="0.25">
      <c r="A1250" t="s">
        <v>11953</v>
      </c>
    </row>
    <row r="1251" spans="1:1" x14ac:dyDescent="0.25">
      <c r="A1251" t="s">
        <v>11954</v>
      </c>
    </row>
    <row r="1252" spans="1:1" x14ac:dyDescent="0.25">
      <c r="A1252" t="s">
        <v>11955</v>
      </c>
    </row>
    <row r="1253" spans="1:1" x14ac:dyDescent="0.25">
      <c r="A1253" t="s">
        <v>8494</v>
      </c>
    </row>
    <row r="1254" spans="1:1" x14ac:dyDescent="0.25">
      <c r="A1254" t="s">
        <v>7795</v>
      </c>
    </row>
    <row r="1255" spans="1:1" x14ac:dyDescent="0.25">
      <c r="A1255" t="s">
        <v>11957</v>
      </c>
    </row>
    <row r="1256" spans="1:1" x14ac:dyDescent="0.25">
      <c r="A1256" t="s">
        <v>11958</v>
      </c>
    </row>
    <row r="1257" spans="1:1" x14ac:dyDescent="0.25">
      <c r="A1257" t="s">
        <v>11959</v>
      </c>
    </row>
    <row r="1258" spans="1:1" x14ac:dyDescent="0.25">
      <c r="A1258" t="s">
        <v>11960</v>
      </c>
    </row>
    <row r="1259" spans="1:1" x14ac:dyDescent="0.25">
      <c r="A1259" t="s">
        <v>11961</v>
      </c>
    </row>
    <row r="1260" spans="1:1" x14ac:dyDescent="0.25">
      <c r="A1260" t="s">
        <v>13101</v>
      </c>
    </row>
    <row r="1261" spans="1:1" x14ac:dyDescent="0.25">
      <c r="A1261" t="s">
        <v>11962</v>
      </c>
    </row>
    <row r="1262" spans="1:1" x14ac:dyDescent="0.25">
      <c r="A1262" t="s">
        <v>11963</v>
      </c>
    </row>
    <row r="1263" spans="1:1" x14ac:dyDescent="0.25">
      <c r="A1263" t="s">
        <v>11964</v>
      </c>
    </row>
    <row r="1264" spans="1:1" x14ac:dyDescent="0.25">
      <c r="A1264" t="s">
        <v>11967</v>
      </c>
    </row>
    <row r="1265" spans="1:1" x14ac:dyDescent="0.25">
      <c r="A1265" t="s">
        <v>11968</v>
      </c>
    </row>
    <row r="1266" spans="1:1" x14ac:dyDescent="0.25">
      <c r="A1266" t="s">
        <v>11969</v>
      </c>
    </row>
    <row r="1267" spans="1:1" x14ac:dyDescent="0.25">
      <c r="A1267" t="s">
        <v>11970</v>
      </c>
    </row>
    <row r="1268" spans="1:1" x14ac:dyDescent="0.25">
      <c r="A1268" t="s">
        <v>8804</v>
      </c>
    </row>
    <row r="1269" spans="1:1" x14ac:dyDescent="0.25">
      <c r="A1269" t="s">
        <v>11971</v>
      </c>
    </row>
    <row r="1270" spans="1:1" x14ac:dyDescent="0.25">
      <c r="A1270" t="s">
        <v>11972</v>
      </c>
    </row>
    <row r="1271" spans="1:1" x14ac:dyDescent="0.25">
      <c r="A1271" t="s">
        <v>11973</v>
      </c>
    </row>
    <row r="1272" spans="1:1" x14ac:dyDescent="0.25">
      <c r="A1272" t="s">
        <v>11974</v>
      </c>
    </row>
    <row r="1273" spans="1:1" x14ac:dyDescent="0.25">
      <c r="A1273" t="s">
        <v>8498</v>
      </c>
    </row>
    <row r="1274" spans="1:1" x14ac:dyDescent="0.25">
      <c r="A1274" t="s">
        <v>13102</v>
      </c>
    </row>
    <row r="1275" spans="1:1" x14ac:dyDescent="0.25">
      <c r="A1275" t="s">
        <v>11975</v>
      </c>
    </row>
    <row r="1276" spans="1:1" x14ac:dyDescent="0.25">
      <c r="A1276" t="s">
        <v>13103</v>
      </c>
    </row>
    <row r="1277" spans="1:1" x14ac:dyDescent="0.25">
      <c r="A1277" t="s">
        <v>11976</v>
      </c>
    </row>
    <row r="1278" spans="1:1" x14ac:dyDescent="0.25">
      <c r="A1278" t="s">
        <v>11977</v>
      </c>
    </row>
    <row r="1279" spans="1:1" x14ac:dyDescent="0.25">
      <c r="A1279" t="s">
        <v>11979</v>
      </c>
    </row>
    <row r="1280" spans="1:1" x14ac:dyDescent="0.25">
      <c r="A1280" t="s">
        <v>11980</v>
      </c>
    </row>
    <row r="1281" spans="1:1" x14ac:dyDescent="0.25">
      <c r="A1281" t="s">
        <v>11981</v>
      </c>
    </row>
    <row r="1282" spans="1:1" x14ac:dyDescent="0.25">
      <c r="A1282" t="s">
        <v>8500</v>
      </c>
    </row>
    <row r="1283" spans="1:1" x14ac:dyDescent="0.25">
      <c r="A1283" t="s">
        <v>11982</v>
      </c>
    </row>
    <row r="1284" spans="1:1" x14ac:dyDescent="0.25">
      <c r="A1284" t="s">
        <v>11983</v>
      </c>
    </row>
    <row r="1285" spans="1:1" x14ac:dyDescent="0.25">
      <c r="A1285" t="s">
        <v>11984</v>
      </c>
    </row>
    <row r="1286" spans="1:1" x14ac:dyDescent="0.25">
      <c r="A1286" t="s">
        <v>11985</v>
      </c>
    </row>
    <row r="1287" spans="1:1" x14ac:dyDescent="0.25">
      <c r="A1287" t="s">
        <v>11986</v>
      </c>
    </row>
    <row r="1288" spans="1:1" x14ac:dyDescent="0.25">
      <c r="A1288" t="s">
        <v>11987</v>
      </c>
    </row>
    <row r="1289" spans="1:1" x14ac:dyDescent="0.25">
      <c r="A1289" t="s">
        <v>8501</v>
      </c>
    </row>
    <row r="1290" spans="1:1" x14ac:dyDescent="0.25">
      <c r="A1290" t="s">
        <v>11991</v>
      </c>
    </row>
    <row r="1291" spans="1:1" x14ac:dyDescent="0.25">
      <c r="A1291" t="s">
        <v>11992</v>
      </c>
    </row>
    <row r="1292" spans="1:1" x14ac:dyDescent="0.25">
      <c r="A1292" t="s">
        <v>8502</v>
      </c>
    </row>
    <row r="1293" spans="1:1" x14ac:dyDescent="0.25">
      <c r="A1293" t="s">
        <v>8503</v>
      </c>
    </row>
    <row r="1294" spans="1:1" x14ac:dyDescent="0.25">
      <c r="A1294" t="s">
        <v>11995</v>
      </c>
    </row>
    <row r="1295" spans="1:1" x14ac:dyDescent="0.25">
      <c r="A1295" t="s">
        <v>11996</v>
      </c>
    </row>
    <row r="1296" spans="1:1" x14ac:dyDescent="0.25">
      <c r="A1296" t="s">
        <v>11997</v>
      </c>
    </row>
    <row r="1297" spans="1:1" x14ac:dyDescent="0.25">
      <c r="A1297" t="s">
        <v>11998</v>
      </c>
    </row>
    <row r="1298" spans="1:1" x14ac:dyDescent="0.25">
      <c r="A1298" t="s">
        <v>11999</v>
      </c>
    </row>
    <row r="1299" spans="1:1" x14ac:dyDescent="0.25">
      <c r="A1299" t="s">
        <v>13104</v>
      </c>
    </row>
    <row r="1300" spans="1:1" x14ac:dyDescent="0.25">
      <c r="A1300" t="s">
        <v>12000</v>
      </c>
    </row>
    <row r="1301" spans="1:1" x14ac:dyDescent="0.25">
      <c r="A1301" t="s">
        <v>12001</v>
      </c>
    </row>
    <row r="1302" spans="1:1" x14ac:dyDescent="0.25">
      <c r="A1302" t="s">
        <v>12002</v>
      </c>
    </row>
    <row r="1303" spans="1:1" x14ac:dyDescent="0.25">
      <c r="A1303" t="s">
        <v>12003</v>
      </c>
    </row>
    <row r="1304" spans="1:1" x14ac:dyDescent="0.25">
      <c r="A1304" t="s">
        <v>12004</v>
      </c>
    </row>
    <row r="1305" spans="1:1" x14ac:dyDescent="0.25">
      <c r="A1305" t="s">
        <v>12005</v>
      </c>
    </row>
    <row r="1306" spans="1:1" x14ac:dyDescent="0.25">
      <c r="A1306" t="s">
        <v>8506</v>
      </c>
    </row>
    <row r="1307" spans="1:1" x14ac:dyDescent="0.25">
      <c r="A1307" t="s">
        <v>12007</v>
      </c>
    </row>
    <row r="1308" spans="1:1" x14ac:dyDescent="0.25">
      <c r="A1308" t="s">
        <v>12009</v>
      </c>
    </row>
    <row r="1309" spans="1:1" x14ac:dyDescent="0.25">
      <c r="A1309" t="s">
        <v>12010</v>
      </c>
    </row>
    <row r="1310" spans="1:1" x14ac:dyDescent="0.25">
      <c r="A1310" t="s">
        <v>12011</v>
      </c>
    </row>
    <row r="1311" spans="1:1" x14ac:dyDescent="0.25">
      <c r="A1311" t="s">
        <v>12013</v>
      </c>
    </row>
    <row r="1312" spans="1:1" x14ac:dyDescent="0.25">
      <c r="A1312" t="s">
        <v>12015</v>
      </c>
    </row>
    <row r="1313" spans="1:1" x14ac:dyDescent="0.25">
      <c r="A1313" t="s">
        <v>12016</v>
      </c>
    </row>
    <row r="1314" spans="1:1" x14ac:dyDescent="0.25">
      <c r="A1314" t="s">
        <v>12017</v>
      </c>
    </row>
    <row r="1315" spans="1:1" x14ac:dyDescent="0.25">
      <c r="A1315" t="s">
        <v>12018</v>
      </c>
    </row>
    <row r="1316" spans="1:1" x14ac:dyDescent="0.25">
      <c r="A1316" t="s">
        <v>13105</v>
      </c>
    </row>
    <row r="1317" spans="1:1" x14ac:dyDescent="0.25">
      <c r="A1317" t="s">
        <v>12019</v>
      </c>
    </row>
    <row r="1318" spans="1:1" x14ac:dyDescent="0.25">
      <c r="A1318" t="s">
        <v>12021</v>
      </c>
    </row>
    <row r="1319" spans="1:1" x14ac:dyDescent="0.25">
      <c r="A1319" t="s">
        <v>12023</v>
      </c>
    </row>
    <row r="1320" spans="1:1" x14ac:dyDescent="0.25">
      <c r="A1320" t="s">
        <v>8807</v>
      </c>
    </row>
    <row r="1321" spans="1:1" x14ac:dyDescent="0.25">
      <c r="A1321" t="s">
        <v>12024</v>
      </c>
    </row>
    <row r="1322" spans="1:1" x14ac:dyDescent="0.25">
      <c r="A1322" t="s">
        <v>12026</v>
      </c>
    </row>
    <row r="1323" spans="1:1" x14ac:dyDescent="0.25">
      <c r="A1323" t="s">
        <v>13106</v>
      </c>
    </row>
    <row r="1324" spans="1:1" x14ac:dyDescent="0.25">
      <c r="A1324" t="s">
        <v>12028</v>
      </c>
    </row>
    <row r="1325" spans="1:1" x14ac:dyDescent="0.25">
      <c r="A1325" t="s">
        <v>12029</v>
      </c>
    </row>
    <row r="1326" spans="1:1" x14ac:dyDescent="0.25">
      <c r="A1326" t="s">
        <v>12030</v>
      </c>
    </row>
    <row r="1327" spans="1:1" x14ac:dyDescent="0.25">
      <c r="A1327" t="s">
        <v>12031</v>
      </c>
    </row>
    <row r="1328" spans="1:1" x14ac:dyDescent="0.25">
      <c r="A1328" t="s">
        <v>8808</v>
      </c>
    </row>
    <row r="1329" spans="1:1" x14ac:dyDescent="0.25">
      <c r="A1329" t="s">
        <v>12032</v>
      </c>
    </row>
    <row r="1330" spans="1:1" x14ac:dyDescent="0.25">
      <c r="A1330" t="s">
        <v>12033</v>
      </c>
    </row>
    <row r="1331" spans="1:1" x14ac:dyDescent="0.25">
      <c r="A1331" t="s">
        <v>12036</v>
      </c>
    </row>
    <row r="1332" spans="1:1" x14ac:dyDescent="0.25">
      <c r="A1332" t="s">
        <v>12037</v>
      </c>
    </row>
    <row r="1333" spans="1:1" x14ac:dyDescent="0.25">
      <c r="A1333" t="s">
        <v>9975</v>
      </c>
    </row>
    <row r="1334" spans="1:1" x14ac:dyDescent="0.25">
      <c r="A1334" t="s">
        <v>12038</v>
      </c>
    </row>
    <row r="1335" spans="1:1" x14ac:dyDescent="0.25">
      <c r="A1335" t="s">
        <v>9724</v>
      </c>
    </row>
    <row r="1336" spans="1:1" x14ac:dyDescent="0.25">
      <c r="A1336" t="s">
        <v>12041</v>
      </c>
    </row>
    <row r="1337" spans="1:1" x14ac:dyDescent="0.25">
      <c r="A1337" t="s">
        <v>12042</v>
      </c>
    </row>
    <row r="1338" spans="1:1" x14ac:dyDescent="0.25">
      <c r="A1338" t="s">
        <v>12043</v>
      </c>
    </row>
    <row r="1339" spans="1:1" x14ac:dyDescent="0.25">
      <c r="A1339" t="s">
        <v>7826</v>
      </c>
    </row>
    <row r="1340" spans="1:1" x14ac:dyDescent="0.25">
      <c r="A1340" t="s">
        <v>8514</v>
      </c>
    </row>
    <row r="1341" spans="1:1" x14ac:dyDescent="0.25">
      <c r="A1341" t="s">
        <v>12044</v>
      </c>
    </row>
    <row r="1342" spans="1:1" x14ac:dyDescent="0.25">
      <c r="A1342" t="s">
        <v>12045</v>
      </c>
    </row>
    <row r="1343" spans="1:1" x14ac:dyDescent="0.25">
      <c r="A1343" t="s">
        <v>12046</v>
      </c>
    </row>
    <row r="1344" spans="1:1" x14ac:dyDescent="0.25">
      <c r="A1344" t="s">
        <v>13107</v>
      </c>
    </row>
    <row r="1345" spans="1:1" x14ac:dyDescent="0.25">
      <c r="A1345" t="s">
        <v>12048</v>
      </c>
    </row>
    <row r="1346" spans="1:1" x14ac:dyDescent="0.25">
      <c r="A1346" t="s">
        <v>12049</v>
      </c>
    </row>
    <row r="1347" spans="1:1" x14ac:dyDescent="0.25">
      <c r="A1347" t="s">
        <v>12050</v>
      </c>
    </row>
    <row r="1348" spans="1:1" x14ac:dyDescent="0.25">
      <c r="A1348" t="s">
        <v>12051</v>
      </c>
    </row>
    <row r="1349" spans="1:1" x14ac:dyDescent="0.25">
      <c r="A1349" t="s">
        <v>13108</v>
      </c>
    </row>
    <row r="1350" spans="1:1" x14ac:dyDescent="0.25">
      <c r="A1350" t="s">
        <v>13109</v>
      </c>
    </row>
    <row r="1351" spans="1:1" x14ac:dyDescent="0.25">
      <c r="A1351" t="s">
        <v>12052</v>
      </c>
    </row>
    <row r="1352" spans="1:1" x14ac:dyDescent="0.25">
      <c r="A1352" t="s">
        <v>12053</v>
      </c>
    </row>
    <row r="1353" spans="1:1" x14ac:dyDescent="0.25">
      <c r="A1353" t="s">
        <v>12054</v>
      </c>
    </row>
    <row r="1354" spans="1:1" x14ac:dyDescent="0.25">
      <c r="A1354" t="s">
        <v>12055</v>
      </c>
    </row>
    <row r="1355" spans="1:1" x14ac:dyDescent="0.25">
      <c r="A1355" t="s">
        <v>12056</v>
      </c>
    </row>
    <row r="1356" spans="1:1" x14ac:dyDescent="0.25">
      <c r="A1356" t="s">
        <v>12057</v>
      </c>
    </row>
    <row r="1357" spans="1:1" x14ac:dyDescent="0.25">
      <c r="A1357" t="s">
        <v>12058</v>
      </c>
    </row>
    <row r="1358" spans="1:1" x14ac:dyDescent="0.25">
      <c r="A1358" t="s">
        <v>12059</v>
      </c>
    </row>
    <row r="1359" spans="1:1" x14ac:dyDescent="0.25">
      <c r="A1359" t="s">
        <v>12060</v>
      </c>
    </row>
    <row r="1360" spans="1:1" x14ac:dyDescent="0.25">
      <c r="A1360" t="s">
        <v>12061</v>
      </c>
    </row>
    <row r="1361" spans="1:1" x14ac:dyDescent="0.25">
      <c r="A1361" t="s">
        <v>8521</v>
      </c>
    </row>
    <row r="1362" spans="1:1" x14ac:dyDescent="0.25">
      <c r="A1362" t="s">
        <v>12062</v>
      </c>
    </row>
    <row r="1363" spans="1:1" x14ac:dyDescent="0.25">
      <c r="A1363" t="s">
        <v>12063</v>
      </c>
    </row>
    <row r="1364" spans="1:1" x14ac:dyDescent="0.25">
      <c r="A1364" t="s">
        <v>12064</v>
      </c>
    </row>
    <row r="1365" spans="1:1" x14ac:dyDescent="0.25">
      <c r="A1365" t="s">
        <v>8522</v>
      </c>
    </row>
    <row r="1366" spans="1:1" x14ac:dyDescent="0.25">
      <c r="A1366" t="s">
        <v>7834</v>
      </c>
    </row>
    <row r="1367" spans="1:1" x14ac:dyDescent="0.25">
      <c r="A1367" t="s">
        <v>12069</v>
      </c>
    </row>
    <row r="1368" spans="1:1" x14ac:dyDescent="0.25">
      <c r="A1368" t="s">
        <v>12070</v>
      </c>
    </row>
    <row r="1369" spans="1:1" x14ac:dyDescent="0.25">
      <c r="A1369" t="s">
        <v>12071</v>
      </c>
    </row>
    <row r="1370" spans="1:1" x14ac:dyDescent="0.25">
      <c r="A1370" t="s">
        <v>12072</v>
      </c>
    </row>
    <row r="1371" spans="1:1" x14ac:dyDescent="0.25">
      <c r="A1371" t="s">
        <v>12073</v>
      </c>
    </row>
    <row r="1372" spans="1:1" x14ac:dyDescent="0.25">
      <c r="A1372" t="s">
        <v>12074</v>
      </c>
    </row>
    <row r="1373" spans="1:1" x14ac:dyDescent="0.25">
      <c r="A1373" t="s">
        <v>7835</v>
      </c>
    </row>
    <row r="1374" spans="1:1" x14ac:dyDescent="0.25">
      <c r="A1374" t="s">
        <v>12076</v>
      </c>
    </row>
    <row r="1375" spans="1:1" x14ac:dyDescent="0.25">
      <c r="A1375" t="s">
        <v>12077</v>
      </c>
    </row>
    <row r="1376" spans="1:1" x14ac:dyDescent="0.25">
      <c r="A1376" t="s">
        <v>12078</v>
      </c>
    </row>
    <row r="1377" spans="1:1" x14ac:dyDescent="0.25">
      <c r="A1377" t="s">
        <v>12079</v>
      </c>
    </row>
    <row r="1378" spans="1:1" x14ac:dyDescent="0.25">
      <c r="A1378" t="s">
        <v>12080</v>
      </c>
    </row>
    <row r="1379" spans="1:1" x14ac:dyDescent="0.25">
      <c r="A1379" t="s">
        <v>12081</v>
      </c>
    </row>
    <row r="1380" spans="1:1" x14ac:dyDescent="0.25">
      <c r="A1380" t="s">
        <v>13110</v>
      </c>
    </row>
    <row r="1381" spans="1:1" x14ac:dyDescent="0.25">
      <c r="A1381" t="s">
        <v>12084</v>
      </c>
    </row>
    <row r="1382" spans="1:1" x14ac:dyDescent="0.25">
      <c r="A1382" t="s">
        <v>12085</v>
      </c>
    </row>
    <row r="1383" spans="1:1" x14ac:dyDescent="0.25">
      <c r="A1383" t="s">
        <v>12086</v>
      </c>
    </row>
    <row r="1384" spans="1:1" x14ac:dyDescent="0.25">
      <c r="A1384" t="s">
        <v>12088</v>
      </c>
    </row>
    <row r="1385" spans="1:1" x14ac:dyDescent="0.25">
      <c r="A1385" t="s">
        <v>12089</v>
      </c>
    </row>
    <row r="1386" spans="1:1" x14ac:dyDescent="0.25">
      <c r="A1386" t="s">
        <v>12090</v>
      </c>
    </row>
    <row r="1387" spans="1:1" x14ac:dyDescent="0.25">
      <c r="A1387" t="s">
        <v>12091</v>
      </c>
    </row>
    <row r="1388" spans="1:1" x14ac:dyDescent="0.25">
      <c r="A1388" t="s">
        <v>12092</v>
      </c>
    </row>
    <row r="1389" spans="1:1" x14ac:dyDescent="0.25">
      <c r="A1389" t="s">
        <v>12093</v>
      </c>
    </row>
    <row r="1390" spans="1:1" x14ac:dyDescent="0.25">
      <c r="A1390" t="s">
        <v>12094</v>
      </c>
    </row>
    <row r="1391" spans="1:1" x14ac:dyDescent="0.25">
      <c r="A1391" t="s">
        <v>7844</v>
      </c>
    </row>
    <row r="1392" spans="1:1" x14ac:dyDescent="0.25">
      <c r="A1392" t="s">
        <v>12096</v>
      </c>
    </row>
    <row r="1393" spans="1:1" x14ac:dyDescent="0.25">
      <c r="A1393" t="s">
        <v>12097</v>
      </c>
    </row>
    <row r="1394" spans="1:1" x14ac:dyDescent="0.25">
      <c r="A1394" t="s">
        <v>7845</v>
      </c>
    </row>
    <row r="1395" spans="1:1" x14ac:dyDescent="0.25">
      <c r="A1395" t="s">
        <v>12099</v>
      </c>
    </row>
    <row r="1396" spans="1:1" x14ac:dyDescent="0.25">
      <c r="A1396" t="s">
        <v>8810</v>
      </c>
    </row>
    <row r="1397" spans="1:1" x14ac:dyDescent="0.25">
      <c r="A1397" t="s">
        <v>13111</v>
      </c>
    </row>
    <row r="1398" spans="1:1" x14ac:dyDescent="0.25">
      <c r="A1398" t="s">
        <v>12100</v>
      </c>
    </row>
    <row r="1399" spans="1:1" x14ac:dyDescent="0.25">
      <c r="A1399" t="s">
        <v>12101</v>
      </c>
    </row>
    <row r="1400" spans="1:1" x14ac:dyDescent="0.25">
      <c r="A1400" t="s">
        <v>12103</v>
      </c>
    </row>
    <row r="1401" spans="1:1" x14ac:dyDescent="0.25">
      <c r="A1401" t="s">
        <v>12105</v>
      </c>
    </row>
    <row r="1402" spans="1:1" x14ac:dyDescent="0.25">
      <c r="A1402" t="s">
        <v>12106</v>
      </c>
    </row>
    <row r="1403" spans="1:1" x14ac:dyDescent="0.25">
      <c r="A1403" t="s">
        <v>12107</v>
      </c>
    </row>
    <row r="1404" spans="1:1" x14ac:dyDescent="0.25">
      <c r="A1404" t="s">
        <v>12108</v>
      </c>
    </row>
    <row r="1405" spans="1:1" x14ac:dyDescent="0.25">
      <c r="A1405" t="s">
        <v>12109</v>
      </c>
    </row>
    <row r="1406" spans="1:1" x14ac:dyDescent="0.25">
      <c r="A1406" t="s">
        <v>13112</v>
      </c>
    </row>
    <row r="1407" spans="1:1" x14ac:dyDescent="0.25">
      <c r="A1407" t="s">
        <v>12110</v>
      </c>
    </row>
    <row r="1408" spans="1:1" x14ac:dyDescent="0.25">
      <c r="A1408" t="s">
        <v>12111</v>
      </c>
    </row>
    <row r="1409" spans="1:1" x14ac:dyDescent="0.25">
      <c r="A1409" t="s">
        <v>13113</v>
      </c>
    </row>
    <row r="1410" spans="1:1" x14ac:dyDescent="0.25">
      <c r="A1410" t="s">
        <v>12112</v>
      </c>
    </row>
    <row r="1411" spans="1:1" x14ac:dyDescent="0.25">
      <c r="A1411" t="s">
        <v>12114</v>
      </c>
    </row>
    <row r="1412" spans="1:1" x14ac:dyDescent="0.25">
      <c r="A1412" t="s">
        <v>12116</v>
      </c>
    </row>
    <row r="1413" spans="1:1" x14ac:dyDescent="0.25">
      <c r="A1413" t="s">
        <v>12117</v>
      </c>
    </row>
    <row r="1414" spans="1:1" x14ac:dyDescent="0.25">
      <c r="A1414" t="s">
        <v>12118</v>
      </c>
    </row>
    <row r="1415" spans="1:1" x14ac:dyDescent="0.25">
      <c r="A1415" t="s">
        <v>12119</v>
      </c>
    </row>
    <row r="1416" spans="1:1" x14ac:dyDescent="0.25">
      <c r="A1416" t="s">
        <v>12121</v>
      </c>
    </row>
    <row r="1417" spans="1:1" x14ac:dyDescent="0.25">
      <c r="A1417" t="s">
        <v>12122</v>
      </c>
    </row>
    <row r="1418" spans="1:1" x14ac:dyDescent="0.25">
      <c r="A1418" t="s">
        <v>12124</v>
      </c>
    </row>
    <row r="1419" spans="1:1" x14ac:dyDescent="0.25">
      <c r="A1419" t="s">
        <v>13114</v>
      </c>
    </row>
    <row r="1420" spans="1:1" x14ac:dyDescent="0.25">
      <c r="A1420" t="s">
        <v>12125</v>
      </c>
    </row>
    <row r="1421" spans="1:1" x14ac:dyDescent="0.25">
      <c r="A1421" t="s">
        <v>9732</v>
      </c>
    </row>
    <row r="1422" spans="1:1" x14ac:dyDescent="0.25">
      <c r="A1422" t="s">
        <v>12126</v>
      </c>
    </row>
    <row r="1423" spans="1:1" x14ac:dyDescent="0.25">
      <c r="A1423" t="s">
        <v>9410</v>
      </c>
    </row>
    <row r="1424" spans="1:1" x14ac:dyDescent="0.25">
      <c r="A1424" t="s">
        <v>12127</v>
      </c>
    </row>
    <row r="1425" spans="1:1" x14ac:dyDescent="0.25">
      <c r="A1425" t="s">
        <v>12128</v>
      </c>
    </row>
    <row r="1426" spans="1:1" x14ac:dyDescent="0.25">
      <c r="A1426" t="s">
        <v>12129</v>
      </c>
    </row>
    <row r="1427" spans="1:1" x14ac:dyDescent="0.25">
      <c r="A1427" t="s">
        <v>12130</v>
      </c>
    </row>
    <row r="1428" spans="1:1" x14ac:dyDescent="0.25">
      <c r="A1428" t="s">
        <v>12131</v>
      </c>
    </row>
    <row r="1429" spans="1:1" x14ac:dyDescent="0.25">
      <c r="A1429" t="s">
        <v>8539</v>
      </c>
    </row>
    <row r="1430" spans="1:1" x14ac:dyDescent="0.25">
      <c r="A1430" t="s">
        <v>12132</v>
      </c>
    </row>
    <row r="1431" spans="1:1" x14ac:dyDescent="0.25">
      <c r="A1431" t="s">
        <v>12134</v>
      </c>
    </row>
    <row r="1432" spans="1:1" x14ac:dyDescent="0.25">
      <c r="A1432" t="s">
        <v>12135</v>
      </c>
    </row>
    <row r="1433" spans="1:1" x14ac:dyDescent="0.25">
      <c r="A1433" t="s">
        <v>12136</v>
      </c>
    </row>
    <row r="1434" spans="1:1" x14ac:dyDescent="0.25">
      <c r="A1434" t="s">
        <v>8813</v>
      </c>
    </row>
    <row r="1435" spans="1:1" x14ac:dyDescent="0.25">
      <c r="A1435" t="s">
        <v>12137</v>
      </c>
    </row>
    <row r="1436" spans="1:1" x14ac:dyDescent="0.25">
      <c r="A1436" t="s">
        <v>12138</v>
      </c>
    </row>
    <row r="1437" spans="1:1" x14ac:dyDescent="0.25">
      <c r="A1437" t="s">
        <v>12139</v>
      </c>
    </row>
    <row r="1438" spans="1:1" x14ac:dyDescent="0.25">
      <c r="A1438" t="s">
        <v>12140</v>
      </c>
    </row>
    <row r="1439" spans="1:1" x14ac:dyDescent="0.25">
      <c r="A1439" t="s">
        <v>12141</v>
      </c>
    </row>
    <row r="1440" spans="1:1" x14ac:dyDescent="0.25">
      <c r="A1440" t="s">
        <v>12142</v>
      </c>
    </row>
    <row r="1441" spans="1:1" x14ac:dyDescent="0.25">
      <c r="A1441" t="s">
        <v>8750</v>
      </c>
    </row>
    <row r="1442" spans="1:1" x14ac:dyDescent="0.25">
      <c r="A1442" t="s">
        <v>13115</v>
      </c>
    </row>
    <row r="1443" spans="1:1" x14ac:dyDescent="0.25">
      <c r="A1443" t="s">
        <v>12144</v>
      </c>
    </row>
    <row r="1444" spans="1:1" x14ac:dyDescent="0.25">
      <c r="A1444" t="s">
        <v>12145</v>
      </c>
    </row>
    <row r="1445" spans="1:1" x14ac:dyDescent="0.25">
      <c r="A1445" t="s">
        <v>9737</v>
      </c>
    </row>
    <row r="1446" spans="1:1" x14ac:dyDescent="0.25">
      <c r="A1446" t="s">
        <v>12148</v>
      </c>
    </row>
    <row r="1447" spans="1:1" x14ac:dyDescent="0.25">
      <c r="A1447" t="s">
        <v>9738</v>
      </c>
    </row>
    <row r="1448" spans="1:1" x14ac:dyDescent="0.25">
      <c r="A1448" t="s">
        <v>12149</v>
      </c>
    </row>
    <row r="1449" spans="1:1" x14ac:dyDescent="0.25">
      <c r="A1449" t="s">
        <v>8814</v>
      </c>
    </row>
    <row r="1450" spans="1:1" x14ac:dyDescent="0.25">
      <c r="A1450" t="s">
        <v>12150</v>
      </c>
    </row>
    <row r="1451" spans="1:1" x14ac:dyDescent="0.25">
      <c r="A1451" t="s">
        <v>9739</v>
      </c>
    </row>
    <row r="1452" spans="1:1" x14ac:dyDescent="0.25">
      <c r="A1452" t="s">
        <v>12152</v>
      </c>
    </row>
    <row r="1453" spans="1:1" x14ac:dyDescent="0.25">
      <c r="A1453" t="s">
        <v>12153</v>
      </c>
    </row>
    <row r="1454" spans="1:1" x14ac:dyDescent="0.25">
      <c r="A1454" t="s">
        <v>9421</v>
      </c>
    </row>
    <row r="1455" spans="1:1" x14ac:dyDescent="0.25">
      <c r="A1455" t="s">
        <v>12154</v>
      </c>
    </row>
    <row r="1456" spans="1:1" x14ac:dyDescent="0.25">
      <c r="A1456" t="s">
        <v>12155</v>
      </c>
    </row>
    <row r="1457" spans="1:1" x14ac:dyDescent="0.25">
      <c r="A1457" t="s">
        <v>12157</v>
      </c>
    </row>
    <row r="1458" spans="1:1" x14ac:dyDescent="0.25">
      <c r="A1458" t="s">
        <v>12158</v>
      </c>
    </row>
    <row r="1459" spans="1:1" x14ac:dyDescent="0.25">
      <c r="A1459" t="s">
        <v>12159</v>
      </c>
    </row>
    <row r="1460" spans="1:1" x14ac:dyDescent="0.25">
      <c r="A1460" t="s">
        <v>12160</v>
      </c>
    </row>
    <row r="1461" spans="1:1" x14ac:dyDescent="0.25">
      <c r="A1461" t="s">
        <v>12161</v>
      </c>
    </row>
    <row r="1462" spans="1:1" x14ac:dyDescent="0.25">
      <c r="A1462" t="s">
        <v>12162</v>
      </c>
    </row>
    <row r="1463" spans="1:1" x14ac:dyDescent="0.25">
      <c r="A1463" t="s">
        <v>13031</v>
      </c>
    </row>
    <row r="1464" spans="1:1" x14ac:dyDescent="0.25">
      <c r="A1464" t="s">
        <v>12163</v>
      </c>
    </row>
    <row r="1465" spans="1:1" x14ac:dyDescent="0.25">
      <c r="A1465" t="s">
        <v>12164</v>
      </c>
    </row>
    <row r="1466" spans="1:1" x14ac:dyDescent="0.25">
      <c r="A1466" t="s">
        <v>12165</v>
      </c>
    </row>
    <row r="1467" spans="1:1" x14ac:dyDescent="0.25">
      <c r="A1467" t="s">
        <v>7876</v>
      </c>
    </row>
    <row r="1468" spans="1:1" x14ac:dyDescent="0.25">
      <c r="A1468" t="s">
        <v>12166</v>
      </c>
    </row>
    <row r="1469" spans="1:1" x14ac:dyDescent="0.25">
      <c r="A1469" t="s">
        <v>12167</v>
      </c>
    </row>
    <row r="1470" spans="1:1" x14ac:dyDescent="0.25">
      <c r="A1470" t="s">
        <v>12168</v>
      </c>
    </row>
    <row r="1471" spans="1:1" x14ac:dyDescent="0.25">
      <c r="A1471" t="s">
        <v>12169</v>
      </c>
    </row>
    <row r="1472" spans="1:1" x14ac:dyDescent="0.25">
      <c r="A1472" t="s">
        <v>12170</v>
      </c>
    </row>
    <row r="1473" spans="1:1" x14ac:dyDescent="0.25">
      <c r="A1473" t="s">
        <v>12171</v>
      </c>
    </row>
    <row r="1474" spans="1:1" x14ac:dyDescent="0.25">
      <c r="A1474" t="s">
        <v>12172</v>
      </c>
    </row>
    <row r="1475" spans="1:1" x14ac:dyDescent="0.25">
      <c r="A1475" t="s">
        <v>12173</v>
      </c>
    </row>
    <row r="1476" spans="1:1" x14ac:dyDescent="0.25">
      <c r="A1476" t="s">
        <v>12174</v>
      </c>
    </row>
    <row r="1477" spans="1:1" x14ac:dyDescent="0.25">
      <c r="A1477" t="s">
        <v>7878</v>
      </c>
    </row>
    <row r="1478" spans="1:1" x14ac:dyDescent="0.25">
      <c r="A1478" t="s">
        <v>12176</v>
      </c>
    </row>
    <row r="1479" spans="1:1" x14ac:dyDescent="0.25">
      <c r="A1479" t="s">
        <v>12177</v>
      </c>
    </row>
    <row r="1480" spans="1:1" x14ac:dyDescent="0.25">
      <c r="A1480" t="s">
        <v>12178</v>
      </c>
    </row>
    <row r="1481" spans="1:1" x14ac:dyDescent="0.25">
      <c r="A1481" t="s">
        <v>12179</v>
      </c>
    </row>
    <row r="1482" spans="1:1" x14ac:dyDescent="0.25">
      <c r="A1482" t="s">
        <v>12180</v>
      </c>
    </row>
    <row r="1483" spans="1:1" x14ac:dyDescent="0.25">
      <c r="A1483" t="s">
        <v>12181</v>
      </c>
    </row>
    <row r="1484" spans="1:1" x14ac:dyDescent="0.25">
      <c r="A1484" t="s">
        <v>12182</v>
      </c>
    </row>
    <row r="1485" spans="1:1" x14ac:dyDescent="0.25">
      <c r="A1485" t="s">
        <v>12183</v>
      </c>
    </row>
    <row r="1486" spans="1:1" x14ac:dyDescent="0.25">
      <c r="A1486" t="s">
        <v>13116</v>
      </c>
    </row>
    <row r="1487" spans="1:1" x14ac:dyDescent="0.25">
      <c r="A1487" t="s">
        <v>12184</v>
      </c>
    </row>
    <row r="1488" spans="1:1" x14ac:dyDescent="0.25">
      <c r="A1488" t="s">
        <v>12185</v>
      </c>
    </row>
    <row r="1489" spans="1:1" x14ac:dyDescent="0.25">
      <c r="A1489" t="s">
        <v>12188</v>
      </c>
    </row>
    <row r="1490" spans="1:1" x14ac:dyDescent="0.25">
      <c r="A1490" t="s">
        <v>9741</v>
      </c>
    </row>
    <row r="1491" spans="1:1" x14ac:dyDescent="0.25">
      <c r="A1491" t="s">
        <v>12189</v>
      </c>
    </row>
    <row r="1492" spans="1:1" x14ac:dyDescent="0.25">
      <c r="A1492" t="s">
        <v>12190</v>
      </c>
    </row>
    <row r="1493" spans="1:1" x14ac:dyDescent="0.25">
      <c r="A1493" t="s">
        <v>12191</v>
      </c>
    </row>
    <row r="1494" spans="1:1" x14ac:dyDescent="0.25">
      <c r="A1494" t="s">
        <v>12192</v>
      </c>
    </row>
    <row r="1495" spans="1:1" x14ac:dyDescent="0.25">
      <c r="A1495" t="s">
        <v>12194</v>
      </c>
    </row>
    <row r="1496" spans="1:1" x14ac:dyDescent="0.25">
      <c r="A1496" t="s">
        <v>12195</v>
      </c>
    </row>
    <row r="1497" spans="1:1" x14ac:dyDescent="0.25">
      <c r="A1497" t="s">
        <v>12196</v>
      </c>
    </row>
    <row r="1498" spans="1:1" x14ac:dyDescent="0.25">
      <c r="A1498" t="s">
        <v>12197</v>
      </c>
    </row>
    <row r="1499" spans="1:1" x14ac:dyDescent="0.25">
      <c r="A1499" t="s">
        <v>12198</v>
      </c>
    </row>
    <row r="1500" spans="1:1" x14ac:dyDescent="0.25">
      <c r="A1500" t="s">
        <v>12199</v>
      </c>
    </row>
    <row r="1501" spans="1:1" x14ac:dyDescent="0.25">
      <c r="A1501" t="s">
        <v>12200</v>
      </c>
    </row>
    <row r="1502" spans="1:1" x14ac:dyDescent="0.25">
      <c r="A1502" t="s">
        <v>12201</v>
      </c>
    </row>
    <row r="1503" spans="1:1" x14ac:dyDescent="0.25">
      <c r="A1503" t="s">
        <v>12203</v>
      </c>
    </row>
    <row r="1504" spans="1:1" x14ac:dyDescent="0.25">
      <c r="A1504" t="s">
        <v>12204</v>
      </c>
    </row>
    <row r="1505" spans="1:1" x14ac:dyDescent="0.25">
      <c r="A1505" t="s">
        <v>12205</v>
      </c>
    </row>
    <row r="1506" spans="1:1" x14ac:dyDescent="0.25">
      <c r="A1506" t="s">
        <v>12206</v>
      </c>
    </row>
    <row r="1507" spans="1:1" x14ac:dyDescent="0.25">
      <c r="A1507" t="s">
        <v>12207</v>
      </c>
    </row>
    <row r="1508" spans="1:1" x14ac:dyDescent="0.25">
      <c r="A1508" t="s">
        <v>12208</v>
      </c>
    </row>
    <row r="1509" spans="1:1" x14ac:dyDescent="0.25">
      <c r="A1509" t="s">
        <v>12209</v>
      </c>
    </row>
    <row r="1510" spans="1:1" x14ac:dyDescent="0.25">
      <c r="A1510" t="s">
        <v>12210</v>
      </c>
    </row>
    <row r="1511" spans="1:1" x14ac:dyDescent="0.25">
      <c r="A1511" t="s">
        <v>12211</v>
      </c>
    </row>
    <row r="1512" spans="1:1" x14ac:dyDescent="0.25">
      <c r="A1512" t="s">
        <v>12212</v>
      </c>
    </row>
    <row r="1513" spans="1:1" x14ac:dyDescent="0.25">
      <c r="A1513" t="s">
        <v>12214</v>
      </c>
    </row>
    <row r="1514" spans="1:1" x14ac:dyDescent="0.25">
      <c r="A1514" t="s">
        <v>12215</v>
      </c>
    </row>
    <row r="1515" spans="1:1" x14ac:dyDescent="0.25">
      <c r="A1515" t="s">
        <v>12216</v>
      </c>
    </row>
    <row r="1516" spans="1:1" x14ac:dyDescent="0.25">
      <c r="A1516" t="s">
        <v>12217</v>
      </c>
    </row>
    <row r="1517" spans="1:1" x14ac:dyDescent="0.25">
      <c r="A1517" t="s">
        <v>12219</v>
      </c>
    </row>
    <row r="1518" spans="1:1" x14ac:dyDescent="0.25">
      <c r="A1518" t="s">
        <v>12220</v>
      </c>
    </row>
    <row r="1519" spans="1:1" x14ac:dyDescent="0.25">
      <c r="A1519" t="s">
        <v>12221</v>
      </c>
    </row>
    <row r="1520" spans="1:1" x14ac:dyDescent="0.25">
      <c r="A1520" t="s">
        <v>12222</v>
      </c>
    </row>
    <row r="1521" spans="1:1" x14ac:dyDescent="0.25">
      <c r="A1521" t="s">
        <v>12223</v>
      </c>
    </row>
    <row r="1522" spans="1:1" x14ac:dyDescent="0.25">
      <c r="A1522" t="s">
        <v>12224</v>
      </c>
    </row>
    <row r="1523" spans="1:1" x14ac:dyDescent="0.25">
      <c r="A1523" t="s">
        <v>12225</v>
      </c>
    </row>
    <row r="1524" spans="1:1" x14ac:dyDescent="0.25">
      <c r="A1524" t="s">
        <v>12228</v>
      </c>
    </row>
    <row r="1525" spans="1:1" x14ac:dyDescent="0.25">
      <c r="A1525" t="s">
        <v>12229</v>
      </c>
    </row>
    <row r="1526" spans="1:1" x14ac:dyDescent="0.25">
      <c r="A1526" t="s">
        <v>12231</v>
      </c>
    </row>
    <row r="1527" spans="1:1" x14ac:dyDescent="0.25">
      <c r="A1527" t="s">
        <v>12232</v>
      </c>
    </row>
    <row r="1528" spans="1:1" x14ac:dyDescent="0.25">
      <c r="A1528" t="s">
        <v>12233</v>
      </c>
    </row>
    <row r="1529" spans="1:1" x14ac:dyDescent="0.25">
      <c r="A1529" t="s">
        <v>12234</v>
      </c>
    </row>
    <row r="1530" spans="1:1" x14ac:dyDescent="0.25">
      <c r="A1530" t="s">
        <v>12235</v>
      </c>
    </row>
    <row r="1531" spans="1:1" x14ac:dyDescent="0.25">
      <c r="A1531" t="s">
        <v>12236</v>
      </c>
    </row>
    <row r="1532" spans="1:1" x14ac:dyDescent="0.25">
      <c r="A1532" t="s">
        <v>7889</v>
      </c>
    </row>
    <row r="1533" spans="1:1" x14ac:dyDescent="0.25">
      <c r="A1533" t="s">
        <v>12237</v>
      </c>
    </row>
    <row r="1534" spans="1:1" x14ac:dyDescent="0.25">
      <c r="A1534" t="s">
        <v>12238</v>
      </c>
    </row>
    <row r="1535" spans="1:1" x14ac:dyDescent="0.25">
      <c r="A1535" t="s">
        <v>12239</v>
      </c>
    </row>
    <row r="1536" spans="1:1" x14ac:dyDescent="0.25">
      <c r="A1536" t="s">
        <v>12240</v>
      </c>
    </row>
    <row r="1537" spans="1:1" x14ac:dyDescent="0.25">
      <c r="A1537" t="s">
        <v>12241</v>
      </c>
    </row>
    <row r="1538" spans="1:1" x14ac:dyDescent="0.25">
      <c r="A1538" t="s">
        <v>12242</v>
      </c>
    </row>
    <row r="1539" spans="1:1" x14ac:dyDescent="0.25">
      <c r="A1539" t="s">
        <v>12243</v>
      </c>
    </row>
    <row r="1540" spans="1:1" x14ac:dyDescent="0.25">
      <c r="A1540" t="s">
        <v>12244</v>
      </c>
    </row>
    <row r="1541" spans="1:1" x14ac:dyDescent="0.25">
      <c r="A1541" t="s">
        <v>12245</v>
      </c>
    </row>
    <row r="1542" spans="1:1" x14ac:dyDescent="0.25">
      <c r="A1542" t="s">
        <v>12246</v>
      </c>
    </row>
    <row r="1543" spans="1:1" x14ac:dyDescent="0.25">
      <c r="A1543" t="s">
        <v>12248</v>
      </c>
    </row>
    <row r="1544" spans="1:1" x14ac:dyDescent="0.25">
      <c r="A1544" t="s">
        <v>12249</v>
      </c>
    </row>
    <row r="1545" spans="1:1" x14ac:dyDescent="0.25">
      <c r="A1545" t="s">
        <v>12250</v>
      </c>
    </row>
    <row r="1546" spans="1:1" x14ac:dyDescent="0.25">
      <c r="A1546" t="s">
        <v>12251</v>
      </c>
    </row>
    <row r="1547" spans="1:1" x14ac:dyDescent="0.25">
      <c r="A1547" t="s">
        <v>12252</v>
      </c>
    </row>
    <row r="1548" spans="1:1" x14ac:dyDescent="0.25">
      <c r="A1548" t="s">
        <v>12254</v>
      </c>
    </row>
    <row r="1549" spans="1:1" x14ac:dyDescent="0.25">
      <c r="A1549" t="s">
        <v>12256</v>
      </c>
    </row>
    <row r="1550" spans="1:1" x14ac:dyDescent="0.25">
      <c r="A1550" t="s">
        <v>12257</v>
      </c>
    </row>
    <row r="1551" spans="1:1" x14ac:dyDescent="0.25">
      <c r="A1551" t="s">
        <v>12258</v>
      </c>
    </row>
    <row r="1552" spans="1:1" x14ac:dyDescent="0.25">
      <c r="A1552" t="s">
        <v>12260</v>
      </c>
    </row>
    <row r="1553" spans="1:1" x14ac:dyDescent="0.25">
      <c r="A1553" t="s">
        <v>12261</v>
      </c>
    </row>
    <row r="1554" spans="1:1" x14ac:dyDescent="0.25">
      <c r="A1554" t="s">
        <v>12262</v>
      </c>
    </row>
    <row r="1555" spans="1:1" x14ac:dyDescent="0.25">
      <c r="A1555" t="s">
        <v>12263</v>
      </c>
    </row>
    <row r="1556" spans="1:1" x14ac:dyDescent="0.25">
      <c r="A1556" t="s">
        <v>12264</v>
      </c>
    </row>
    <row r="1557" spans="1:1" x14ac:dyDescent="0.25">
      <c r="A1557" t="s">
        <v>12265</v>
      </c>
    </row>
    <row r="1558" spans="1:1" x14ac:dyDescent="0.25">
      <c r="A1558" t="s">
        <v>8818</v>
      </c>
    </row>
    <row r="1559" spans="1:1" x14ac:dyDescent="0.25">
      <c r="A1559" t="s">
        <v>9743</v>
      </c>
    </row>
    <row r="1560" spans="1:1" x14ac:dyDescent="0.25">
      <c r="A1560" t="s">
        <v>12268</v>
      </c>
    </row>
    <row r="1561" spans="1:1" x14ac:dyDescent="0.25">
      <c r="A1561" t="s">
        <v>12269</v>
      </c>
    </row>
    <row r="1562" spans="1:1" x14ac:dyDescent="0.25">
      <c r="A1562" t="s">
        <v>12270</v>
      </c>
    </row>
    <row r="1563" spans="1:1" x14ac:dyDescent="0.25">
      <c r="A1563" t="s">
        <v>12271</v>
      </c>
    </row>
    <row r="1564" spans="1:1" x14ac:dyDescent="0.25">
      <c r="A1564" t="s">
        <v>7900</v>
      </c>
    </row>
    <row r="1565" spans="1:1" x14ac:dyDescent="0.25">
      <c r="A1565" t="s">
        <v>12273</v>
      </c>
    </row>
    <row r="1566" spans="1:1" x14ac:dyDescent="0.25">
      <c r="A1566" t="s">
        <v>12274</v>
      </c>
    </row>
    <row r="1567" spans="1:1" x14ac:dyDescent="0.25">
      <c r="A1567" t="s">
        <v>9988</v>
      </c>
    </row>
    <row r="1568" spans="1:1" x14ac:dyDescent="0.25">
      <c r="A1568" t="s">
        <v>12275</v>
      </c>
    </row>
    <row r="1569" spans="1:1" x14ac:dyDescent="0.25">
      <c r="A1569" t="s">
        <v>12276</v>
      </c>
    </row>
    <row r="1570" spans="1:1" x14ac:dyDescent="0.25">
      <c r="A1570" t="s">
        <v>12277</v>
      </c>
    </row>
    <row r="1571" spans="1:1" x14ac:dyDescent="0.25">
      <c r="A1571" t="s">
        <v>12278</v>
      </c>
    </row>
    <row r="1572" spans="1:1" x14ac:dyDescent="0.25">
      <c r="A1572" t="s">
        <v>12279</v>
      </c>
    </row>
    <row r="1573" spans="1:1" x14ac:dyDescent="0.25">
      <c r="A1573" t="s">
        <v>12280</v>
      </c>
    </row>
    <row r="1574" spans="1:1" x14ac:dyDescent="0.25">
      <c r="A1574" t="s">
        <v>12281</v>
      </c>
    </row>
    <row r="1575" spans="1:1" x14ac:dyDescent="0.25">
      <c r="A1575" t="s">
        <v>13117</v>
      </c>
    </row>
    <row r="1576" spans="1:1" x14ac:dyDescent="0.25">
      <c r="A1576" t="s">
        <v>12285</v>
      </c>
    </row>
    <row r="1577" spans="1:1" x14ac:dyDescent="0.25">
      <c r="A1577" t="s">
        <v>12286</v>
      </c>
    </row>
    <row r="1578" spans="1:1" x14ac:dyDescent="0.25">
      <c r="A1578" t="s">
        <v>12287</v>
      </c>
    </row>
    <row r="1579" spans="1:1" x14ac:dyDescent="0.25">
      <c r="A1579" t="s">
        <v>13118</v>
      </c>
    </row>
    <row r="1580" spans="1:1" x14ac:dyDescent="0.25">
      <c r="A1580" t="s">
        <v>12288</v>
      </c>
    </row>
    <row r="1581" spans="1:1" x14ac:dyDescent="0.25">
      <c r="A1581" t="s">
        <v>12289</v>
      </c>
    </row>
    <row r="1582" spans="1:1" x14ac:dyDescent="0.25">
      <c r="A1582" t="s">
        <v>12290</v>
      </c>
    </row>
    <row r="1583" spans="1:1" x14ac:dyDescent="0.25">
      <c r="A1583" t="s">
        <v>12291</v>
      </c>
    </row>
    <row r="1584" spans="1:1" x14ac:dyDescent="0.25">
      <c r="A1584" t="s">
        <v>13119</v>
      </c>
    </row>
    <row r="1585" spans="1:1" x14ac:dyDescent="0.25">
      <c r="A1585" t="s">
        <v>12292</v>
      </c>
    </row>
    <row r="1586" spans="1:1" x14ac:dyDescent="0.25">
      <c r="A1586" t="s">
        <v>12294</v>
      </c>
    </row>
    <row r="1587" spans="1:1" x14ac:dyDescent="0.25">
      <c r="A1587" t="s">
        <v>12295</v>
      </c>
    </row>
    <row r="1588" spans="1:1" x14ac:dyDescent="0.25">
      <c r="A1588" t="s">
        <v>12296</v>
      </c>
    </row>
    <row r="1589" spans="1:1" x14ac:dyDescent="0.25">
      <c r="A1589" t="s">
        <v>12297</v>
      </c>
    </row>
    <row r="1590" spans="1:1" x14ac:dyDescent="0.25">
      <c r="A1590" t="s">
        <v>12298</v>
      </c>
    </row>
    <row r="1591" spans="1:1" x14ac:dyDescent="0.25">
      <c r="A1591" t="s">
        <v>12299</v>
      </c>
    </row>
    <row r="1592" spans="1:1" x14ac:dyDescent="0.25">
      <c r="A1592" t="s">
        <v>12300</v>
      </c>
    </row>
    <row r="1593" spans="1:1" x14ac:dyDescent="0.25">
      <c r="A1593" t="s">
        <v>12301</v>
      </c>
    </row>
    <row r="1594" spans="1:1" x14ac:dyDescent="0.25">
      <c r="A1594" t="s">
        <v>12303</v>
      </c>
    </row>
    <row r="1595" spans="1:1" x14ac:dyDescent="0.25">
      <c r="A1595" t="s">
        <v>12304</v>
      </c>
    </row>
    <row r="1596" spans="1:1" x14ac:dyDescent="0.25">
      <c r="A1596" t="s">
        <v>12306</v>
      </c>
    </row>
    <row r="1597" spans="1:1" x14ac:dyDescent="0.25">
      <c r="A1597" t="s">
        <v>12307</v>
      </c>
    </row>
    <row r="1598" spans="1:1" x14ac:dyDescent="0.25">
      <c r="A1598" t="s">
        <v>12309</v>
      </c>
    </row>
    <row r="1599" spans="1:1" x14ac:dyDescent="0.25">
      <c r="A1599" t="s">
        <v>12310</v>
      </c>
    </row>
    <row r="1600" spans="1:1" x14ac:dyDescent="0.25">
      <c r="A1600" t="s">
        <v>7905</v>
      </c>
    </row>
    <row r="1601" spans="1:1" x14ac:dyDescent="0.25">
      <c r="A1601" t="s">
        <v>12312</v>
      </c>
    </row>
    <row r="1602" spans="1:1" x14ac:dyDescent="0.25">
      <c r="A1602" t="s">
        <v>12315</v>
      </c>
    </row>
    <row r="1603" spans="1:1" x14ac:dyDescent="0.25">
      <c r="A1603" t="s">
        <v>12316</v>
      </c>
    </row>
    <row r="1604" spans="1:1" x14ac:dyDescent="0.25">
      <c r="A1604" t="s">
        <v>12317</v>
      </c>
    </row>
    <row r="1605" spans="1:1" x14ac:dyDescent="0.25">
      <c r="A1605" t="s">
        <v>12318</v>
      </c>
    </row>
    <row r="1606" spans="1:1" x14ac:dyDescent="0.25">
      <c r="A1606" t="s">
        <v>12319</v>
      </c>
    </row>
    <row r="1607" spans="1:1" x14ac:dyDescent="0.25">
      <c r="A1607" t="s">
        <v>12320</v>
      </c>
    </row>
    <row r="1608" spans="1:1" x14ac:dyDescent="0.25">
      <c r="A1608" t="s">
        <v>12321</v>
      </c>
    </row>
    <row r="1609" spans="1:1" x14ac:dyDescent="0.25">
      <c r="A1609" t="s">
        <v>12326</v>
      </c>
    </row>
    <row r="1610" spans="1:1" x14ac:dyDescent="0.25">
      <c r="A1610" t="s">
        <v>7910</v>
      </c>
    </row>
    <row r="1611" spans="1:1" x14ac:dyDescent="0.25">
      <c r="A1611" t="s">
        <v>12328</v>
      </c>
    </row>
    <row r="1612" spans="1:1" x14ac:dyDescent="0.25">
      <c r="A1612" t="s">
        <v>12329</v>
      </c>
    </row>
    <row r="1613" spans="1:1" x14ac:dyDescent="0.25">
      <c r="A1613" t="s">
        <v>12330</v>
      </c>
    </row>
    <row r="1614" spans="1:1" x14ac:dyDescent="0.25">
      <c r="A1614" t="s">
        <v>12331</v>
      </c>
    </row>
    <row r="1615" spans="1:1" x14ac:dyDescent="0.25">
      <c r="A1615" t="s">
        <v>12332</v>
      </c>
    </row>
    <row r="1616" spans="1:1" x14ac:dyDescent="0.25">
      <c r="A1616" t="s">
        <v>12333</v>
      </c>
    </row>
    <row r="1617" spans="1:1" x14ac:dyDescent="0.25">
      <c r="A1617" t="s">
        <v>12334</v>
      </c>
    </row>
    <row r="1618" spans="1:1" x14ac:dyDescent="0.25">
      <c r="A1618" t="s">
        <v>12335</v>
      </c>
    </row>
    <row r="1619" spans="1:1" x14ac:dyDescent="0.25">
      <c r="A1619" t="s">
        <v>13120</v>
      </c>
    </row>
    <row r="1620" spans="1:1" x14ac:dyDescent="0.25">
      <c r="A1620" t="s">
        <v>12336</v>
      </c>
    </row>
    <row r="1621" spans="1:1" x14ac:dyDescent="0.25">
      <c r="A1621" t="s">
        <v>12338</v>
      </c>
    </row>
    <row r="1622" spans="1:1" x14ac:dyDescent="0.25">
      <c r="A1622" t="s">
        <v>12340</v>
      </c>
    </row>
    <row r="1623" spans="1:1" x14ac:dyDescent="0.25">
      <c r="A1623" t="s">
        <v>12341</v>
      </c>
    </row>
    <row r="1624" spans="1:1" x14ac:dyDescent="0.25">
      <c r="A1624" t="s">
        <v>12342</v>
      </c>
    </row>
    <row r="1625" spans="1:1" x14ac:dyDescent="0.25">
      <c r="A1625" t="s">
        <v>12343</v>
      </c>
    </row>
    <row r="1626" spans="1:1" x14ac:dyDescent="0.25">
      <c r="A1626" t="s">
        <v>12344</v>
      </c>
    </row>
    <row r="1627" spans="1:1" x14ac:dyDescent="0.25">
      <c r="A1627" t="s">
        <v>12345</v>
      </c>
    </row>
    <row r="1628" spans="1:1" x14ac:dyDescent="0.25">
      <c r="A1628" t="s">
        <v>8754</v>
      </c>
    </row>
    <row r="1629" spans="1:1" x14ac:dyDescent="0.25">
      <c r="A1629" t="s">
        <v>12346</v>
      </c>
    </row>
    <row r="1630" spans="1:1" x14ac:dyDescent="0.25">
      <c r="A1630" t="s">
        <v>12347</v>
      </c>
    </row>
    <row r="1631" spans="1:1" x14ac:dyDescent="0.25">
      <c r="A1631" t="s">
        <v>12348</v>
      </c>
    </row>
    <row r="1632" spans="1:1" x14ac:dyDescent="0.25">
      <c r="A1632" t="s">
        <v>12349</v>
      </c>
    </row>
    <row r="1633" spans="1:1" x14ac:dyDescent="0.25">
      <c r="A1633" t="s">
        <v>8568</v>
      </c>
    </row>
    <row r="1634" spans="1:1" x14ac:dyDescent="0.25">
      <c r="A1634" t="s">
        <v>12352</v>
      </c>
    </row>
    <row r="1635" spans="1:1" x14ac:dyDescent="0.25">
      <c r="A1635" t="s">
        <v>13121</v>
      </c>
    </row>
    <row r="1636" spans="1:1" x14ac:dyDescent="0.25">
      <c r="A1636" t="s">
        <v>12353</v>
      </c>
    </row>
    <row r="1637" spans="1:1" x14ac:dyDescent="0.25">
      <c r="A1637" t="s">
        <v>12355</v>
      </c>
    </row>
    <row r="1638" spans="1:1" x14ac:dyDescent="0.25">
      <c r="A1638" t="s">
        <v>12356</v>
      </c>
    </row>
    <row r="1639" spans="1:1" x14ac:dyDescent="0.25">
      <c r="A1639" t="s">
        <v>12357</v>
      </c>
    </row>
    <row r="1640" spans="1:1" x14ac:dyDescent="0.25">
      <c r="A1640" t="s">
        <v>13122</v>
      </c>
    </row>
    <row r="1641" spans="1:1" x14ac:dyDescent="0.25">
      <c r="A1641" t="s">
        <v>12359</v>
      </c>
    </row>
    <row r="1642" spans="1:1" x14ac:dyDescent="0.25">
      <c r="A1642" t="s">
        <v>12360</v>
      </c>
    </row>
    <row r="1643" spans="1:1" x14ac:dyDescent="0.25">
      <c r="A1643" t="s">
        <v>12361</v>
      </c>
    </row>
    <row r="1644" spans="1:1" x14ac:dyDescent="0.25">
      <c r="A1644" t="s">
        <v>12362</v>
      </c>
    </row>
    <row r="1645" spans="1:1" x14ac:dyDescent="0.25">
      <c r="A1645" t="s">
        <v>12363</v>
      </c>
    </row>
    <row r="1646" spans="1:1" x14ac:dyDescent="0.25">
      <c r="A1646" t="s">
        <v>13123</v>
      </c>
    </row>
    <row r="1647" spans="1:1" x14ac:dyDescent="0.25">
      <c r="A1647" t="s">
        <v>12364</v>
      </c>
    </row>
    <row r="1648" spans="1:1" x14ac:dyDescent="0.25">
      <c r="A1648" t="s">
        <v>12365</v>
      </c>
    </row>
    <row r="1649" spans="1:1" x14ac:dyDescent="0.25">
      <c r="A1649" t="s">
        <v>7921</v>
      </c>
    </row>
    <row r="1650" spans="1:1" x14ac:dyDescent="0.25">
      <c r="A1650" t="s">
        <v>7922</v>
      </c>
    </row>
    <row r="1651" spans="1:1" x14ac:dyDescent="0.25">
      <c r="A1651" t="s">
        <v>7923</v>
      </c>
    </row>
    <row r="1652" spans="1:1" x14ac:dyDescent="0.25">
      <c r="A1652" t="s">
        <v>7924</v>
      </c>
    </row>
    <row r="1653" spans="1:1" x14ac:dyDescent="0.25">
      <c r="A1653" t="s">
        <v>7925</v>
      </c>
    </row>
    <row r="1654" spans="1:1" x14ac:dyDescent="0.25">
      <c r="A1654" t="s">
        <v>7926</v>
      </c>
    </row>
    <row r="1655" spans="1:1" x14ac:dyDescent="0.25">
      <c r="A1655" t="s">
        <v>7927</v>
      </c>
    </row>
    <row r="1656" spans="1:1" x14ac:dyDescent="0.25">
      <c r="A1656" t="s">
        <v>7928</v>
      </c>
    </row>
    <row r="1657" spans="1:1" x14ac:dyDescent="0.25">
      <c r="A1657" t="s">
        <v>7929</v>
      </c>
    </row>
    <row r="1658" spans="1:1" x14ac:dyDescent="0.25">
      <c r="A1658" t="s">
        <v>7930</v>
      </c>
    </row>
    <row r="1659" spans="1:1" x14ac:dyDescent="0.25">
      <c r="A1659" t="s">
        <v>7931</v>
      </c>
    </row>
    <row r="1660" spans="1:1" x14ac:dyDescent="0.25">
      <c r="A1660" t="s">
        <v>7932</v>
      </c>
    </row>
    <row r="1661" spans="1:1" x14ac:dyDescent="0.25">
      <c r="A1661" t="s">
        <v>7933</v>
      </c>
    </row>
    <row r="1662" spans="1:1" x14ac:dyDescent="0.25">
      <c r="A1662" t="s">
        <v>7934</v>
      </c>
    </row>
    <row r="1663" spans="1:1" x14ac:dyDescent="0.25">
      <c r="A1663" t="s">
        <v>12366</v>
      </c>
    </row>
    <row r="1664" spans="1:1" x14ac:dyDescent="0.25">
      <c r="A1664" t="s">
        <v>7935</v>
      </c>
    </row>
    <row r="1665" spans="1:1" x14ac:dyDescent="0.25">
      <c r="A1665" t="s">
        <v>7936</v>
      </c>
    </row>
    <row r="1666" spans="1:1" x14ac:dyDescent="0.25">
      <c r="A1666" t="s">
        <v>7937</v>
      </c>
    </row>
    <row r="1667" spans="1:1" x14ac:dyDescent="0.25">
      <c r="A1667" t="s">
        <v>7938</v>
      </c>
    </row>
    <row r="1668" spans="1:1" x14ac:dyDescent="0.25">
      <c r="A1668" t="s">
        <v>7939</v>
      </c>
    </row>
    <row r="1669" spans="1:1" x14ac:dyDescent="0.25">
      <c r="A1669" t="s">
        <v>7940</v>
      </c>
    </row>
    <row r="1670" spans="1:1" x14ac:dyDescent="0.25">
      <c r="A1670" t="s">
        <v>7941</v>
      </c>
    </row>
    <row r="1671" spans="1:1" x14ac:dyDescent="0.25">
      <c r="A1671" t="s">
        <v>7942</v>
      </c>
    </row>
    <row r="1672" spans="1:1" x14ac:dyDescent="0.25">
      <c r="A1672" t="s">
        <v>7943</v>
      </c>
    </row>
    <row r="1673" spans="1:1" x14ac:dyDescent="0.25">
      <c r="A1673" t="s">
        <v>7944</v>
      </c>
    </row>
    <row r="1674" spans="1:1" x14ac:dyDescent="0.25">
      <c r="A1674" t="s">
        <v>7945</v>
      </c>
    </row>
    <row r="1675" spans="1:1" x14ac:dyDescent="0.25">
      <c r="A1675" t="s">
        <v>7946</v>
      </c>
    </row>
    <row r="1676" spans="1:1" x14ac:dyDescent="0.25">
      <c r="A1676" t="s">
        <v>7947</v>
      </c>
    </row>
    <row r="1677" spans="1:1" x14ac:dyDescent="0.25">
      <c r="A1677" t="s">
        <v>7948</v>
      </c>
    </row>
    <row r="1678" spans="1:1" x14ac:dyDescent="0.25">
      <c r="A1678" t="s">
        <v>7949</v>
      </c>
    </row>
    <row r="1679" spans="1:1" x14ac:dyDescent="0.25">
      <c r="A1679" t="s">
        <v>8573</v>
      </c>
    </row>
    <row r="1680" spans="1:1" x14ac:dyDescent="0.25">
      <c r="A1680" t="s">
        <v>7950</v>
      </c>
    </row>
    <row r="1681" spans="1:1" x14ac:dyDescent="0.25">
      <c r="A1681" t="s">
        <v>7951</v>
      </c>
    </row>
    <row r="1682" spans="1:1" x14ac:dyDescent="0.25">
      <c r="A1682" t="s">
        <v>7952</v>
      </c>
    </row>
    <row r="1683" spans="1:1" x14ac:dyDescent="0.25">
      <c r="A1683" t="s">
        <v>7953</v>
      </c>
    </row>
    <row r="1684" spans="1:1" x14ac:dyDescent="0.25">
      <c r="A1684" t="s">
        <v>7954</v>
      </c>
    </row>
    <row r="1685" spans="1:1" x14ac:dyDescent="0.25">
      <c r="A1685" t="s">
        <v>7955</v>
      </c>
    </row>
    <row r="1686" spans="1:1" x14ac:dyDescent="0.25">
      <c r="A1686" t="s">
        <v>7956</v>
      </c>
    </row>
    <row r="1687" spans="1:1" x14ac:dyDescent="0.25">
      <c r="A1687" t="s">
        <v>7957</v>
      </c>
    </row>
    <row r="1688" spans="1:1" x14ac:dyDescent="0.25">
      <c r="A1688" t="s">
        <v>7958</v>
      </c>
    </row>
    <row r="1689" spans="1:1" x14ac:dyDescent="0.25">
      <c r="A1689" t="s">
        <v>7959</v>
      </c>
    </row>
    <row r="1690" spans="1:1" x14ac:dyDescent="0.25">
      <c r="A1690" t="s">
        <v>7960</v>
      </c>
    </row>
    <row r="1691" spans="1:1" x14ac:dyDescent="0.25">
      <c r="A1691" t="s">
        <v>7961</v>
      </c>
    </row>
    <row r="1692" spans="1:1" x14ac:dyDescent="0.25">
      <c r="A1692" t="s">
        <v>7962</v>
      </c>
    </row>
    <row r="1693" spans="1:1" x14ac:dyDescent="0.25">
      <c r="A1693" t="s">
        <v>7963</v>
      </c>
    </row>
    <row r="1694" spans="1:1" x14ac:dyDescent="0.25">
      <c r="A1694" t="s">
        <v>7964</v>
      </c>
    </row>
    <row r="1695" spans="1:1" x14ac:dyDescent="0.25">
      <c r="A1695" t="s">
        <v>7965</v>
      </c>
    </row>
    <row r="1696" spans="1:1" x14ac:dyDescent="0.25">
      <c r="A1696" t="s">
        <v>7966</v>
      </c>
    </row>
    <row r="1697" spans="1:1" x14ac:dyDescent="0.25">
      <c r="A1697" t="s">
        <v>7967</v>
      </c>
    </row>
    <row r="1698" spans="1:1" x14ac:dyDescent="0.25">
      <c r="A1698" t="s">
        <v>7968</v>
      </c>
    </row>
    <row r="1699" spans="1:1" x14ac:dyDescent="0.25">
      <c r="A1699" t="s">
        <v>7969</v>
      </c>
    </row>
    <row r="1700" spans="1:1" x14ac:dyDescent="0.25">
      <c r="A1700" t="s">
        <v>7362</v>
      </c>
    </row>
    <row r="1701" spans="1:1" x14ac:dyDescent="0.25">
      <c r="A1701" t="s">
        <v>7970</v>
      </c>
    </row>
    <row r="1702" spans="1:1" x14ac:dyDescent="0.25">
      <c r="A1702" t="s">
        <v>7971</v>
      </c>
    </row>
    <row r="1703" spans="1:1" x14ac:dyDescent="0.25">
      <c r="A1703" t="s">
        <v>7972</v>
      </c>
    </row>
    <row r="1704" spans="1:1" x14ac:dyDescent="0.25">
      <c r="A1704" t="s">
        <v>7973</v>
      </c>
    </row>
    <row r="1705" spans="1:1" x14ac:dyDescent="0.25">
      <c r="A1705" t="s">
        <v>7974</v>
      </c>
    </row>
    <row r="1706" spans="1:1" x14ac:dyDescent="0.25">
      <c r="A1706" t="s">
        <v>7975</v>
      </c>
    </row>
    <row r="1707" spans="1:1" x14ac:dyDescent="0.25">
      <c r="A1707" t="s">
        <v>7976</v>
      </c>
    </row>
    <row r="1708" spans="1:1" x14ac:dyDescent="0.25">
      <c r="A1708" t="s">
        <v>7977</v>
      </c>
    </row>
    <row r="1709" spans="1:1" x14ac:dyDescent="0.25">
      <c r="A1709" t="s">
        <v>7978</v>
      </c>
    </row>
    <row r="1710" spans="1:1" x14ac:dyDescent="0.25">
      <c r="A1710" t="s">
        <v>7979</v>
      </c>
    </row>
    <row r="1711" spans="1:1" x14ac:dyDescent="0.25">
      <c r="A1711" t="s">
        <v>7980</v>
      </c>
    </row>
    <row r="1712" spans="1:1" x14ac:dyDescent="0.25">
      <c r="A1712" t="s">
        <v>7981</v>
      </c>
    </row>
    <row r="1713" spans="1:1" x14ac:dyDescent="0.25">
      <c r="A1713" t="s">
        <v>7982</v>
      </c>
    </row>
    <row r="1714" spans="1:1" x14ac:dyDescent="0.25">
      <c r="A1714" t="s">
        <v>7983</v>
      </c>
    </row>
    <row r="1715" spans="1:1" x14ac:dyDescent="0.25">
      <c r="A1715" t="s">
        <v>7984</v>
      </c>
    </row>
    <row r="1716" spans="1:1" x14ac:dyDescent="0.25">
      <c r="A1716" t="s">
        <v>7985</v>
      </c>
    </row>
    <row r="1717" spans="1:1" x14ac:dyDescent="0.25">
      <c r="A1717" t="s">
        <v>7445</v>
      </c>
    </row>
    <row r="1718" spans="1:1" x14ac:dyDescent="0.25">
      <c r="A1718" t="s">
        <v>7986</v>
      </c>
    </row>
    <row r="1719" spans="1:1" x14ac:dyDescent="0.25">
      <c r="A1719" t="s">
        <v>7987</v>
      </c>
    </row>
    <row r="1720" spans="1:1" x14ac:dyDescent="0.25">
      <c r="A1720" t="s">
        <v>7988</v>
      </c>
    </row>
    <row r="1721" spans="1:1" x14ac:dyDescent="0.25">
      <c r="A1721" t="s">
        <v>7989</v>
      </c>
    </row>
    <row r="1722" spans="1:1" x14ac:dyDescent="0.25">
      <c r="A1722" t="s">
        <v>7990</v>
      </c>
    </row>
    <row r="1723" spans="1:1" x14ac:dyDescent="0.25">
      <c r="A1723" t="s">
        <v>7991</v>
      </c>
    </row>
    <row r="1724" spans="1:1" x14ac:dyDescent="0.25">
      <c r="A1724" t="s">
        <v>7992</v>
      </c>
    </row>
    <row r="1725" spans="1:1" x14ac:dyDescent="0.25">
      <c r="A1725" t="s">
        <v>7993</v>
      </c>
    </row>
    <row r="1726" spans="1:1" x14ac:dyDescent="0.25">
      <c r="A1726" t="s">
        <v>7994</v>
      </c>
    </row>
    <row r="1727" spans="1:1" x14ac:dyDescent="0.25">
      <c r="A1727" t="s">
        <v>12367</v>
      </c>
    </row>
    <row r="1728" spans="1:1" x14ac:dyDescent="0.25">
      <c r="A1728" t="s">
        <v>7995</v>
      </c>
    </row>
    <row r="1729" spans="1:1" x14ac:dyDescent="0.25">
      <c r="A1729" t="s">
        <v>7996</v>
      </c>
    </row>
    <row r="1730" spans="1:1" x14ac:dyDescent="0.25">
      <c r="A1730" t="s">
        <v>7997</v>
      </c>
    </row>
    <row r="1731" spans="1:1" x14ac:dyDescent="0.25">
      <c r="A1731" t="s">
        <v>7998</v>
      </c>
    </row>
    <row r="1732" spans="1:1" x14ac:dyDescent="0.25">
      <c r="A1732" t="s">
        <v>7999</v>
      </c>
    </row>
    <row r="1733" spans="1:1" x14ac:dyDescent="0.25">
      <c r="A1733" t="s">
        <v>8000</v>
      </c>
    </row>
    <row r="1734" spans="1:1" x14ac:dyDescent="0.25">
      <c r="A1734" t="s">
        <v>8001</v>
      </c>
    </row>
    <row r="1735" spans="1:1" x14ac:dyDescent="0.25">
      <c r="A1735" t="s">
        <v>8002</v>
      </c>
    </row>
    <row r="1736" spans="1:1" x14ac:dyDescent="0.25">
      <c r="A1736" t="s">
        <v>8003</v>
      </c>
    </row>
    <row r="1737" spans="1:1" x14ac:dyDescent="0.25">
      <c r="A1737" t="s">
        <v>8004</v>
      </c>
    </row>
    <row r="1738" spans="1:1" x14ac:dyDescent="0.25">
      <c r="A1738" t="s">
        <v>8005</v>
      </c>
    </row>
    <row r="1739" spans="1:1" x14ac:dyDescent="0.25">
      <c r="A1739" t="s">
        <v>8006</v>
      </c>
    </row>
    <row r="1740" spans="1:1" x14ac:dyDescent="0.25">
      <c r="A1740" t="s">
        <v>8007</v>
      </c>
    </row>
    <row r="1741" spans="1:1" x14ac:dyDescent="0.25">
      <c r="A1741" t="s">
        <v>8008</v>
      </c>
    </row>
    <row r="1742" spans="1:1" x14ac:dyDescent="0.25">
      <c r="A1742" t="s">
        <v>13124</v>
      </c>
    </row>
    <row r="1743" spans="1:1" x14ac:dyDescent="0.25">
      <c r="A1743" t="s">
        <v>8009</v>
      </c>
    </row>
    <row r="1744" spans="1:1" x14ac:dyDescent="0.25">
      <c r="A1744" t="s">
        <v>8010</v>
      </c>
    </row>
    <row r="1745" spans="1:1" x14ac:dyDescent="0.25">
      <c r="A1745" t="s">
        <v>8011</v>
      </c>
    </row>
    <row r="1746" spans="1:1" x14ac:dyDescent="0.25">
      <c r="A1746" t="s">
        <v>8012</v>
      </c>
    </row>
    <row r="1747" spans="1:1" x14ac:dyDescent="0.25">
      <c r="A1747" t="s">
        <v>8013</v>
      </c>
    </row>
    <row r="1748" spans="1:1" x14ac:dyDescent="0.25">
      <c r="A1748" t="s">
        <v>8014</v>
      </c>
    </row>
    <row r="1749" spans="1:1" x14ac:dyDescent="0.25">
      <c r="A1749" t="s">
        <v>8015</v>
      </c>
    </row>
    <row r="1750" spans="1:1" x14ac:dyDescent="0.25">
      <c r="A1750" t="s">
        <v>8016</v>
      </c>
    </row>
    <row r="1751" spans="1:1" x14ac:dyDescent="0.25">
      <c r="A1751" t="s">
        <v>8017</v>
      </c>
    </row>
    <row r="1752" spans="1:1" x14ac:dyDescent="0.25">
      <c r="A1752" t="s">
        <v>12373</v>
      </c>
    </row>
    <row r="1753" spans="1:1" x14ac:dyDescent="0.25">
      <c r="A1753" t="s">
        <v>12375</v>
      </c>
    </row>
    <row r="1754" spans="1:1" x14ac:dyDescent="0.25">
      <c r="A1754" t="s">
        <v>12376</v>
      </c>
    </row>
    <row r="1755" spans="1:1" x14ac:dyDescent="0.25">
      <c r="A1755" t="s">
        <v>12377</v>
      </c>
    </row>
    <row r="1756" spans="1:1" x14ac:dyDescent="0.25">
      <c r="A1756" t="s">
        <v>8821</v>
      </c>
    </row>
    <row r="1757" spans="1:1" x14ac:dyDescent="0.25">
      <c r="A1757" t="s">
        <v>12380</v>
      </c>
    </row>
    <row r="1758" spans="1:1" x14ac:dyDescent="0.25">
      <c r="A1758" t="s">
        <v>8579</v>
      </c>
    </row>
    <row r="1759" spans="1:1" x14ac:dyDescent="0.25">
      <c r="A1759" t="s">
        <v>12382</v>
      </c>
    </row>
    <row r="1760" spans="1:1" x14ac:dyDescent="0.25">
      <c r="A1760" t="s">
        <v>12383</v>
      </c>
    </row>
    <row r="1761" spans="1:1" x14ac:dyDescent="0.25">
      <c r="A1761" t="s">
        <v>12384</v>
      </c>
    </row>
    <row r="1762" spans="1:1" x14ac:dyDescent="0.25">
      <c r="A1762" t="s">
        <v>12385</v>
      </c>
    </row>
    <row r="1763" spans="1:1" x14ac:dyDescent="0.25">
      <c r="A1763" t="s">
        <v>12386</v>
      </c>
    </row>
    <row r="1764" spans="1:1" x14ac:dyDescent="0.25">
      <c r="A1764" t="s">
        <v>12387</v>
      </c>
    </row>
    <row r="1765" spans="1:1" x14ac:dyDescent="0.25">
      <c r="A1765" t="s">
        <v>8023</v>
      </c>
    </row>
    <row r="1766" spans="1:1" x14ac:dyDescent="0.25">
      <c r="A1766" t="s">
        <v>12388</v>
      </c>
    </row>
    <row r="1767" spans="1:1" x14ac:dyDescent="0.25">
      <c r="A1767" t="s">
        <v>12390</v>
      </c>
    </row>
    <row r="1768" spans="1:1" x14ac:dyDescent="0.25">
      <c r="A1768" t="s">
        <v>12391</v>
      </c>
    </row>
    <row r="1769" spans="1:1" x14ac:dyDescent="0.25">
      <c r="A1769" t="s">
        <v>12392</v>
      </c>
    </row>
    <row r="1770" spans="1:1" x14ac:dyDescent="0.25">
      <c r="A1770" t="s">
        <v>12393</v>
      </c>
    </row>
    <row r="1771" spans="1:1" x14ac:dyDescent="0.25">
      <c r="A1771" t="s">
        <v>12394</v>
      </c>
    </row>
    <row r="1772" spans="1:1" x14ac:dyDescent="0.25">
      <c r="A1772" t="s">
        <v>9460</v>
      </c>
    </row>
    <row r="1773" spans="1:1" x14ac:dyDescent="0.25">
      <c r="A1773" t="s">
        <v>12396</v>
      </c>
    </row>
    <row r="1774" spans="1:1" x14ac:dyDescent="0.25">
      <c r="A1774" t="s">
        <v>12397</v>
      </c>
    </row>
    <row r="1775" spans="1:1" x14ac:dyDescent="0.25">
      <c r="A1775" t="s">
        <v>12398</v>
      </c>
    </row>
    <row r="1776" spans="1:1" x14ac:dyDescent="0.25">
      <c r="A1776" t="s">
        <v>9461</v>
      </c>
    </row>
    <row r="1777" spans="1:1" x14ac:dyDescent="0.25">
      <c r="A1777" t="s">
        <v>12400</v>
      </c>
    </row>
    <row r="1778" spans="1:1" x14ac:dyDescent="0.25">
      <c r="A1778" t="s">
        <v>12401</v>
      </c>
    </row>
    <row r="1779" spans="1:1" x14ac:dyDescent="0.25">
      <c r="A1779" t="s">
        <v>12402</v>
      </c>
    </row>
    <row r="1780" spans="1:1" x14ac:dyDescent="0.25">
      <c r="A1780" t="s">
        <v>12403</v>
      </c>
    </row>
    <row r="1781" spans="1:1" x14ac:dyDescent="0.25">
      <c r="A1781" t="s">
        <v>12404</v>
      </c>
    </row>
    <row r="1782" spans="1:1" x14ac:dyDescent="0.25">
      <c r="A1782" t="s">
        <v>9747</v>
      </c>
    </row>
    <row r="1783" spans="1:1" x14ac:dyDescent="0.25">
      <c r="A1783" t="s">
        <v>9463</v>
      </c>
    </row>
    <row r="1784" spans="1:1" x14ac:dyDescent="0.25">
      <c r="A1784" t="s">
        <v>12405</v>
      </c>
    </row>
    <row r="1785" spans="1:1" x14ac:dyDescent="0.25">
      <c r="A1785" t="s">
        <v>12406</v>
      </c>
    </row>
    <row r="1786" spans="1:1" x14ac:dyDescent="0.25">
      <c r="A1786" t="s">
        <v>12407</v>
      </c>
    </row>
    <row r="1787" spans="1:1" x14ac:dyDescent="0.25">
      <c r="A1787" t="s">
        <v>12408</v>
      </c>
    </row>
    <row r="1788" spans="1:1" x14ac:dyDescent="0.25">
      <c r="A1788" t="s">
        <v>12409</v>
      </c>
    </row>
    <row r="1789" spans="1:1" x14ac:dyDescent="0.25">
      <c r="A1789" t="s">
        <v>12410</v>
      </c>
    </row>
    <row r="1790" spans="1:1" x14ac:dyDescent="0.25">
      <c r="A1790" t="s">
        <v>12411</v>
      </c>
    </row>
    <row r="1791" spans="1:1" x14ac:dyDescent="0.25">
      <c r="A1791" t="s">
        <v>9465</v>
      </c>
    </row>
    <row r="1792" spans="1:1" x14ac:dyDescent="0.25">
      <c r="A1792" t="s">
        <v>12413</v>
      </c>
    </row>
    <row r="1793" spans="1:1" x14ac:dyDescent="0.25">
      <c r="A1793" t="s">
        <v>12414</v>
      </c>
    </row>
    <row r="1794" spans="1:1" x14ac:dyDescent="0.25">
      <c r="A1794" t="s">
        <v>12415</v>
      </c>
    </row>
    <row r="1795" spans="1:1" x14ac:dyDescent="0.25">
      <c r="A1795" t="s">
        <v>12416</v>
      </c>
    </row>
    <row r="1796" spans="1:1" x14ac:dyDescent="0.25">
      <c r="A1796" t="s">
        <v>12417</v>
      </c>
    </row>
    <row r="1797" spans="1:1" x14ac:dyDescent="0.25">
      <c r="A1797" t="s">
        <v>12419</v>
      </c>
    </row>
    <row r="1798" spans="1:1" x14ac:dyDescent="0.25">
      <c r="A1798" t="s">
        <v>12420</v>
      </c>
    </row>
    <row r="1799" spans="1:1" x14ac:dyDescent="0.25">
      <c r="A1799" t="s">
        <v>12421</v>
      </c>
    </row>
    <row r="1800" spans="1:1" x14ac:dyDescent="0.25">
      <c r="A1800" t="s">
        <v>12422</v>
      </c>
    </row>
    <row r="1801" spans="1:1" x14ac:dyDescent="0.25">
      <c r="A1801" t="s">
        <v>12423</v>
      </c>
    </row>
    <row r="1802" spans="1:1" x14ac:dyDescent="0.25">
      <c r="A1802" t="s">
        <v>9466</v>
      </c>
    </row>
    <row r="1803" spans="1:1" x14ac:dyDescent="0.25">
      <c r="A1803" t="s">
        <v>12424</v>
      </c>
    </row>
    <row r="1804" spans="1:1" x14ac:dyDescent="0.25">
      <c r="A1804" t="s">
        <v>12425</v>
      </c>
    </row>
    <row r="1805" spans="1:1" x14ac:dyDescent="0.25">
      <c r="A1805" t="s">
        <v>12426</v>
      </c>
    </row>
    <row r="1806" spans="1:1" x14ac:dyDescent="0.25">
      <c r="A1806" t="s">
        <v>12427</v>
      </c>
    </row>
    <row r="1807" spans="1:1" x14ac:dyDescent="0.25">
      <c r="A1807" t="s">
        <v>12428</v>
      </c>
    </row>
    <row r="1808" spans="1:1" x14ac:dyDescent="0.25">
      <c r="A1808" t="s">
        <v>12429</v>
      </c>
    </row>
    <row r="1809" spans="1:1" x14ac:dyDescent="0.25">
      <c r="A1809" t="s">
        <v>12430</v>
      </c>
    </row>
    <row r="1810" spans="1:1" x14ac:dyDescent="0.25">
      <c r="A1810" t="s">
        <v>12431</v>
      </c>
    </row>
    <row r="1811" spans="1:1" x14ac:dyDescent="0.25">
      <c r="A1811" t="s">
        <v>12432</v>
      </c>
    </row>
    <row r="1812" spans="1:1" x14ac:dyDescent="0.25">
      <c r="A1812" t="s">
        <v>12433</v>
      </c>
    </row>
    <row r="1813" spans="1:1" x14ac:dyDescent="0.25">
      <c r="A1813" t="s">
        <v>12434</v>
      </c>
    </row>
    <row r="1814" spans="1:1" x14ac:dyDescent="0.25">
      <c r="A1814" t="s">
        <v>9749</v>
      </c>
    </row>
    <row r="1815" spans="1:1" x14ac:dyDescent="0.25">
      <c r="A1815" t="s">
        <v>12435</v>
      </c>
    </row>
    <row r="1816" spans="1:1" x14ac:dyDescent="0.25">
      <c r="A1816" t="s">
        <v>8029</v>
      </c>
    </row>
    <row r="1817" spans="1:1" x14ac:dyDescent="0.25">
      <c r="A1817" t="s">
        <v>12437</v>
      </c>
    </row>
    <row r="1818" spans="1:1" x14ac:dyDescent="0.25">
      <c r="A1818" t="s">
        <v>12438</v>
      </c>
    </row>
    <row r="1819" spans="1:1" x14ac:dyDescent="0.25">
      <c r="A1819" t="s">
        <v>8030</v>
      </c>
    </row>
    <row r="1820" spans="1:1" x14ac:dyDescent="0.25">
      <c r="A1820" t="s">
        <v>13125</v>
      </c>
    </row>
    <row r="1821" spans="1:1" x14ac:dyDescent="0.25">
      <c r="A1821" t="s">
        <v>12439</v>
      </c>
    </row>
    <row r="1822" spans="1:1" x14ac:dyDescent="0.25">
      <c r="A1822" t="s">
        <v>12440</v>
      </c>
    </row>
    <row r="1823" spans="1:1" x14ac:dyDescent="0.25">
      <c r="A1823" t="s">
        <v>12445</v>
      </c>
    </row>
    <row r="1824" spans="1:1" x14ac:dyDescent="0.25">
      <c r="A1824" t="s">
        <v>12448</v>
      </c>
    </row>
    <row r="1825" spans="1:1" x14ac:dyDescent="0.25">
      <c r="A1825" t="s">
        <v>12449</v>
      </c>
    </row>
    <row r="1826" spans="1:1" x14ac:dyDescent="0.25">
      <c r="A1826" t="s">
        <v>12450</v>
      </c>
    </row>
    <row r="1827" spans="1:1" x14ac:dyDescent="0.25">
      <c r="A1827" t="s">
        <v>12452</v>
      </c>
    </row>
    <row r="1828" spans="1:1" x14ac:dyDescent="0.25">
      <c r="A1828" t="s">
        <v>12453</v>
      </c>
    </row>
    <row r="1829" spans="1:1" x14ac:dyDescent="0.25">
      <c r="A1829" t="s">
        <v>12455</v>
      </c>
    </row>
    <row r="1830" spans="1:1" x14ac:dyDescent="0.25">
      <c r="A1830" t="s">
        <v>12456</v>
      </c>
    </row>
    <row r="1831" spans="1:1" x14ac:dyDescent="0.25">
      <c r="A1831" t="s">
        <v>12457</v>
      </c>
    </row>
    <row r="1832" spans="1:1" x14ac:dyDescent="0.25">
      <c r="A1832" t="s">
        <v>12458</v>
      </c>
    </row>
    <row r="1833" spans="1:1" x14ac:dyDescent="0.25">
      <c r="A1833" t="s">
        <v>8594</v>
      </c>
    </row>
    <row r="1834" spans="1:1" x14ac:dyDescent="0.25">
      <c r="A1834" t="s">
        <v>12459</v>
      </c>
    </row>
    <row r="1835" spans="1:1" x14ac:dyDescent="0.25">
      <c r="A1835" t="s">
        <v>12460</v>
      </c>
    </row>
    <row r="1836" spans="1:1" x14ac:dyDescent="0.25">
      <c r="A1836" t="s">
        <v>12461</v>
      </c>
    </row>
    <row r="1837" spans="1:1" x14ac:dyDescent="0.25">
      <c r="A1837" t="s">
        <v>12462</v>
      </c>
    </row>
    <row r="1838" spans="1:1" x14ac:dyDescent="0.25">
      <c r="A1838" t="s">
        <v>12463</v>
      </c>
    </row>
    <row r="1839" spans="1:1" x14ac:dyDescent="0.25">
      <c r="A1839" t="s">
        <v>12464</v>
      </c>
    </row>
    <row r="1840" spans="1:1" x14ac:dyDescent="0.25">
      <c r="A1840" t="s">
        <v>12465</v>
      </c>
    </row>
    <row r="1841" spans="1:1" x14ac:dyDescent="0.25">
      <c r="A1841" t="s">
        <v>12466</v>
      </c>
    </row>
    <row r="1842" spans="1:1" x14ac:dyDescent="0.25">
      <c r="A1842" t="s">
        <v>12470</v>
      </c>
    </row>
    <row r="1843" spans="1:1" x14ac:dyDescent="0.25">
      <c r="A1843" t="s">
        <v>12471</v>
      </c>
    </row>
    <row r="1844" spans="1:1" x14ac:dyDescent="0.25">
      <c r="A1844" t="s">
        <v>12473</v>
      </c>
    </row>
    <row r="1845" spans="1:1" x14ac:dyDescent="0.25">
      <c r="A1845" t="s">
        <v>12474</v>
      </c>
    </row>
    <row r="1846" spans="1:1" x14ac:dyDescent="0.25">
      <c r="A1846" t="s">
        <v>12475</v>
      </c>
    </row>
    <row r="1847" spans="1:1" x14ac:dyDescent="0.25">
      <c r="A1847" t="s">
        <v>12476</v>
      </c>
    </row>
    <row r="1848" spans="1:1" x14ac:dyDescent="0.25">
      <c r="A1848" t="s">
        <v>12477</v>
      </c>
    </row>
    <row r="1849" spans="1:1" x14ac:dyDescent="0.25">
      <c r="A1849" t="s">
        <v>12480</v>
      </c>
    </row>
    <row r="1850" spans="1:1" x14ac:dyDescent="0.25">
      <c r="A1850" t="s">
        <v>12481</v>
      </c>
    </row>
    <row r="1851" spans="1:1" x14ac:dyDescent="0.25">
      <c r="A1851" t="s">
        <v>12482</v>
      </c>
    </row>
    <row r="1852" spans="1:1" x14ac:dyDescent="0.25">
      <c r="A1852" t="s">
        <v>12484</v>
      </c>
    </row>
    <row r="1853" spans="1:1" x14ac:dyDescent="0.25">
      <c r="A1853" t="s">
        <v>12485</v>
      </c>
    </row>
    <row r="1854" spans="1:1" x14ac:dyDescent="0.25">
      <c r="A1854" t="s">
        <v>12486</v>
      </c>
    </row>
    <row r="1855" spans="1:1" x14ac:dyDescent="0.25">
      <c r="A1855" t="s">
        <v>12487</v>
      </c>
    </row>
    <row r="1856" spans="1:1" x14ac:dyDescent="0.25">
      <c r="A1856" t="s">
        <v>12488</v>
      </c>
    </row>
    <row r="1857" spans="1:1" x14ac:dyDescent="0.25">
      <c r="A1857" t="s">
        <v>12489</v>
      </c>
    </row>
    <row r="1858" spans="1:1" x14ac:dyDescent="0.25">
      <c r="A1858" t="s">
        <v>9752</v>
      </c>
    </row>
    <row r="1859" spans="1:1" x14ac:dyDescent="0.25">
      <c r="A1859" t="s">
        <v>12491</v>
      </c>
    </row>
    <row r="1860" spans="1:1" x14ac:dyDescent="0.25">
      <c r="A1860" t="s">
        <v>9476</v>
      </c>
    </row>
    <row r="1861" spans="1:1" x14ac:dyDescent="0.25">
      <c r="A1861" t="s">
        <v>12493</v>
      </c>
    </row>
    <row r="1862" spans="1:1" x14ac:dyDescent="0.25">
      <c r="A1862" t="s">
        <v>13126</v>
      </c>
    </row>
    <row r="1863" spans="1:1" x14ac:dyDescent="0.25">
      <c r="A1863" t="s">
        <v>13127</v>
      </c>
    </row>
    <row r="1864" spans="1:1" x14ac:dyDescent="0.25">
      <c r="A1864" t="s">
        <v>12494</v>
      </c>
    </row>
    <row r="1865" spans="1:1" x14ac:dyDescent="0.25">
      <c r="A1865" t="s">
        <v>12495</v>
      </c>
    </row>
    <row r="1866" spans="1:1" x14ac:dyDescent="0.25">
      <c r="A1866" t="s">
        <v>12496</v>
      </c>
    </row>
    <row r="1867" spans="1:1" x14ac:dyDescent="0.25">
      <c r="A1867" t="s">
        <v>12498</v>
      </c>
    </row>
    <row r="1868" spans="1:1" x14ac:dyDescent="0.25">
      <c r="A1868" t="s">
        <v>12499</v>
      </c>
    </row>
    <row r="1869" spans="1:1" x14ac:dyDescent="0.25">
      <c r="A1869" t="s">
        <v>12500</v>
      </c>
    </row>
    <row r="1870" spans="1:1" x14ac:dyDescent="0.25">
      <c r="A1870" t="s">
        <v>12501</v>
      </c>
    </row>
    <row r="1871" spans="1:1" x14ac:dyDescent="0.25">
      <c r="A1871" t="s">
        <v>12502</v>
      </c>
    </row>
    <row r="1872" spans="1:1" x14ac:dyDescent="0.25">
      <c r="A1872" t="s">
        <v>12503</v>
      </c>
    </row>
    <row r="1873" spans="1:1" x14ac:dyDescent="0.25">
      <c r="A1873" t="s">
        <v>12504</v>
      </c>
    </row>
    <row r="1874" spans="1:1" x14ac:dyDescent="0.25">
      <c r="A1874" t="s">
        <v>12505</v>
      </c>
    </row>
    <row r="1875" spans="1:1" x14ac:dyDescent="0.25">
      <c r="A1875" t="s">
        <v>12506</v>
      </c>
    </row>
    <row r="1876" spans="1:1" x14ac:dyDescent="0.25">
      <c r="A1876" t="s">
        <v>12507</v>
      </c>
    </row>
    <row r="1877" spans="1:1" x14ac:dyDescent="0.25">
      <c r="A1877" t="s">
        <v>12508</v>
      </c>
    </row>
    <row r="1878" spans="1:1" x14ac:dyDescent="0.25">
      <c r="A1878" t="s">
        <v>12510</v>
      </c>
    </row>
    <row r="1879" spans="1:1" x14ac:dyDescent="0.25">
      <c r="A1879" t="s">
        <v>8604</v>
      </c>
    </row>
    <row r="1880" spans="1:1" x14ac:dyDescent="0.25">
      <c r="A1880" t="s">
        <v>12511</v>
      </c>
    </row>
    <row r="1881" spans="1:1" x14ac:dyDescent="0.25">
      <c r="A1881" t="s">
        <v>12512</v>
      </c>
    </row>
    <row r="1882" spans="1:1" x14ac:dyDescent="0.25">
      <c r="A1882" t="s">
        <v>12513</v>
      </c>
    </row>
    <row r="1883" spans="1:1" x14ac:dyDescent="0.25">
      <c r="A1883" t="s">
        <v>12514</v>
      </c>
    </row>
    <row r="1884" spans="1:1" x14ac:dyDescent="0.25">
      <c r="A1884" t="s">
        <v>12515</v>
      </c>
    </row>
    <row r="1885" spans="1:1" x14ac:dyDescent="0.25">
      <c r="A1885" t="s">
        <v>12518</v>
      </c>
    </row>
    <row r="1886" spans="1:1" x14ac:dyDescent="0.25">
      <c r="A1886" t="s">
        <v>12519</v>
      </c>
    </row>
    <row r="1887" spans="1:1" x14ac:dyDescent="0.25">
      <c r="A1887" t="s">
        <v>12520</v>
      </c>
    </row>
    <row r="1888" spans="1:1" x14ac:dyDescent="0.25">
      <c r="A1888" t="s">
        <v>12521</v>
      </c>
    </row>
    <row r="1889" spans="1:1" x14ac:dyDescent="0.25">
      <c r="A1889" t="s">
        <v>13128</v>
      </c>
    </row>
    <row r="1890" spans="1:1" x14ac:dyDescent="0.25">
      <c r="A1890" t="s">
        <v>12522</v>
      </c>
    </row>
    <row r="1891" spans="1:1" x14ac:dyDescent="0.25">
      <c r="A1891" t="s">
        <v>12523</v>
      </c>
    </row>
    <row r="1892" spans="1:1" x14ac:dyDescent="0.25">
      <c r="A1892" t="s">
        <v>12524</v>
      </c>
    </row>
    <row r="1893" spans="1:1" x14ac:dyDescent="0.25">
      <c r="A1893" t="s">
        <v>12525</v>
      </c>
    </row>
    <row r="1894" spans="1:1" x14ac:dyDescent="0.25">
      <c r="A1894" t="s">
        <v>12526</v>
      </c>
    </row>
    <row r="1895" spans="1:1" x14ac:dyDescent="0.25">
      <c r="A1895" t="s">
        <v>12527</v>
      </c>
    </row>
    <row r="1896" spans="1:1" x14ac:dyDescent="0.25">
      <c r="A1896" t="s">
        <v>12528</v>
      </c>
    </row>
    <row r="1897" spans="1:1" x14ac:dyDescent="0.25">
      <c r="A1897" t="s">
        <v>12529</v>
      </c>
    </row>
    <row r="1898" spans="1:1" x14ac:dyDescent="0.25">
      <c r="A1898" t="s">
        <v>12530</v>
      </c>
    </row>
    <row r="1899" spans="1:1" x14ac:dyDescent="0.25">
      <c r="A1899" t="s">
        <v>12531</v>
      </c>
    </row>
    <row r="1900" spans="1:1" x14ac:dyDescent="0.25">
      <c r="A1900" t="s">
        <v>12532</v>
      </c>
    </row>
    <row r="1901" spans="1:1" x14ac:dyDescent="0.25">
      <c r="A1901" t="s">
        <v>12533</v>
      </c>
    </row>
    <row r="1902" spans="1:1" x14ac:dyDescent="0.25">
      <c r="A1902" t="s">
        <v>12534</v>
      </c>
    </row>
    <row r="1903" spans="1:1" x14ac:dyDescent="0.25">
      <c r="A1903" t="s">
        <v>12535</v>
      </c>
    </row>
    <row r="1904" spans="1:1" x14ac:dyDescent="0.25">
      <c r="A1904" t="s">
        <v>12538</v>
      </c>
    </row>
    <row r="1905" spans="1:1" x14ac:dyDescent="0.25">
      <c r="A1905" t="s">
        <v>9482</v>
      </c>
    </row>
    <row r="1906" spans="1:1" x14ac:dyDescent="0.25">
      <c r="A1906" t="s">
        <v>12540</v>
      </c>
    </row>
    <row r="1907" spans="1:1" x14ac:dyDescent="0.25">
      <c r="A1907" t="s">
        <v>12541</v>
      </c>
    </row>
    <row r="1908" spans="1:1" x14ac:dyDescent="0.25">
      <c r="A1908" t="s">
        <v>12542</v>
      </c>
    </row>
    <row r="1909" spans="1:1" x14ac:dyDescent="0.25">
      <c r="A1909" t="s">
        <v>13129</v>
      </c>
    </row>
    <row r="1910" spans="1:1" x14ac:dyDescent="0.25">
      <c r="A1910" t="s">
        <v>12543</v>
      </c>
    </row>
    <row r="1911" spans="1:1" x14ac:dyDescent="0.25">
      <c r="A1911" t="s">
        <v>12544</v>
      </c>
    </row>
    <row r="1912" spans="1:1" x14ac:dyDescent="0.25">
      <c r="A1912" t="s">
        <v>12545</v>
      </c>
    </row>
    <row r="1913" spans="1:1" x14ac:dyDescent="0.25">
      <c r="A1913" t="s">
        <v>12547</v>
      </c>
    </row>
    <row r="1914" spans="1:1" x14ac:dyDescent="0.25">
      <c r="A1914" t="s">
        <v>12548</v>
      </c>
    </row>
    <row r="1915" spans="1:1" x14ac:dyDescent="0.25">
      <c r="A1915" t="s">
        <v>12550</v>
      </c>
    </row>
    <row r="1916" spans="1:1" x14ac:dyDescent="0.25">
      <c r="A1916" t="s">
        <v>12552</v>
      </c>
    </row>
    <row r="1917" spans="1:1" x14ac:dyDescent="0.25">
      <c r="A1917" t="s">
        <v>12553</v>
      </c>
    </row>
    <row r="1918" spans="1:1" x14ac:dyDescent="0.25">
      <c r="A1918" t="s">
        <v>12554</v>
      </c>
    </row>
    <row r="1919" spans="1:1" x14ac:dyDescent="0.25">
      <c r="A1919" t="s">
        <v>12555</v>
      </c>
    </row>
    <row r="1920" spans="1:1" x14ac:dyDescent="0.25">
      <c r="A1920" t="s">
        <v>12556</v>
      </c>
    </row>
    <row r="1921" spans="1:1" x14ac:dyDescent="0.25">
      <c r="A1921" t="s">
        <v>12557</v>
      </c>
    </row>
    <row r="1922" spans="1:1" x14ac:dyDescent="0.25">
      <c r="A1922" t="s">
        <v>12558</v>
      </c>
    </row>
    <row r="1923" spans="1:1" x14ac:dyDescent="0.25">
      <c r="A1923" t="s">
        <v>12559</v>
      </c>
    </row>
    <row r="1924" spans="1:1" x14ac:dyDescent="0.25">
      <c r="A1924" t="s">
        <v>12560</v>
      </c>
    </row>
    <row r="1925" spans="1:1" x14ac:dyDescent="0.25">
      <c r="A1925" t="s">
        <v>12561</v>
      </c>
    </row>
    <row r="1926" spans="1:1" x14ac:dyDescent="0.25">
      <c r="A1926" t="s">
        <v>8608</v>
      </c>
    </row>
    <row r="1927" spans="1:1" x14ac:dyDescent="0.25">
      <c r="A1927" t="s">
        <v>12562</v>
      </c>
    </row>
    <row r="1928" spans="1:1" x14ac:dyDescent="0.25">
      <c r="A1928" t="s">
        <v>12563</v>
      </c>
    </row>
    <row r="1929" spans="1:1" x14ac:dyDescent="0.25">
      <c r="A1929" t="s">
        <v>12564</v>
      </c>
    </row>
    <row r="1930" spans="1:1" x14ac:dyDescent="0.25">
      <c r="A1930" t="s">
        <v>12565</v>
      </c>
    </row>
    <row r="1931" spans="1:1" x14ac:dyDescent="0.25">
      <c r="A1931" t="s">
        <v>12566</v>
      </c>
    </row>
    <row r="1932" spans="1:1" x14ac:dyDescent="0.25">
      <c r="A1932" t="s">
        <v>12568</v>
      </c>
    </row>
    <row r="1933" spans="1:1" x14ac:dyDescent="0.25">
      <c r="A1933" t="s">
        <v>12569</v>
      </c>
    </row>
    <row r="1934" spans="1:1" x14ac:dyDescent="0.25">
      <c r="A1934" t="s">
        <v>12570</v>
      </c>
    </row>
    <row r="1935" spans="1:1" x14ac:dyDescent="0.25">
      <c r="A1935" t="s">
        <v>12571</v>
      </c>
    </row>
    <row r="1936" spans="1:1" x14ac:dyDescent="0.25">
      <c r="A1936" t="s">
        <v>12572</v>
      </c>
    </row>
    <row r="1937" spans="1:1" x14ac:dyDescent="0.25">
      <c r="A1937" t="s">
        <v>8610</v>
      </c>
    </row>
    <row r="1938" spans="1:1" x14ac:dyDescent="0.25">
      <c r="A1938" t="s">
        <v>12573</v>
      </c>
    </row>
    <row r="1939" spans="1:1" x14ac:dyDescent="0.25">
      <c r="A1939" t="s">
        <v>12574</v>
      </c>
    </row>
    <row r="1940" spans="1:1" x14ac:dyDescent="0.25">
      <c r="A1940" t="s">
        <v>12575</v>
      </c>
    </row>
    <row r="1941" spans="1:1" x14ac:dyDescent="0.25">
      <c r="A1941" t="s">
        <v>12577</v>
      </c>
    </row>
    <row r="1942" spans="1:1" x14ac:dyDescent="0.25">
      <c r="A1942" t="s">
        <v>12579</v>
      </c>
    </row>
    <row r="1943" spans="1:1" x14ac:dyDescent="0.25">
      <c r="A1943" t="s">
        <v>12581</v>
      </c>
    </row>
    <row r="1944" spans="1:1" x14ac:dyDescent="0.25">
      <c r="A1944" t="s">
        <v>12583</v>
      </c>
    </row>
    <row r="1945" spans="1:1" x14ac:dyDescent="0.25">
      <c r="A1945" t="s">
        <v>12584</v>
      </c>
    </row>
    <row r="1946" spans="1:1" x14ac:dyDescent="0.25">
      <c r="A1946" t="s">
        <v>12585</v>
      </c>
    </row>
    <row r="1947" spans="1:1" x14ac:dyDescent="0.25">
      <c r="A1947" t="s">
        <v>9490</v>
      </c>
    </row>
    <row r="1948" spans="1:1" x14ac:dyDescent="0.25">
      <c r="A1948" t="s">
        <v>12587</v>
      </c>
    </row>
    <row r="1949" spans="1:1" x14ac:dyDescent="0.25">
      <c r="A1949" t="s">
        <v>12588</v>
      </c>
    </row>
    <row r="1950" spans="1:1" x14ac:dyDescent="0.25">
      <c r="A1950" t="s">
        <v>12589</v>
      </c>
    </row>
    <row r="1951" spans="1:1" x14ac:dyDescent="0.25">
      <c r="A1951" t="s">
        <v>12590</v>
      </c>
    </row>
    <row r="1952" spans="1:1" x14ac:dyDescent="0.25">
      <c r="A1952" t="s">
        <v>12591</v>
      </c>
    </row>
    <row r="1953" spans="1:1" x14ac:dyDescent="0.25">
      <c r="A1953" t="s">
        <v>12592</v>
      </c>
    </row>
    <row r="1954" spans="1:1" x14ac:dyDescent="0.25">
      <c r="A1954" t="s">
        <v>12593</v>
      </c>
    </row>
    <row r="1955" spans="1:1" x14ac:dyDescent="0.25">
      <c r="A1955" t="s">
        <v>12594</v>
      </c>
    </row>
    <row r="1956" spans="1:1" x14ac:dyDescent="0.25">
      <c r="A1956" t="s">
        <v>12595</v>
      </c>
    </row>
    <row r="1957" spans="1:1" x14ac:dyDescent="0.25">
      <c r="A1957" t="s">
        <v>12596</v>
      </c>
    </row>
    <row r="1958" spans="1:1" x14ac:dyDescent="0.25">
      <c r="A1958" t="s">
        <v>12597</v>
      </c>
    </row>
    <row r="1959" spans="1:1" x14ac:dyDescent="0.25">
      <c r="A1959" t="s">
        <v>13130</v>
      </c>
    </row>
    <row r="1960" spans="1:1" x14ac:dyDescent="0.25">
      <c r="A1960" t="s">
        <v>12599</v>
      </c>
    </row>
    <row r="1961" spans="1:1" x14ac:dyDescent="0.25">
      <c r="A1961" t="s">
        <v>12600</v>
      </c>
    </row>
    <row r="1962" spans="1:1" x14ac:dyDescent="0.25">
      <c r="A1962" t="s">
        <v>12601</v>
      </c>
    </row>
    <row r="1963" spans="1:1" x14ac:dyDescent="0.25">
      <c r="A1963" t="s">
        <v>12602</v>
      </c>
    </row>
    <row r="1964" spans="1:1" x14ac:dyDescent="0.25">
      <c r="A1964" t="s">
        <v>12603</v>
      </c>
    </row>
    <row r="1965" spans="1:1" x14ac:dyDescent="0.25">
      <c r="A1965" t="s">
        <v>12604</v>
      </c>
    </row>
    <row r="1966" spans="1:1" x14ac:dyDescent="0.25">
      <c r="A1966" t="s">
        <v>12605</v>
      </c>
    </row>
    <row r="1967" spans="1:1" x14ac:dyDescent="0.25">
      <c r="A1967" t="s">
        <v>9498</v>
      </c>
    </row>
    <row r="1968" spans="1:1" x14ac:dyDescent="0.25">
      <c r="A1968" t="s">
        <v>12606</v>
      </c>
    </row>
    <row r="1969" spans="1:1" x14ac:dyDescent="0.25">
      <c r="A1969" t="s">
        <v>9998</v>
      </c>
    </row>
    <row r="1970" spans="1:1" x14ac:dyDescent="0.25">
      <c r="A1970" t="s">
        <v>12609</v>
      </c>
    </row>
    <row r="1971" spans="1:1" x14ac:dyDescent="0.25">
      <c r="A1971" t="s">
        <v>12612</v>
      </c>
    </row>
    <row r="1972" spans="1:1" x14ac:dyDescent="0.25">
      <c r="A1972" t="s">
        <v>12616</v>
      </c>
    </row>
    <row r="1973" spans="1:1" x14ac:dyDescent="0.25">
      <c r="A1973" t="s">
        <v>12617</v>
      </c>
    </row>
    <row r="1974" spans="1:1" x14ac:dyDescent="0.25">
      <c r="A1974" t="s">
        <v>12618</v>
      </c>
    </row>
    <row r="1975" spans="1:1" x14ac:dyDescent="0.25">
      <c r="A1975" t="s">
        <v>12620</v>
      </c>
    </row>
    <row r="1976" spans="1:1" x14ac:dyDescent="0.25">
      <c r="A1976" t="s">
        <v>12621</v>
      </c>
    </row>
    <row r="1977" spans="1:1" x14ac:dyDescent="0.25">
      <c r="A1977" t="s">
        <v>12622</v>
      </c>
    </row>
    <row r="1978" spans="1:1" x14ac:dyDescent="0.25">
      <c r="A1978" t="s">
        <v>12623</v>
      </c>
    </row>
    <row r="1979" spans="1:1" x14ac:dyDescent="0.25">
      <c r="A1979" t="s">
        <v>12624</v>
      </c>
    </row>
    <row r="1980" spans="1:1" x14ac:dyDescent="0.25">
      <c r="A1980" t="s">
        <v>8826</v>
      </c>
    </row>
    <row r="1981" spans="1:1" x14ac:dyDescent="0.25">
      <c r="A1981" t="s">
        <v>12625</v>
      </c>
    </row>
    <row r="1982" spans="1:1" x14ac:dyDescent="0.25">
      <c r="A1982" t="s">
        <v>12626</v>
      </c>
    </row>
    <row r="1983" spans="1:1" x14ac:dyDescent="0.25">
      <c r="A1983" t="s">
        <v>12627</v>
      </c>
    </row>
    <row r="1984" spans="1:1" x14ac:dyDescent="0.25">
      <c r="A1984" t="s">
        <v>12628</v>
      </c>
    </row>
    <row r="1985" spans="1:1" x14ac:dyDescent="0.25">
      <c r="A1985" t="s">
        <v>12629</v>
      </c>
    </row>
    <row r="1986" spans="1:1" x14ac:dyDescent="0.25">
      <c r="A1986" t="s">
        <v>12630</v>
      </c>
    </row>
    <row r="1987" spans="1:1" x14ac:dyDescent="0.25">
      <c r="A1987" t="s">
        <v>12631</v>
      </c>
    </row>
    <row r="1988" spans="1:1" x14ac:dyDescent="0.25">
      <c r="A1988" t="s">
        <v>12632</v>
      </c>
    </row>
    <row r="1989" spans="1:1" x14ac:dyDescent="0.25">
      <c r="A1989" t="s">
        <v>8765</v>
      </c>
    </row>
    <row r="1990" spans="1:1" x14ac:dyDescent="0.25">
      <c r="A1990" t="s">
        <v>12633</v>
      </c>
    </row>
    <row r="1991" spans="1:1" x14ac:dyDescent="0.25">
      <c r="A1991" t="s">
        <v>12634</v>
      </c>
    </row>
    <row r="1992" spans="1:1" x14ac:dyDescent="0.25">
      <c r="A1992" t="s">
        <v>9506</v>
      </c>
    </row>
    <row r="1993" spans="1:1" x14ac:dyDescent="0.25">
      <c r="A1993" t="s">
        <v>12635</v>
      </c>
    </row>
    <row r="1994" spans="1:1" x14ac:dyDescent="0.25">
      <c r="A1994" t="s">
        <v>12636</v>
      </c>
    </row>
    <row r="1995" spans="1:1" x14ac:dyDescent="0.25">
      <c r="A1995" t="s">
        <v>12637</v>
      </c>
    </row>
    <row r="1996" spans="1:1" x14ac:dyDescent="0.25">
      <c r="A1996" t="s">
        <v>12638</v>
      </c>
    </row>
    <row r="1997" spans="1:1" x14ac:dyDescent="0.25">
      <c r="A1997" t="s">
        <v>12639</v>
      </c>
    </row>
    <row r="1998" spans="1:1" x14ac:dyDescent="0.25">
      <c r="A1998" t="s">
        <v>12640</v>
      </c>
    </row>
    <row r="1999" spans="1:1" x14ac:dyDescent="0.25">
      <c r="A1999" t="s">
        <v>12641</v>
      </c>
    </row>
    <row r="2000" spans="1:1" x14ac:dyDescent="0.25">
      <c r="A2000" t="s">
        <v>12642</v>
      </c>
    </row>
    <row r="2001" spans="1:1" x14ac:dyDescent="0.25">
      <c r="A2001" t="s">
        <v>12643</v>
      </c>
    </row>
    <row r="2002" spans="1:1" x14ac:dyDescent="0.25">
      <c r="A2002" t="s">
        <v>12644</v>
      </c>
    </row>
    <row r="2003" spans="1:1" x14ac:dyDescent="0.25">
      <c r="A2003" t="s">
        <v>12645</v>
      </c>
    </row>
    <row r="2004" spans="1:1" x14ac:dyDescent="0.25">
      <c r="A2004" t="s">
        <v>12646</v>
      </c>
    </row>
    <row r="2005" spans="1:1" x14ac:dyDescent="0.25">
      <c r="A2005" t="s">
        <v>12647</v>
      </c>
    </row>
    <row r="2006" spans="1:1" x14ac:dyDescent="0.25">
      <c r="A2006" t="s">
        <v>12648</v>
      </c>
    </row>
    <row r="2007" spans="1:1" x14ac:dyDescent="0.25">
      <c r="A2007" t="s">
        <v>12649</v>
      </c>
    </row>
    <row r="2008" spans="1:1" x14ac:dyDescent="0.25">
      <c r="A2008" t="s">
        <v>12650</v>
      </c>
    </row>
    <row r="2009" spans="1:1" x14ac:dyDescent="0.25">
      <c r="A2009" t="s">
        <v>12651</v>
      </c>
    </row>
    <row r="2010" spans="1:1" x14ac:dyDescent="0.25">
      <c r="A2010" t="s">
        <v>12652</v>
      </c>
    </row>
    <row r="2011" spans="1:1" x14ac:dyDescent="0.25">
      <c r="A2011" t="s">
        <v>12653</v>
      </c>
    </row>
    <row r="2012" spans="1:1" x14ac:dyDescent="0.25">
      <c r="A2012" t="s">
        <v>12655</v>
      </c>
    </row>
    <row r="2013" spans="1:1" x14ac:dyDescent="0.25">
      <c r="A2013" t="s">
        <v>12656</v>
      </c>
    </row>
    <row r="2014" spans="1:1" x14ac:dyDescent="0.25">
      <c r="A2014" t="s">
        <v>12657</v>
      </c>
    </row>
    <row r="2015" spans="1:1" x14ac:dyDescent="0.25">
      <c r="A2015" t="s">
        <v>12658</v>
      </c>
    </row>
    <row r="2016" spans="1:1" x14ac:dyDescent="0.25">
      <c r="A2016" t="s">
        <v>12659</v>
      </c>
    </row>
    <row r="2017" spans="1:1" x14ac:dyDescent="0.25">
      <c r="A2017" t="s">
        <v>12661</v>
      </c>
    </row>
    <row r="2018" spans="1:1" x14ac:dyDescent="0.25">
      <c r="A2018" t="s">
        <v>12662</v>
      </c>
    </row>
    <row r="2019" spans="1:1" x14ac:dyDescent="0.25">
      <c r="A2019" t="s">
        <v>12663</v>
      </c>
    </row>
    <row r="2020" spans="1:1" x14ac:dyDescent="0.25">
      <c r="A2020" t="s">
        <v>12664</v>
      </c>
    </row>
    <row r="2021" spans="1:1" x14ac:dyDescent="0.25">
      <c r="A2021" t="s">
        <v>12665</v>
      </c>
    </row>
    <row r="2022" spans="1:1" x14ac:dyDescent="0.25">
      <c r="A2022" t="s">
        <v>12666</v>
      </c>
    </row>
    <row r="2023" spans="1:1" x14ac:dyDescent="0.25">
      <c r="A2023" t="s">
        <v>12667</v>
      </c>
    </row>
    <row r="2024" spans="1:1" x14ac:dyDescent="0.25">
      <c r="A2024" t="s">
        <v>8767</v>
      </c>
    </row>
    <row r="2025" spans="1:1" x14ac:dyDescent="0.25">
      <c r="A2025" t="s">
        <v>8828</v>
      </c>
    </row>
    <row r="2026" spans="1:1" x14ac:dyDescent="0.25">
      <c r="A2026" t="s">
        <v>12668</v>
      </c>
    </row>
    <row r="2027" spans="1:1" x14ac:dyDescent="0.25">
      <c r="A2027" t="s">
        <v>12669</v>
      </c>
    </row>
    <row r="2028" spans="1:1" x14ac:dyDescent="0.25">
      <c r="A2028" t="s">
        <v>12671</v>
      </c>
    </row>
    <row r="2029" spans="1:1" x14ac:dyDescent="0.25">
      <c r="A2029" t="s">
        <v>12672</v>
      </c>
    </row>
    <row r="2030" spans="1:1" x14ac:dyDescent="0.25">
      <c r="A2030" t="s">
        <v>12676</v>
      </c>
    </row>
    <row r="2031" spans="1:1" x14ac:dyDescent="0.25">
      <c r="A2031" t="s">
        <v>12677</v>
      </c>
    </row>
    <row r="2032" spans="1:1" x14ac:dyDescent="0.25">
      <c r="A2032" t="s">
        <v>12679</v>
      </c>
    </row>
    <row r="2033" spans="1:1" x14ac:dyDescent="0.25">
      <c r="A2033" t="s">
        <v>9509</v>
      </c>
    </row>
    <row r="2034" spans="1:1" x14ac:dyDescent="0.25">
      <c r="A2034" t="s">
        <v>12682</v>
      </c>
    </row>
    <row r="2035" spans="1:1" x14ac:dyDescent="0.25">
      <c r="A2035" t="s">
        <v>12683</v>
      </c>
    </row>
    <row r="2036" spans="1:1" x14ac:dyDescent="0.25">
      <c r="A2036" t="s">
        <v>12684</v>
      </c>
    </row>
    <row r="2037" spans="1:1" x14ac:dyDescent="0.25">
      <c r="A2037" t="s">
        <v>12685</v>
      </c>
    </row>
    <row r="2038" spans="1:1" x14ac:dyDescent="0.25">
      <c r="A2038" t="s">
        <v>12686</v>
      </c>
    </row>
    <row r="2039" spans="1:1" x14ac:dyDescent="0.25">
      <c r="A2039" t="s">
        <v>12688</v>
      </c>
    </row>
    <row r="2040" spans="1:1" x14ac:dyDescent="0.25">
      <c r="A2040" t="s">
        <v>12689</v>
      </c>
    </row>
    <row r="2041" spans="1:1" x14ac:dyDescent="0.25">
      <c r="A2041" t="s">
        <v>12690</v>
      </c>
    </row>
    <row r="2042" spans="1:1" x14ac:dyDescent="0.25">
      <c r="A2042" t="s">
        <v>12692</v>
      </c>
    </row>
    <row r="2043" spans="1:1" x14ac:dyDescent="0.25">
      <c r="A2043" t="s">
        <v>12693</v>
      </c>
    </row>
    <row r="2044" spans="1:1" x14ac:dyDescent="0.25">
      <c r="A2044" t="s">
        <v>8106</v>
      </c>
    </row>
    <row r="2045" spans="1:1" x14ac:dyDescent="0.25">
      <c r="A2045" t="s">
        <v>12694</v>
      </c>
    </row>
    <row r="2046" spans="1:1" x14ac:dyDescent="0.25">
      <c r="A2046" t="s">
        <v>12695</v>
      </c>
    </row>
    <row r="2047" spans="1:1" x14ac:dyDescent="0.25">
      <c r="A2047" t="s">
        <v>12696</v>
      </c>
    </row>
    <row r="2048" spans="1:1" x14ac:dyDescent="0.25">
      <c r="A2048" t="s">
        <v>12697</v>
      </c>
    </row>
    <row r="2049" spans="1:1" x14ac:dyDescent="0.25">
      <c r="A2049" t="s">
        <v>12698</v>
      </c>
    </row>
    <row r="2050" spans="1:1" x14ac:dyDescent="0.25">
      <c r="A2050" t="s">
        <v>8112</v>
      </c>
    </row>
    <row r="2051" spans="1:1" x14ac:dyDescent="0.25">
      <c r="A2051" t="s">
        <v>12699</v>
      </c>
    </row>
    <row r="2052" spans="1:1" x14ac:dyDescent="0.25">
      <c r="A2052" t="s">
        <v>12701</v>
      </c>
    </row>
    <row r="2053" spans="1:1" x14ac:dyDescent="0.25">
      <c r="A2053" t="s">
        <v>12702</v>
      </c>
    </row>
    <row r="2054" spans="1:1" x14ac:dyDescent="0.25">
      <c r="A2054" t="s">
        <v>12703</v>
      </c>
    </row>
    <row r="2055" spans="1:1" x14ac:dyDescent="0.25">
      <c r="A2055" t="s">
        <v>12704</v>
      </c>
    </row>
    <row r="2056" spans="1:1" x14ac:dyDescent="0.25">
      <c r="A2056" t="s">
        <v>12705</v>
      </c>
    </row>
    <row r="2057" spans="1:1" x14ac:dyDescent="0.25">
      <c r="A2057" t="s">
        <v>12706</v>
      </c>
    </row>
    <row r="2058" spans="1:1" x14ac:dyDescent="0.25">
      <c r="A2058" t="s">
        <v>8645</v>
      </c>
    </row>
    <row r="2059" spans="1:1" x14ac:dyDescent="0.25">
      <c r="A2059" t="s">
        <v>13131</v>
      </c>
    </row>
    <row r="2060" spans="1:1" x14ac:dyDescent="0.25">
      <c r="A2060" t="s">
        <v>12710</v>
      </c>
    </row>
    <row r="2061" spans="1:1" x14ac:dyDescent="0.25">
      <c r="A2061" t="s">
        <v>12711</v>
      </c>
    </row>
    <row r="2062" spans="1:1" x14ac:dyDescent="0.25">
      <c r="A2062" t="s">
        <v>12712</v>
      </c>
    </row>
    <row r="2063" spans="1:1" x14ac:dyDescent="0.25">
      <c r="A2063" t="s">
        <v>12713</v>
      </c>
    </row>
    <row r="2064" spans="1:1" x14ac:dyDescent="0.25">
      <c r="A2064" t="s">
        <v>12714</v>
      </c>
    </row>
    <row r="2065" spans="1:1" x14ac:dyDescent="0.25">
      <c r="A2065" t="s">
        <v>9522</v>
      </c>
    </row>
    <row r="2066" spans="1:1" x14ac:dyDescent="0.25">
      <c r="A2066" t="s">
        <v>12715</v>
      </c>
    </row>
    <row r="2067" spans="1:1" x14ac:dyDescent="0.25">
      <c r="A2067" t="s">
        <v>12716</v>
      </c>
    </row>
    <row r="2068" spans="1:1" x14ac:dyDescent="0.25">
      <c r="A2068" t="s">
        <v>12717</v>
      </c>
    </row>
    <row r="2069" spans="1:1" x14ac:dyDescent="0.25">
      <c r="A2069" t="s">
        <v>12719</v>
      </c>
    </row>
    <row r="2070" spans="1:1" x14ac:dyDescent="0.25">
      <c r="A2070" t="s">
        <v>12720</v>
      </c>
    </row>
    <row r="2071" spans="1:1" x14ac:dyDescent="0.25">
      <c r="A2071" t="s">
        <v>8647</v>
      </c>
    </row>
    <row r="2072" spans="1:1" x14ac:dyDescent="0.25">
      <c r="A2072" t="s">
        <v>12721</v>
      </c>
    </row>
    <row r="2073" spans="1:1" x14ac:dyDescent="0.25">
      <c r="A2073" t="s">
        <v>10800</v>
      </c>
    </row>
    <row r="2074" spans="1:1" x14ac:dyDescent="0.25">
      <c r="A2074" t="s">
        <v>9524</v>
      </c>
    </row>
    <row r="2075" spans="1:1" x14ac:dyDescent="0.25">
      <c r="A2075" t="s">
        <v>12724</v>
      </c>
    </row>
    <row r="2076" spans="1:1" x14ac:dyDescent="0.25">
      <c r="A2076" t="s">
        <v>12727</v>
      </c>
    </row>
    <row r="2077" spans="1:1" x14ac:dyDescent="0.25">
      <c r="A2077" t="s">
        <v>12728</v>
      </c>
    </row>
    <row r="2078" spans="1:1" x14ac:dyDescent="0.25">
      <c r="A2078" t="s">
        <v>12729</v>
      </c>
    </row>
    <row r="2079" spans="1:1" x14ac:dyDescent="0.25">
      <c r="A2079" t="s">
        <v>12730</v>
      </c>
    </row>
    <row r="2080" spans="1:1" x14ac:dyDescent="0.25">
      <c r="A2080" t="s">
        <v>12731</v>
      </c>
    </row>
    <row r="2081" spans="1:1" x14ac:dyDescent="0.25">
      <c r="A2081" t="s">
        <v>12733</v>
      </c>
    </row>
    <row r="2082" spans="1:1" x14ac:dyDescent="0.25">
      <c r="A2082" t="s">
        <v>12734</v>
      </c>
    </row>
    <row r="2083" spans="1:1" x14ac:dyDescent="0.25">
      <c r="A2083" t="s">
        <v>12735</v>
      </c>
    </row>
    <row r="2084" spans="1:1" x14ac:dyDescent="0.25">
      <c r="A2084" t="s">
        <v>12736</v>
      </c>
    </row>
    <row r="2085" spans="1:1" x14ac:dyDescent="0.25">
      <c r="A2085" t="s">
        <v>12737</v>
      </c>
    </row>
    <row r="2086" spans="1:1" x14ac:dyDescent="0.25">
      <c r="A2086" t="s">
        <v>12738</v>
      </c>
    </row>
    <row r="2087" spans="1:1" x14ac:dyDescent="0.25">
      <c r="A2087" t="s">
        <v>12739</v>
      </c>
    </row>
    <row r="2088" spans="1:1" x14ac:dyDescent="0.25">
      <c r="A2088" t="s">
        <v>12740</v>
      </c>
    </row>
    <row r="2089" spans="1:1" x14ac:dyDescent="0.25">
      <c r="A2089" t="s">
        <v>12741</v>
      </c>
    </row>
    <row r="2090" spans="1:1" x14ac:dyDescent="0.25">
      <c r="A2090" t="s">
        <v>12742</v>
      </c>
    </row>
    <row r="2091" spans="1:1" x14ac:dyDescent="0.25">
      <c r="A2091" t="s">
        <v>12743</v>
      </c>
    </row>
    <row r="2092" spans="1:1" x14ac:dyDescent="0.25">
      <c r="A2092" t="s">
        <v>12744</v>
      </c>
    </row>
    <row r="2093" spans="1:1" x14ac:dyDescent="0.25">
      <c r="A2093" t="s">
        <v>12745</v>
      </c>
    </row>
    <row r="2094" spans="1:1" x14ac:dyDescent="0.25">
      <c r="A2094" t="s">
        <v>9999</v>
      </c>
    </row>
    <row r="2095" spans="1:1" x14ac:dyDescent="0.25">
      <c r="A2095" t="s">
        <v>12746</v>
      </c>
    </row>
    <row r="2096" spans="1:1" x14ac:dyDescent="0.25">
      <c r="A2096" t="s">
        <v>12747</v>
      </c>
    </row>
    <row r="2097" spans="1:1" x14ac:dyDescent="0.25">
      <c r="A2097" t="s">
        <v>12748</v>
      </c>
    </row>
    <row r="2098" spans="1:1" x14ac:dyDescent="0.25">
      <c r="A2098" t="s">
        <v>12749</v>
      </c>
    </row>
    <row r="2099" spans="1:1" x14ac:dyDescent="0.25">
      <c r="A2099" t="s">
        <v>12750</v>
      </c>
    </row>
    <row r="2100" spans="1:1" x14ac:dyDescent="0.25">
      <c r="A2100" t="s">
        <v>12751</v>
      </c>
    </row>
    <row r="2101" spans="1:1" x14ac:dyDescent="0.25">
      <c r="A2101" t="s">
        <v>12752</v>
      </c>
    </row>
    <row r="2102" spans="1:1" x14ac:dyDescent="0.25">
      <c r="A2102" t="s">
        <v>12753</v>
      </c>
    </row>
    <row r="2103" spans="1:1" x14ac:dyDescent="0.25">
      <c r="A2103" t="s">
        <v>12754</v>
      </c>
    </row>
    <row r="2104" spans="1:1" x14ac:dyDescent="0.25">
      <c r="A2104" t="s">
        <v>12755</v>
      </c>
    </row>
    <row r="2105" spans="1:1" x14ac:dyDescent="0.25">
      <c r="A2105" t="s">
        <v>9761</v>
      </c>
    </row>
    <row r="2106" spans="1:1" x14ac:dyDescent="0.25">
      <c r="A2106" t="s">
        <v>12756</v>
      </c>
    </row>
    <row r="2107" spans="1:1" x14ac:dyDescent="0.25">
      <c r="A2107" t="s">
        <v>12757</v>
      </c>
    </row>
    <row r="2108" spans="1:1" x14ac:dyDescent="0.25">
      <c r="A2108" t="s">
        <v>12758</v>
      </c>
    </row>
    <row r="2109" spans="1:1" x14ac:dyDescent="0.25">
      <c r="A2109" t="s">
        <v>12759</v>
      </c>
    </row>
    <row r="2110" spans="1:1" x14ac:dyDescent="0.25">
      <c r="A2110" t="s">
        <v>12760</v>
      </c>
    </row>
    <row r="2111" spans="1:1" x14ac:dyDescent="0.25">
      <c r="A2111" t="s">
        <v>8124</v>
      </c>
    </row>
    <row r="2112" spans="1:1" x14ac:dyDescent="0.25">
      <c r="A2112" t="s">
        <v>12761</v>
      </c>
    </row>
    <row r="2113" spans="1:1" x14ac:dyDescent="0.25">
      <c r="A2113" t="s">
        <v>13132</v>
      </c>
    </row>
    <row r="2114" spans="1:1" x14ac:dyDescent="0.25">
      <c r="A2114" t="s">
        <v>12764</v>
      </c>
    </row>
    <row r="2115" spans="1:1" x14ac:dyDescent="0.25">
      <c r="A2115" t="s">
        <v>12765</v>
      </c>
    </row>
    <row r="2116" spans="1:1" x14ac:dyDescent="0.25">
      <c r="A2116" t="s">
        <v>12767</v>
      </c>
    </row>
    <row r="2117" spans="1:1" x14ac:dyDescent="0.25">
      <c r="A2117" t="s">
        <v>12768</v>
      </c>
    </row>
    <row r="2118" spans="1:1" x14ac:dyDescent="0.25">
      <c r="A2118" t="s">
        <v>12769</v>
      </c>
    </row>
    <row r="2119" spans="1:1" x14ac:dyDescent="0.25">
      <c r="A2119" t="s">
        <v>12770</v>
      </c>
    </row>
    <row r="2120" spans="1:1" x14ac:dyDescent="0.25">
      <c r="A2120" t="s">
        <v>12771</v>
      </c>
    </row>
    <row r="2121" spans="1:1" x14ac:dyDescent="0.25">
      <c r="A2121" t="s">
        <v>12772</v>
      </c>
    </row>
    <row r="2122" spans="1:1" x14ac:dyDescent="0.25">
      <c r="A2122" t="s">
        <v>12773</v>
      </c>
    </row>
    <row r="2123" spans="1:1" x14ac:dyDescent="0.25">
      <c r="A2123" t="s">
        <v>12774</v>
      </c>
    </row>
    <row r="2124" spans="1:1" x14ac:dyDescent="0.25">
      <c r="A2124" t="s">
        <v>12775</v>
      </c>
    </row>
    <row r="2125" spans="1:1" x14ac:dyDescent="0.25">
      <c r="A2125" t="s">
        <v>12776</v>
      </c>
    </row>
    <row r="2126" spans="1:1" x14ac:dyDescent="0.25">
      <c r="A2126" t="s">
        <v>12779</v>
      </c>
    </row>
    <row r="2127" spans="1:1" x14ac:dyDescent="0.25">
      <c r="A2127" t="s">
        <v>13133</v>
      </c>
    </row>
    <row r="2128" spans="1:1" x14ac:dyDescent="0.25">
      <c r="A2128" t="s">
        <v>12780</v>
      </c>
    </row>
    <row r="2129" spans="1:1" x14ac:dyDescent="0.25">
      <c r="A2129" t="s">
        <v>12782</v>
      </c>
    </row>
    <row r="2130" spans="1:1" x14ac:dyDescent="0.25">
      <c r="A2130" t="s">
        <v>12783</v>
      </c>
    </row>
    <row r="2131" spans="1:1" x14ac:dyDescent="0.25">
      <c r="A2131" t="s">
        <v>12784</v>
      </c>
    </row>
    <row r="2132" spans="1:1" x14ac:dyDescent="0.25">
      <c r="A2132" t="s">
        <v>12785</v>
      </c>
    </row>
    <row r="2133" spans="1:1" x14ac:dyDescent="0.25">
      <c r="A2133" t="s">
        <v>12786</v>
      </c>
    </row>
    <row r="2134" spans="1:1" x14ac:dyDescent="0.25">
      <c r="A2134" t="s">
        <v>12787</v>
      </c>
    </row>
    <row r="2135" spans="1:1" x14ac:dyDescent="0.25">
      <c r="A2135" t="s">
        <v>12789</v>
      </c>
    </row>
    <row r="2136" spans="1:1" x14ac:dyDescent="0.25">
      <c r="A2136" t="s">
        <v>12790</v>
      </c>
    </row>
    <row r="2137" spans="1:1" x14ac:dyDescent="0.25">
      <c r="A2137" t="s">
        <v>12791</v>
      </c>
    </row>
    <row r="2138" spans="1:1" x14ac:dyDescent="0.25">
      <c r="A2138" t="s">
        <v>13134</v>
      </c>
    </row>
    <row r="2139" spans="1:1" x14ac:dyDescent="0.25">
      <c r="A2139" t="s">
        <v>12793</v>
      </c>
    </row>
    <row r="2140" spans="1:1" x14ac:dyDescent="0.25">
      <c r="A2140" t="s">
        <v>12794</v>
      </c>
    </row>
    <row r="2141" spans="1:1" x14ac:dyDescent="0.25">
      <c r="A2141" t="s">
        <v>13135</v>
      </c>
    </row>
    <row r="2142" spans="1:1" x14ac:dyDescent="0.25">
      <c r="A2142" t="s">
        <v>12795</v>
      </c>
    </row>
    <row r="2143" spans="1:1" x14ac:dyDescent="0.25">
      <c r="A2143" t="s">
        <v>12796</v>
      </c>
    </row>
    <row r="2144" spans="1:1" x14ac:dyDescent="0.25">
      <c r="A2144" t="s">
        <v>12797</v>
      </c>
    </row>
    <row r="2145" spans="1:1" x14ac:dyDescent="0.25">
      <c r="A2145" t="s">
        <v>12798</v>
      </c>
    </row>
    <row r="2146" spans="1:1" x14ac:dyDescent="0.25">
      <c r="A2146" t="s">
        <v>12799</v>
      </c>
    </row>
    <row r="2147" spans="1:1" x14ac:dyDescent="0.25">
      <c r="A2147" t="s">
        <v>12800</v>
      </c>
    </row>
    <row r="2148" spans="1:1" x14ac:dyDescent="0.25">
      <c r="A2148" t="s">
        <v>9536</v>
      </c>
    </row>
    <row r="2149" spans="1:1" x14ac:dyDescent="0.25">
      <c r="A2149" t="s">
        <v>12801</v>
      </c>
    </row>
    <row r="2150" spans="1:1" x14ac:dyDescent="0.25">
      <c r="A2150" t="s">
        <v>12803</v>
      </c>
    </row>
    <row r="2151" spans="1:1" x14ac:dyDescent="0.25">
      <c r="A2151" t="s">
        <v>12806</v>
      </c>
    </row>
    <row r="2152" spans="1:1" x14ac:dyDescent="0.25">
      <c r="A2152" t="s">
        <v>12807</v>
      </c>
    </row>
    <row r="2153" spans="1:1" x14ac:dyDescent="0.25">
      <c r="A2153" t="s">
        <v>12808</v>
      </c>
    </row>
    <row r="2154" spans="1:1" x14ac:dyDescent="0.25">
      <c r="A2154" t="s">
        <v>13136</v>
      </c>
    </row>
    <row r="2155" spans="1:1" x14ac:dyDescent="0.25">
      <c r="A2155" t="s">
        <v>9539</v>
      </c>
    </row>
    <row r="2156" spans="1:1" x14ac:dyDescent="0.25">
      <c r="A2156" t="s">
        <v>12809</v>
      </c>
    </row>
    <row r="2157" spans="1:1" x14ac:dyDescent="0.25">
      <c r="A2157" t="s">
        <v>12810</v>
      </c>
    </row>
    <row r="2158" spans="1:1" x14ac:dyDescent="0.25">
      <c r="A2158" t="s">
        <v>12811</v>
      </c>
    </row>
    <row r="2159" spans="1:1" x14ac:dyDescent="0.25">
      <c r="A2159" t="s">
        <v>12813</v>
      </c>
    </row>
    <row r="2160" spans="1:1" x14ac:dyDescent="0.25">
      <c r="A2160" t="s">
        <v>12814</v>
      </c>
    </row>
    <row r="2161" spans="1:1" x14ac:dyDescent="0.25">
      <c r="A2161" t="s">
        <v>12816</v>
      </c>
    </row>
    <row r="2162" spans="1:1" x14ac:dyDescent="0.25">
      <c r="A2162" t="s">
        <v>13137</v>
      </c>
    </row>
    <row r="2163" spans="1:1" x14ac:dyDescent="0.25">
      <c r="A2163" t="s">
        <v>12819</v>
      </c>
    </row>
    <row r="2164" spans="1:1" x14ac:dyDescent="0.25">
      <c r="A2164" t="s">
        <v>12822</v>
      </c>
    </row>
    <row r="2165" spans="1:1" x14ac:dyDescent="0.25">
      <c r="A2165" t="s">
        <v>8776</v>
      </c>
    </row>
    <row r="2166" spans="1:1" x14ac:dyDescent="0.25">
      <c r="A2166" t="s">
        <v>12824</v>
      </c>
    </row>
    <row r="2167" spans="1:1" x14ac:dyDescent="0.25">
      <c r="A2167" t="s">
        <v>13138</v>
      </c>
    </row>
    <row r="2168" spans="1:1" x14ac:dyDescent="0.25">
      <c r="A2168" t="s">
        <v>12825</v>
      </c>
    </row>
    <row r="2169" spans="1:1" x14ac:dyDescent="0.25">
      <c r="A2169" t="s">
        <v>12826</v>
      </c>
    </row>
    <row r="2170" spans="1:1" x14ac:dyDescent="0.25">
      <c r="A2170" t="s">
        <v>12827</v>
      </c>
    </row>
    <row r="2171" spans="1:1" x14ac:dyDescent="0.25">
      <c r="A2171" t="s">
        <v>12828</v>
      </c>
    </row>
    <row r="2172" spans="1:1" x14ac:dyDescent="0.25">
      <c r="A2172" t="s">
        <v>12829</v>
      </c>
    </row>
    <row r="2173" spans="1:1" x14ac:dyDescent="0.25">
      <c r="A2173" t="s">
        <v>12830</v>
      </c>
    </row>
    <row r="2174" spans="1:1" x14ac:dyDescent="0.25">
      <c r="A2174" t="s">
        <v>8669</v>
      </c>
    </row>
    <row r="2175" spans="1:1" x14ac:dyDescent="0.25">
      <c r="A2175" t="s">
        <v>9543</v>
      </c>
    </row>
    <row r="2176" spans="1:1" x14ac:dyDescent="0.25">
      <c r="A2176" t="s">
        <v>12832</v>
      </c>
    </row>
    <row r="2177" spans="1:1" x14ac:dyDescent="0.25">
      <c r="A2177" t="s">
        <v>12833</v>
      </c>
    </row>
    <row r="2178" spans="1:1" x14ac:dyDescent="0.25">
      <c r="A2178" t="s">
        <v>12834</v>
      </c>
    </row>
    <row r="2179" spans="1:1" x14ac:dyDescent="0.25">
      <c r="A2179" t="s">
        <v>12836</v>
      </c>
    </row>
    <row r="2180" spans="1:1" x14ac:dyDescent="0.25">
      <c r="A2180" t="s">
        <v>12837</v>
      </c>
    </row>
    <row r="2181" spans="1:1" x14ac:dyDescent="0.25">
      <c r="A2181" t="s">
        <v>12838</v>
      </c>
    </row>
    <row r="2182" spans="1:1" x14ac:dyDescent="0.25">
      <c r="A2182" t="s">
        <v>12839</v>
      </c>
    </row>
    <row r="2183" spans="1:1" x14ac:dyDescent="0.25">
      <c r="A2183" t="s">
        <v>12840</v>
      </c>
    </row>
    <row r="2184" spans="1:1" x14ac:dyDescent="0.25">
      <c r="A2184" t="s">
        <v>13139</v>
      </c>
    </row>
    <row r="2185" spans="1:1" x14ac:dyDescent="0.25">
      <c r="A2185" t="s">
        <v>12841</v>
      </c>
    </row>
    <row r="2186" spans="1:1" x14ac:dyDescent="0.25">
      <c r="A2186" t="s">
        <v>12843</v>
      </c>
    </row>
    <row r="2187" spans="1:1" x14ac:dyDescent="0.25">
      <c r="A2187" t="s">
        <v>12844</v>
      </c>
    </row>
    <row r="2188" spans="1:1" x14ac:dyDescent="0.25">
      <c r="A2188" t="s">
        <v>12845</v>
      </c>
    </row>
    <row r="2189" spans="1:1" x14ac:dyDescent="0.25">
      <c r="A2189" t="s">
        <v>12847</v>
      </c>
    </row>
    <row r="2190" spans="1:1" x14ac:dyDescent="0.25">
      <c r="A2190" t="s">
        <v>12849</v>
      </c>
    </row>
    <row r="2191" spans="1:1" x14ac:dyDescent="0.25">
      <c r="A2191" t="s">
        <v>12851</v>
      </c>
    </row>
    <row r="2192" spans="1:1" x14ac:dyDescent="0.25">
      <c r="A2192" t="s">
        <v>12852</v>
      </c>
    </row>
    <row r="2193" spans="1:1" x14ac:dyDescent="0.25">
      <c r="A2193" t="s">
        <v>12854</v>
      </c>
    </row>
    <row r="2194" spans="1:1" x14ac:dyDescent="0.25">
      <c r="A2194" t="s">
        <v>12855</v>
      </c>
    </row>
    <row r="2195" spans="1:1" x14ac:dyDescent="0.25">
      <c r="A2195" t="s">
        <v>12856</v>
      </c>
    </row>
    <row r="2196" spans="1:1" x14ac:dyDescent="0.25">
      <c r="A2196" t="s">
        <v>12857</v>
      </c>
    </row>
    <row r="2197" spans="1:1" x14ac:dyDescent="0.25">
      <c r="A2197" t="s">
        <v>12858</v>
      </c>
    </row>
    <row r="2198" spans="1:1" x14ac:dyDescent="0.25">
      <c r="A2198" t="s">
        <v>12859</v>
      </c>
    </row>
    <row r="2199" spans="1:1" x14ac:dyDescent="0.25">
      <c r="A2199" t="s">
        <v>12860</v>
      </c>
    </row>
    <row r="2200" spans="1:1" x14ac:dyDescent="0.25">
      <c r="A2200" t="s">
        <v>12862</v>
      </c>
    </row>
    <row r="2201" spans="1:1" x14ac:dyDescent="0.25">
      <c r="A2201" t="s">
        <v>12863</v>
      </c>
    </row>
    <row r="2202" spans="1:1" x14ac:dyDescent="0.25">
      <c r="A2202" t="s">
        <v>12864</v>
      </c>
    </row>
    <row r="2203" spans="1:1" x14ac:dyDescent="0.25">
      <c r="A2203" t="s">
        <v>12867</v>
      </c>
    </row>
    <row r="2204" spans="1:1" x14ac:dyDescent="0.25">
      <c r="A2204" t="s">
        <v>12868</v>
      </c>
    </row>
    <row r="2205" spans="1:1" x14ac:dyDescent="0.25">
      <c r="A2205" t="s">
        <v>12869</v>
      </c>
    </row>
    <row r="2206" spans="1:1" x14ac:dyDescent="0.25">
      <c r="A2206" t="s">
        <v>12870</v>
      </c>
    </row>
    <row r="2207" spans="1:1" x14ac:dyDescent="0.25">
      <c r="A2207" t="s">
        <v>12871</v>
      </c>
    </row>
    <row r="2208" spans="1:1" x14ac:dyDescent="0.25">
      <c r="A2208" t="s">
        <v>13140</v>
      </c>
    </row>
    <row r="2209" spans="1:1" x14ac:dyDescent="0.25">
      <c r="A2209" t="s">
        <v>12873</v>
      </c>
    </row>
    <row r="2210" spans="1:1" x14ac:dyDescent="0.25">
      <c r="A2210" t="s">
        <v>12875</v>
      </c>
    </row>
    <row r="2211" spans="1:1" x14ac:dyDescent="0.25">
      <c r="A2211" t="s">
        <v>12876</v>
      </c>
    </row>
    <row r="2212" spans="1:1" x14ac:dyDescent="0.25">
      <c r="A2212" t="s">
        <v>12877</v>
      </c>
    </row>
    <row r="2213" spans="1:1" x14ac:dyDescent="0.25">
      <c r="A2213" t="s">
        <v>12878</v>
      </c>
    </row>
    <row r="2214" spans="1:1" x14ac:dyDescent="0.25">
      <c r="A2214" t="s">
        <v>12879</v>
      </c>
    </row>
    <row r="2215" spans="1:1" x14ac:dyDescent="0.25">
      <c r="A2215" t="s">
        <v>12881</v>
      </c>
    </row>
    <row r="2216" spans="1:1" x14ac:dyDescent="0.25">
      <c r="A2216" t="s">
        <v>12882</v>
      </c>
    </row>
    <row r="2217" spans="1:1" x14ac:dyDescent="0.25">
      <c r="A2217" t="s">
        <v>12883</v>
      </c>
    </row>
    <row r="2218" spans="1:1" x14ac:dyDescent="0.25">
      <c r="A2218" t="s">
        <v>12885</v>
      </c>
    </row>
    <row r="2219" spans="1:1" x14ac:dyDescent="0.25">
      <c r="A2219" t="s">
        <v>13141</v>
      </c>
    </row>
    <row r="2220" spans="1:1" x14ac:dyDescent="0.25">
      <c r="A2220" t="s">
        <v>12886</v>
      </c>
    </row>
    <row r="2221" spans="1:1" x14ac:dyDescent="0.25">
      <c r="A2221" t="s">
        <v>12887</v>
      </c>
    </row>
    <row r="2222" spans="1:1" x14ac:dyDescent="0.25">
      <c r="A2222" t="s">
        <v>12888</v>
      </c>
    </row>
    <row r="2223" spans="1:1" x14ac:dyDescent="0.25">
      <c r="A2223" t="s">
        <v>12889</v>
      </c>
    </row>
    <row r="2224" spans="1:1" x14ac:dyDescent="0.25">
      <c r="A2224" t="s">
        <v>12890</v>
      </c>
    </row>
    <row r="2225" spans="1:1" x14ac:dyDescent="0.25">
      <c r="A2225" t="s">
        <v>12891</v>
      </c>
    </row>
    <row r="2226" spans="1:1" x14ac:dyDescent="0.25">
      <c r="A2226" t="s">
        <v>12892</v>
      </c>
    </row>
    <row r="2227" spans="1:1" x14ac:dyDescent="0.25">
      <c r="A2227" t="s">
        <v>12894</v>
      </c>
    </row>
    <row r="2228" spans="1:1" x14ac:dyDescent="0.25">
      <c r="A2228" t="s">
        <v>12895</v>
      </c>
    </row>
    <row r="2229" spans="1:1" x14ac:dyDescent="0.25">
      <c r="A2229" t="s">
        <v>12897</v>
      </c>
    </row>
    <row r="2230" spans="1:1" x14ac:dyDescent="0.25">
      <c r="A2230" t="s">
        <v>12899</v>
      </c>
    </row>
    <row r="2231" spans="1:1" x14ac:dyDescent="0.25">
      <c r="A2231" t="s">
        <v>12900</v>
      </c>
    </row>
    <row r="2232" spans="1:1" x14ac:dyDescent="0.25">
      <c r="A2232" t="s">
        <v>12901</v>
      </c>
    </row>
    <row r="2233" spans="1:1" x14ac:dyDescent="0.25">
      <c r="A2233" t="s">
        <v>12902</v>
      </c>
    </row>
    <row r="2234" spans="1:1" x14ac:dyDescent="0.25">
      <c r="A2234" t="s">
        <v>12903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pane xSplit="3" ySplit="11" topLeftCell="D12" activePane="bottomRight" state="frozen"/>
      <selection pane="topRight" activeCell="D1" sqref="D1"/>
      <selection pane="bottomLeft" activeCell="A11" sqref="A11"/>
      <selection pane="bottomRight"/>
    </sheetView>
  </sheetViews>
  <sheetFormatPr defaultRowHeight="15" x14ac:dyDescent="0.25"/>
  <cols>
    <col min="1" max="1" width="22.5703125" customWidth="1"/>
    <col min="2" max="2" width="13.85546875" customWidth="1"/>
    <col min="3" max="3" width="34.7109375" customWidth="1"/>
  </cols>
  <sheetData>
    <row r="1" spans="1:8" ht="20.25" x14ac:dyDescent="0.3">
      <c r="A1" s="12" t="s">
        <v>13142</v>
      </c>
    </row>
    <row r="2" spans="1:8" x14ac:dyDescent="0.25">
      <c r="A2" t="s">
        <v>13143</v>
      </c>
      <c r="B2" t="s">
        <v>2</v>
      </c>
      <c r="C2">
        <v>34</v>
      </c>
    </row>
    <row r="3" spans="1:8" x14ac:dyDescent="0.25">
      <c r="A3" t="s">
        <v>12909</v>
      </c>
      <c r="B3" t="s">
        <v>4</v>
      </c>
      <c r="C3">
        <v>77079</v>
      </c>
    </row>
    <row r="4" spans="1:8" x14ac:dyDescent="0.25">
      <c r="A4" t="s">
        <v>12910</v>
      </c>
      <c r="B4" t="s">
        <v>6</v>
      </c>
      <c r="C4" t="s">
        <v>7</v>
      </c>
    </row>
    <row r="5" spans="1:8" x14ac:dyDescent="0.25">
      <c r="A5" t="s">
        <v>12913</v>
      </c>
      <c r="B5" t="s">
        <v>9</v>
      </c>
      <c r="C5" t="s">
        <v>10</v>
      </c>
    </row>
    <row r="6" spans="1:8" x14ac:dyDescent="0.25">
      <c r="A6" t="s">
        <v>12914</v>
      </c>
      <c r="B6" t="s">
        <v>12</v>
      </c>
      <c r="C6" t="s">
        <v>13144</v>
      </c>
    </row>
    <row r="7" spans="1:8" x14ac:dyDescent="0.25">
      <c r="A7" t="s">
        <v>7376</v>
      </c>
      <c r="B7" t="s">
        <v>15</v>
      </c>
      <c r="C7" t="s">
        <v>16</v>
      </c>
    </row>
    <row r="8" spans="1:8" x14ac:dyDescent="0.25">
      <c r="A8" t="s">
        <v>12919</v>
      </c>
      <c r="B8" t="s">
        <v>18</v>
      </c>
      <c r="C8">
        <v>3</v>
      </c>
    </row>
    <row r="9" spans="1:8" x14ac:dyDescent="0.25">
      <c r="A9" t="s">
        <v>12921</v>
      </c>
      <c r="B9" t="s">
        <v>21</v>
      </c>
      <c r="C9" t="s">
        <v>19</v>
      </c>
    </row>
    <row r="10" spans="1:8" x14ac:dyDescent="0.25">
      <c r="A10" t="s">
        <v>12922</v>
      </c>
    </row>
    <row r="11" spans="1:8" x14ac:dyDescent="0.25">
      <c r="A11" t="s">
        <v>7553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</row>
    <row r="12" spans="1:8" x14ac:dyDescent="0.25">
      <c r="A12" t="s">
        <v>12925</v>
      </c>
      <c r="B12" t="str">
        <f>HYPERLINK("http://amigo.geneontology.org/cgi-bin/amigo/term-details.cgi?term=GO:0044238","GO:0044238")</f>
        <v>GO:0044238</v>
      </c>
      <c r="C12" t="s">
        <v>612</v>
      </c>
      <c r="D12">
        <v>5792</v>
      </c>
      <c r="E12">
        <v>11</v>
      </c>
      <c r="F12" s="4">
        <v>2.4005693201752799E-5</v>
      </c>
      <c r="G12">
        <v>0.108385704805914</v>
      </c>
      <c r="H12" t="s">
        <v>13145</v>
      </c>
    </row>
    <row r="13" spans="1:8" x14ac:dyDescent="0.25">
      <c r="A13" t="s">
        <v>12929</v>
      </c>
      <c r="B13" t="str">
        <f>HYPERLINK("http://amigo.geneontology.org/cgi-bin/amigo/term-details.cgi?term=GO:1901564","GO:1901564")</f>
        <v>GO:1901564</v>
      </c>
      <c r="C13" t="s">
        <v>7043</v>
      </c>
      <c r="D13">
        <v>3042</v>
      </c>
      <c r="E13">
        <v>8</v>
      </c>
      <c r="F13" s="4">
        <v>4.2183204386749698E-5</v>
      </c>
      <c r="G13">
        <v>9.5207492300893995E-2</v>
      </c>
      <c r="H13" t="s">
        <v>13146</v>
      </c>
    </row>
    <row r="14" spans="1:8" x14ac:dyDescent="0.25">
      <c r="A14" t="s">
        <v>12930</v>
      </c>
      <c r="B14" t="str">
        <f>HYPERLINK("http://amigo.geneontology.org/cgi-bin/amigo/term-details.cgi?term=GO:0006508","GO:0006508")</f>
        <v>GO:0006508</v>
      </c>
      <c r="C14" t="s">
        <v>10443</v>
      </c>
      <c r="D14">
        <v>2336</v>
      </c>
      <c r="E14">
        <v>7</v>
      </c>
      <c r="F14" s="4">
        <v>6.0996841480554301E-5</v>
      </c>
      <c r="G14">
        <v>9.1800246428234297E-2</v>
      </c>
      <c r="H14" t="s">
        <v>13147</v>
      </c>
    </row>
    <row r="15" spans="1:8" x14ac:dyDescent="0.25">
      <c r="A15" t="s">
        <v>7628</v>
      </c>
      <c r="B15" t="str">
        <f>HYPERLINK("http://amigo.geneontology.org/cgi-bin/amigo/term-details.cgi?term=GO:0006026","GO:0006026")</f>
        <v>GO:0006026</v>
      </c>
      <c r="C15" t="s">
        <v>6941</v>
      </c>
      <c r="D15">
        <v>84</v>
      </c>
      <c r="E15">
        <v>2</v>
      </c>
      <c r="F15" s="4">
        <v>6.4358457025542003E-4</v>
      </c>
      <c r="G15">
        <v>0.36298169762405702</v>
      </c>
      <c r="H15" t="s">
        <v>13148</v>
      </c>
    </row>
    <row r="16" spans="1:8" x14ac:dyDescent="0.25">
      <c r="A16" t="s">
        <v>12934</v>
      </c>
      <c r="B16" t="str">
        <f>HYPERLINK("http://amigo.geneontology.org/cgi-bin/amigo/term-details.cgi?term=GO:0006030","GO:0006030")</f>
        <v>GO:0006030</v>
      </c>
      <c r="C16" t="s">
        <v>6943</v>
      </c>
      <c r="D16">
        <v>84</v>
      </c>
      <c r="E16">
        <v>2</v>
      </c>
      <c r="F16" s="4">
        <v>6.4358457025542003E-4</v>
      </c>
      <c r="G16">
        <v>0.41511204781474598</v>
      </c>
      <c r="H16" t="s">
        <v>13148</v>
      </c>
    </row>
    <row r="17" spans="1:8" x14ac:dyDescent="0.25">
      <c r="A17" t="s">
        <v>12937</v>
      </c>
      <c r="B17" t="str">
        <f>HYPERLINK("http://amigo.geneontology.org/cgi-bin/amigo/term-details.cgi?term=GO:0046348","GO:0046348")</f>
        <v>GO:0046348</v>
      </c>
      <c r="C17" t="s">
        <v>6945</v>
      </c>
      <c r="D17">
        <v>84</v>
      </c>
      <c r="E17">
        <v>2</v>
      </c>
      <c r="F17" s="4">
        <v>6.4358457025542003E-4</v>
      </c>
      <c r="G17">
        <v>0.48397559683207603</v>
      </c>
      <c r="H17" t="s">
        <v>13148</v>
      </c>
    </row>
    <row r="18" spans="1:8" x14ac:dyDescent="0.25">
      <c r="A18" t="s">
        <v>7707</v>
      </c>
      <c r="B18" t="str">
        <f>HYPERLINK("http://amigo.geneontology.org/cgi-bin/amigo/term-details.cgi?term=GO:1901072","GO:1901072")</f>
        <v>GO:1901072</v>
      </c>
      <c r="C18" t="s">
        <v>6947</v>
      </c>
      <c r="D18">
        <v>84</v>
      </c>
      <c r="E18">
        <v>2</v>
      </c>
      <c r="F18" s="4">
        <v>6.4358457025542003E-4</v>
      </c>
      <c r="G18">
        <v>0.58115686694064395</v>
      </c>
      <c r="H18" t="s">
        <v>13148</v>
      </c>
    </row>
    <row r="19" spans="1:8" x14ac:dyDescent="0.25">
      <c r="A19" t="s">
        <v>8451</v>
      </c>
      <c r="B19" t="str">
        <f>HYPERLINK("http://amigo.geneontology.org/cgi-bin/amigo/term-details.cgi?term=GO:0006032","GO:0006032")</f>
        <v>GO:0006032</v>
      </c>
      <c r="C19" t="s">
        <v>6949</v>
      </c>
      <c r="D19">
        <v>84</v>
      </c>
      <c r="E19">
        <v>2</v>
      </c>
      <c r="F19" s="4">
        <v>6.4358457025542003E-4</v>
      </c>
      <c r="G19">
        <v>0.72596339524811404</v>
      </c>
      <c r="H19" t="s">
        <v>13148</v>
      </c>
    </row>
    <row r="20" spans="1:8" x14ac:dyDescent="0.25">
      <c r="A20" t="s">
        <v>7770</v>
      </c>
      <c r="B20" t="str">
        <f>HYPERLINK("http://amigo.geneontology.org/cgi-bin/amigo/term-details.cgi?term=GO:0016998","GO:0016998")</f>
        <v>GO:0016998</v>
      </c>
      <c r="C20" t="s">
        <v>6933</v>
      </c>
      <c r="D20">
        <v>86</v>
      </c>
      <c r="E20">
        <v>2</v>
      </c>
      <c r="F20" s="4">
        <v>6.7441260274230495E-4</v>
      </c>
      <c r="G20">
        <v>0.33788071397389402</v>
      </c>
      <c r="H20" t="s">
        <v>13148</v>
      </c>
    </row>
    <row r="21" spans="1:8" x14ac:dyDescent="0.25">
      <c r="A21" t="s">
        <v>9372</v>
      </c>
      <c r="B21" t="str">
        <f>HYPERLINK("http://amigo.geneontology.org/cgi-bin/amigo/term-details.cgi?term=GO:1901071","GO:1901071")</f>
        <v>GO:1901071</v>
      </c>
      <c r="C21" t="s">
        <v>6953</v>
      </c>
      <c r="D21">
        <v>87</v>
      </c>
      <c r="E21">
        <v>2</v>
      </c>
      <c r="F21" s="4">
        <v>6.9009048042848299E-4</v>
      </c>
      <c r="G21">
        <v>0.31123080667324599</v>
      </c>
      <c r="H21" t="s">
        <v>13148</v>
      </c>
    </row>
    <row r="22" spans="1:8" x14ac:dyDescent="0.25">
      <c r="A22" t="s">
        <v>12946</v>
      </c>
      <c r="B22" t="str">
        <f>HYPERLINK("http://amigo.geneontology.org/cgi-bin/amigo/term-details.cgi?term=GO:0006022","GO:0006022")</f>
        <v>GO:0006022</v>
      </c>
      <c r="C22" t="s">
        <v>6974</v>
      </c>
      <c r="D22">
        <v>96</v>
      </c>
      <c r="E22">
        <v>2</v>
      </c>
      <c r="F22" s="4">
        <v>8.3908043949156702E-4</v>
      </c>
      <c r="G22">
        <v>0.34402298019154198</v>
      </c>
      <c r="H22" t="s">
        <v>13148</v>
      </c>
    </row>
    <row r="23" spans="1:8" x14ac:dyDescent="0.25">
      <c r="A23" t="s">
        <v>7803</v>
      </c>
      <c r="B23" t="str">
        <f>HYPERLINK("http://amigo.geneontology.org/cgi-bin/amigo/term-details.cgi?term=GO:1901136","GO:1901136")</f>
        <v>GO:1901136</v>
      </c>
      <c r="C23" t="s">
        <v>6302</v>
      </c>
      <c r="D23">
        <v>103</v>
      </c>
      <c r="E23">
        <v>2</v>
      </c>
      <c r="F23" s="4">
        <v>9.6473193770068905E-4</v>
      </c>
      <c r="G23">
        <v>0.36273920857545899</v>
      </c>
      <c r="H23" t="s">
        <v>13148</v>
      </c>
    </row>
    <row r="24" spans="1:8" x14ac:dyDescent="0.25">
      <c r="A24" t="s">
        <v>7846</v>
      </c>
      <c r="B24" t="str">
        <f>HYPERLINK("http://amigo.geneontology.org/cgi-bin/amigo/term-details.cgi?term=GO:0019538","GO:0019538")</f>
        <v>GO:0019538</v>
      </c>
      <c r="C24" t="s">
        <v>7094</v>
      </c>
      <c r="D24">
        <v>3898</v>
      </c>
      <c r="E24">
        <v>7</v>
      </c>
      <c r="F24">
        <v>1.35373680338635E-3</v>
      </c>
      <c r="G24">
        <v>0.46974667077506399</v>
      </c>
      <c r="H24" t="s">
        <v>13147</v>
      </c>
    </row>
    <row r="25" spans="1:8" x14ac:dyDescent="0.25">
      <c r="A25" t="s">
        <v>12949</v>
      </c>
      <c r="B25" t="str">
        <f>HYPERLINK("http://amigo.geneontology.org/cgi-bin/amigo/term-details.cgi?term=GO:0044036","GO:0044036")</f>
        <v>GO:0044036</v>
      </c>
      <c r="C25" t="s">
        <v>828</v>
      </c>
      <c r="D25">
        <v>129</v>
      </c>
      <c r="E25">
        <v>2</v>
      </c>
      <c r="F25">
        <v>1.5054006592542901E-3</v>
      </c>
      <c r="G25">
        <v>0.48473901227988198</v>
      </c>
      <c r="H25" t="s">
        <v>13148</v>
      </c>
    </row>
    <row r="26" spans="1:8" x14ac:dyDescent="0.25">
      <c r="A26" t="s">
        <v>7853</v>
      </c>
      <c r="B26" t="str">
        <f>HYPERLINK("http://amigo.geneontology.org/cgi-bin/amigo/term-details.cgi?term=GO:1901565","GO:1901565")</f>
        <v>GO:1901565</v>
      </c>
      <c r="C26" t="s">
        <v>7125</v>
      </c>
      <c r="D26">
        <v>237</v>
      </c>
      <c r="E26">
        <v>2</v>
      </c>
      <c r="F26">
        <v>4.9498039158944801E-3</v>
      </c>
      <c r="G26">
        <v>1</v>
      </c>
      <c r="H26" t="s">
        <v>13148</v>
      </c>
    </row>
    <row r="27" spans="1:8" x14ac:dyDescent="0.25">
      <c r="A27" t="s">
        <v>12950</v>
      </c>
      <c r="B27" t="str">
        <f>HYPERLINK("http://amigo.geneontology.org/cgi-bin/amigo/term-details.cgi?term=GO:0002213","GO:0002213")</f>
        <v>GO:0002213</v>
      </c>
      <c r="C27" t="s">
        <v>7422</v>
      </c>
      <c r="D27">
        <v>17</v>
      </c>
      <c r="E27">
        <v>1</v>
      </c>
      <c r="F27">
        <v>7.4731690199864396E-3</v>
      </c>
      <c r="G27">
        <v>1</v>
      </c>
      <c r="H27" t="s">
        <v>8093</v>
      </c>
    </row>
    <row r="28" spans="1:8" x14ac:dyDescent="0.25">
      <c r="A28" t="s">
        <v>9424</v>
      </c>
      <c r="B28" t="str">
        <f>HYPERLINK("http://amigo.geneontology.org/cgi-bin/amigo/term-details.cgi?term=GO:0009057","GO:0009057")</f>
        <v>GO:0009057</v>
      </c>
      <c r="C28" t="s">
        <v>9098</v>
      </c>
      <c r="D28">
        <v>326</v>
      </c>
      <c r="E28">
        <v>2</v>
      </c>
      <c r="F28">
        <v>9.1496536625451999E-3</v>
      </c>
      <c r="G28">
        <v>1</v>
      </c>
      <c r="H28" t="s">
        <v>13148</v>
      </c>
    </row>
    <row r="29" spans="1:8" x14ac:dyDescent="0.25">
      <c r="A29" t="s">
        <v>12951</v>
      </c>
      <c r="B29" t="str">
        <f>HYPERLINK("http://amigo.geneontology.org/cgi-bin/amigo/term-details.cgi?term=GO:0009056","GO:0009056")</f>
        <v>GO:0009056</v>
      </c>
      <c r="C29" t="s">
        <v>5309</v>
      </c>
      <c r="D29">
        <v>371</v>
      </c>
      <c r="E29">
        <v>2</v>
      </c>
      <c r="F29">
        <v>1.1708925889026899E-2</v>
      </c>
      <c r="G29">
        <v>1</v>
      </c>
      <c r="H29" t="s">
        <v>13148</v>
      </c>
    </row>
    <row r="30" spans="1:8" x14ac:dyDescent="0.25">
      <c r="A30" t="s">
        <v>12952</v>
      </c>
      <c r="B30" t="str">
        <f>HYPERLINK("http://amigo.geneontology.org/cgi-bin/amigo/term-details.cgi?term=GO:0051707","GO:0051707")</f>
        <v>GO:0051707</v>
      </c>
      <c r="C30" t="s">
        <v>8965</v>
      </c>
      <c r="D30">
        <v>425</v>
      </c>
      <c r="E30">
        <v>2</v>
      </c>
      <c r="F30">
        <v>1.51450209101951E-2</v>
      </c>
      <c r="G30">
        <v>1</v>
      </c>
      <c r="H30" t="s">
        <v>13149</v>
      </c>
    </row>
    <row r="31" spans="1:8" x14ac:dyDescent="0.25">
      <c r="A31" t="s">
        <v>7882</v>
      </c>
      <c r="B31" t="str">
        <f>HYPERLINK("http://amigo.geneontology.org/cgi-bin/amigo/term-details.cgi?term=GO:0043170","GO:0043170")</f>
        <v>GO:0043170</v>
      </c>
      <c r="C31" t="s">
        <v>6870</v>
      </c>
      <c r="D31">
        <v>6084</v>
      </c>
      <c r="E31">
        <v>7</v>
      </c>
      <c r="F31">
        <v>1.53649799087065E-2</v>
      </c>
      <c r="G31">
        <v>1</v>
      </c>
      <c r="H31" t="s">
        <v>13147</v>
      </c>
    </row>
    <row r="32" spans="1:8" x14ac:dyDescent="0.25">
      <c r="A32" t="s">
        <v>7890</v>
      </c>
      <c r="B32" t="str">
        <f>HYPERLINK("http://amigo.geneontology.org/cgi-bin/amigo/term-details.cgi?term=GO:0098542","GO:0098542")</f>
        <v>GO:0098542</v>
      </c>
      <c r="C32" t="s">
        <v>9139</v>
      </c>
      <c r="D32">
        <v>431</v>
      </c>
      <c r="E32">
        <v>2</v>
      </c>
      <c r="F32">
        <v>1.5550607043549E-2</v>
      </c>
      <c r="G32">
        <v>1</v>
      </c>
      <c r="H32" t="s">
        <v>13149</v>
      </c>
    </row>
    <row r="33" spans="1:8" x14ac:dyDescent="0.25">
      <c r="A33" t="s">
        <v>12953</v>
      </c>
      <c r="B33" t="str">
        <f>HYPERLINK("http://amigo.geneontology.org/cgi-bin/amigo/term-details.cgi?term=GO:0008037","GO:0008037")</f>
        <v>GO:0008037</v>
      </c>
      <c r="C33" t="s">
        <v>7499</v>
      </c>
      <c r="D33">
        <v>461</v>
      </c>
      <c r="E33">
        <v>2</v>
      </c>
      <c r="F33">
        <v>1.76479693606722E-2</v>
      </c>
      <c r="G33">
        <v>1</v>
      </c>
      <c r="H33" t="s">
        <v>13150</v>
      </c>
    </row>
    <row r="34" spans="1:8" x14ac:dyDescent="0.25">
      <c r="A34" t="s">
        <v>7908</v>
      </c>
      <c r="B34" t="str">
        <f>HYPERLINK("http://amigo.geneontology.org/cgi-bin/amigo/term-details.cgi?term=GO:0048544","GO:0048544")</f>
        <v>GO:0048544</v>
      </c>
      <c r="C34" t="s">
        <v>7502</v>
      </c>
      <c r="D34">
        <v>461</v>
      </c>
      <c r="E34">
        <v>2</v>
      </c>
      <c r="F34">
        <v>1.76479693606722E-2</v>
      </c>
      <c r="G34">
        <v>1</v>
      </c>
      <c r="H34" t="s">
        <v>13150</v>
      </c>
    </row>
    <row r="35" spans="1:8" x14ac:dyDescent="0.25">
      <c r="A35" t="s">
        <v>9467</v>
      </c>
      <c r="B35" t="str">
        <f>HYPERLINK("http://amigo.geneontology.org/cgi-bin/amigo/term-details.cgi?term=GO:0009875","GO:0009875")</f>
        <v>GO:0009875</v>
      </c>
      <c r="C35" t="s">
        <v>7506</v>
      </c>
      <c r="D35">
        <v>463</v>
      </c>
      <c r="E35">
        <v>2</v>
      </c>
      <c r="F35">
        <v>1.7791859605495602E-2</v>
      </c>
      <c r="G35">
        <v>1</v>
      </c>
      <c r="H35" t="s">
        <v>13150</v>
      </c>
    </row>
    <row r="36" spans="1:8" x14ac:dyDescent="0.25">
      <c r="A36" t="s">
        <v>8596</v>
      </c>
      <c r="B36" t="str">
        <f>HYPERLINK("http://amigo.geneontology.org/cgi-bin/amigo/term-details.cgi?term=GO:0042737","GO:0042737")</f>
        <v>GO:0042737</v>
      </c>
      <c r="C36" t="s">
        <v>1072</v>
      </c>
      <c r="D36">
        <v>473</v>
      </c>
      <c r="E36">
        <v>2</v>
      </c>
      <c r="F36">
        <v>1.8518835240282399E-2</v>
      </c>
      <c r="G36">
        <v>1</v>
      </c>
      <c r="H36" t="s">
        <v>13148</v>
      </c>
    </row>
    <row r="37" spans="1:8" x14ac:dyDescent="0.25">
      <c r="A37" t="s">
        <v>12954</v>
      </c>
      <c r="B37" t="str">
        <f>HYPERLINK("http://amigo.geneontology.org/cgi-bin/amigo/term-details.cgi?term=GO:0009856","GO:0009856")</f>
        <v>GO:0009856</v>
      </c>
      <c r="C37" t="s">
        <v>1490</v>
      </c>
      <c r="D37">
        <v>574</v>
      </c>
      <c r="E37">
        <v>2</v>
      </c>
      <c r="F37">
        <v>2.65398012469262E-2</v>
      </c>
      <c r="G37">
        <v>1</v>
      </c>
      <c r="H37" t="s">
        <v>13150</v>
      </c>
    </row>
    <row r="38" spans="1:8" x14ac:dyDescent="0.25">
      <c r="A38" t="s">
        <v>8093</v>
      </c>
      <c r="B38" t="str">
        <f>HYPERLINK("http://amigo.geneontology.org/cgi-bin/amigo/term-details.cgi?term=GO:0009690","GO:0009690")</f>
        <v>GO:0009690</v>
      </c>
      <c r="C38" t="s">
        <v>1568</v>
      </c>
      <c r="D38">
        <v>65</v>
      </c>
      <c r="E38">
        <v>1</v>
      </c>
      <c r="F38">
        <v>2.8282469170226501E-2</v>
      </c>
      <c r="G38">
        <v>1</v>
      </c>
      <c r="H38" t="s">
        <v>7553</v>
      </c>
    </row>
    <row r="39" spans="1:8" x14ac:dyDescent="0.25">
      <c r="A39" t="s">
        <v>8638</v>
      </c>
      <c r="B39" t="str">
        <f>HYPERLINK("http://amigo.geneontology.org/cgi-bin/amigo/term-details.cgi?term=GO:0009308","GO:0009308")</f>
        <v>GO:0009308</v>
      </c>
      <c r="C39" t="s">
        <v>5537</v>
      </c>
      <c r="D39">
        <v>89</v>
      </c>
      <c r="E39">
        <v>1</v>
      </c>
      <c r="F39">
        <v>3.8527698287725398E-2</v>
      </c>
      <c r="G39">
        <v>1</v>
      </c>
      <c r="H39" t="s">
        <v>7553</v>
      </c>
    </row>
    <row r="40" spans="1:8" x14ac:dyDescent="0.25">
      <c r="A40" t="s">
        <v>8094</v>
      </c>
      <c r="B40" t="str">
        <f>HYPERLINK("http://amigo.geneontology.org/cgi-bin/amigo/term-details.cgi?term=GO:0044248","GO:0044248")</f>
        <v>GO:0044248</v>
      </c>
      <c r="C40" t="s">
        <v>5244</v>
      </c>
      <c r="D40">
        <v>743</v>
      </c>
      <c r="E40">
        <v>2</v>
      </c>
      <c r="F40">
        <v>4.2486682597652002E-2</v>
      </c>
      <c r="G40">
        <v>1</v>
      </c>
      <c r="H40" t="s">
        <v>13148</v>
      </c>
    </row>
    <row r="41" spans="1:8" x14ac:dyDescent="0.25">
      <c r="A41" t="s">
        <v>12955</v>
      </c>
      <c r="B41" t="str">
        <f>HYPERLINK("http://amigo.geneontology.org/cgi-bin/amigo/term-details.cgi?term=GO:0000003","GO:0000003")</f>
        <v>GO:0000003</v>
      </c>
      <c r="C41" t="s">
        <v>13151</v>
      </c>
      <c r="D41">
        <v>772</v>
      </c>
      <c r="E41">
        <v>2</v>
      </c>
      <c r="F41">
        <v>4.55107694884717E-2</v>
      </c>
      <c r="G41">
        <v>1</v>
      </c>
      <c r="H41" t="s">
        <v>13150</v>
      </c>
    </row>
    <row r="42" spans="1:8" x14ac:dyDescent="0.25">
      <c r="A42" t="s">
        <v>8130</v>
      </c>
      <c r="B42" t="str">
        <f>HYPERLINK("http://amigo.geneontology.org/cgi-bin/amigo/term-details.cgi?term=GO:0071554","GO:0071554")</f>
        <v>GO:0071554</v>
      </c>
      <c r="C42" t="s">
        <v>206</v>
      </c>
      <c r="D42">
        <v>788</v>
      </c>
      <c r="E42">
        <v>2</v>
      </c>
      <c r="F42">
        <v>4.7212724439283899E-2</v>
      </c>
      <c r="G42">
        <v>1</v>
      </c>
      <c r="H42" t="s">
        <v>13148</v>
      </c>
    </row>
    <row r="43" spans="1:8" x14ac:dyDescent="0.25">
      <c r="A43" t="s">
        <v>8136</v>
      </c>
      <c r="B43" t="str">
        <f>HYPERLINK("http://amigo.geneontology.org/cgi-bin/amigo/term-details.cgi?term=GO:0034754","GO:0034754")</f>
        <v>GO:0034754</v>
      </c>
      <c r="C43" t="s">
        <v>5342</v>
      </c>
      <c r="D43">
        <v>111</v>
      </c>
      <c r="E43">
        <v>1</v>
      </c>
      <c r="F43">
        <v>4.7827002812777103E-2</v>
      </c>
      <c r="G43">
        <v>1</v>
      </c>
      <c r="H43" t="s">
        <v>7553</v>
      </c>
    </row>
    <row r="44" spans="1:8" x14ac:dyDescent="0.25">
      <c r="A44" t="s">
        <v>9550</v>
      </c>
    </row>
    <row r="45" spans="1:8" x14ac:dyDescent="0.25">
      <c r="A45" t="s">
        <v>8166</v>
      </c>
    </row>
    <row r="46" spans="1:8" x14ac:dyDescent="0.25">
      <c r="A46" t="s">
        <v>8167</v>
      </c>
    </row>
    <row r="47" spans="1:8" x14ac:dyDescent="0.25">
      <c r="A47" t="s">
        <v>12956</v>
      </c>
    </row>
  </sheetData>
  <pageMargins left="0.7" right="0.7" top="0.75" bottom="0.75" header="0.3" footer="0.3"/>
  <pageSetup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workbookViewId="0">
      <pane xSplit="3" ySplit="11" topLeftCell="D12" activePane="bottomRight" state="frozen"/>
      <selection pane="topRight" activeCell="D1" sqref="D1"/>
      <selection pane="bottomLeft" activeCell="A11" sqref="A11"/>
      <selection pane="bottomRight"/>
    </sheetView>
  </sheetViews>
  <sheetFormatPr defaultRowHeight="15" x14ac:dyDescent="0.25"/>
  <cols>
    <col min="1" max="1" width="26" customWidth="1"/>
    <col min="2" max="2" width="15.7109375" customWidth="1"/>
    <col min="3" max="3" width="34.85546875" customWidth="1"/>
  </cols>
  <sheetData>
    <row r="1" spans="1:8" ht="20.25" x14ac:dyDescent="0.3">
      <c r="A1" s="12" t="s">
        <v>13152</v>
      </c>
    </row>
    <row r="2" spans="1:8" x14ac:dyDescent="0.25">
      <c r="A2" t="s">
        <v>13153</v>
      </c>
      <c r="B2" t="s">
        <v>2</v>
      </c>
      <c r="C2">
        <v>149</v>
      </c>
    </row>
    <row r="3" spans="1:8" x14ac:dyDescent="0.25">
      <c r="A3" t="s">
        <v>12959</v>
      </c>
      <c r="B3" t="s">
        <v>4</v>
      </c>
      <c r="C3">
        <v>77079</v>
      </c>
    </row>
    <row r="4" spans="1:8" x14ac:dyDescent="0.25">
      <c r="A4" t="s">
        <v>12962</v>
      </c>
      <c r="B4" t="s">
        <v>6</v>
      </c>
      <c r="C4" t="s">
        <v>7</v>
      </c>
    </row>
    <row r="5" spans="1:8" x14ac:dyDescent="0.25">
      <c r="A5" t="s">
        <v>6896</v>
      </c>
      <c r="B5" t="s">
        <v>9</v>
      </c>
      <c r="C5" t="s">
        <v>10</v>
      </c>
    </row>
    <row r="6" spans="1:8" x14ac:dyDescent="0.25">
      <c r="A6" t="s">
        <v>12993</v>
      </c>
      <c r="B6" t="s">
        <v>12</v>
      </c>
      <c r="C6" t="s">
        <v>13144</v>
      </c>
    </row>
    <row r="7" spans="1:8" x14ac:dyDescent="0.25">
      <c r="A7" t="s">
        <v>13012</v>
      </c>
      <c r="B7" t="s">
        <v>15</v>
      </c>
      <c r="C7" t="s">
        <v>16</v>
      </c>
    </row>
    <row r="8" spans="1:8" x14ac:dyDescent="0.25">
      <c r="A8" t="s">
        <v>13014</v>
      </c>
      <c r="B8" t="s">
        <v>18</v>
      </c>
      <c r="C8">
        <v>3</v>
      </c>
    </row>
    <row r="9" spans="1:8" x14ac:dyDescent="0.25">
      <c r="A9" t="s">
        <v>7054</v>
      </c>
      <c r="B9" t="s">
        <v>21</v>
      </c>
      <c r="C9" t="s">
        <v>19</v>
      </c>
    </row>
    <row r="10" spans="1:8" x14ac:dyDescent="0.25">
      <c r="A10" t="s">
        <v>8211</v>
      </c>
    </row>
    <row r="11" spans="1:8" x14ac:dyDescent="0.25">
      <c r="A11" t="s">
        <v>13054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</row>
    <row r="12" spans="1:8" x14ac:dyDescent="0.25">
      <c r="A12" t="s">
        <v>13055</v>
      </c>
      <c r="B12" t="str">
        <f>HYPERLINK("http://amigo.geneontology.org/cgi-bin/amigo/term-details.cgi?term=GO:0000038","GO:0000038")</f>
        <v>GO:0000038</v>
      </c>
      <c r="C12" t="s">
        <v>7557</v>
      </c>
      <c r="D12">
        <v>23</v>
      </c>
      <c r="E12">
        <v>2</v>
      </c>
      <c r="F12" s="4">
        <v>9.1435762177847601E-4</v>
      </c>
      <c r="G12">
        <v>1</v>
      </c>
      <c r="H12" t="s">
        <v>7558</v>
      </c>
    </row>
    <row r="13" spans="1:8" x14ac:dyDescent="0.25">
      <c r="A13" t="s">
        <v>7091</v>
      </c>
      <c r="B13" t="str">
        <f>HYPERLINK("http://amigo.geneontology.org/cgi-bin/amigo/term-details.cgi?term=GO:0042335","GO:0042335")</f>
        <v>GO:0042335</v>
      </c>
      <c r="C13" t="s">
        <v>13154</v>
      </c>
      <c r="D13">
        <v>27</v>
      </c>
      <c r="E13">
        <v>2</v>
      </c>
      <c r="F13">
        <v>1.2621180983602E-3</v>
      </c>
      <c r="G13">
        <v>1</v>
      </c>
      <c r="H13" t="s">
        <v>7558</v>
      </c>
    </row>
    <row r="14" spans="1:8" x14ac:dyDescent="0.25">
      <c r="A14" t="s">
        <v>8961</v>
      </c>
      <c r="B14" t="str">
        <f>HYPERLINK("http://amigo.geneontology.org/cgi-bin/amigo/term-details.cgi?term=GO:0010557","GO:0010557")</f>
        <v>GO:0010557</v>
      </c>
      <c r="C14" t="s">
        <v>118</v>
      </c>
      <c r="D14">
        <v>32</v>
      </c>
      <c r="E14">
        <v>2</v>
      </c>
      <c r="F14">
        <v>1.7722421639849099E-3</v>
      </c>
      <c r="G14">
        <v>1</v>
      </c>
      <c r="H14" t="s">
        <v>13155</v>
      </c>
    </row>
    <row r="15" spans="1:8" x14ac:dyDescent="0.25">
      <c r="A15" t="s">
        <v>13056</v>
      </c>
      <c r="B15" t="str">
        <f>HYPERLINK("http://amigo.geneontology.org/cgi-bin/amigo/term-details.cgi?term=GO:0034250","GO:0034250")</f>
        <v>GO:0034250</v>
      </c>
      <c r="C15" t="s">
        <v>13156</v>
      </c>
      <c r="D15">
        <v>32</v>
      </c>
      <c r="E15">
        <v>2</v>
      </c>
      <c r="F15">
        <v>1.7722421639849099E-3</v>
      </c>
      <c r="G15">
        <v>1</v>
      </c>
      <c r="H15" t="s">
        <v>13155</v>
      </c>
    </row>
    <row r="16" spans="1:8" x14ac:dyDescent="0.25">
      <c r="A16" t="s">
        <v>13057</v>
      </c>
      <c r="B16" t="str">
        <f>HYPERLINK("http://amigo.geneontology.org/cgi-bin/amigo/term-details.cgi?term=GO:0045727","GO:0045727")</f>
        <v>GO:0045727</v>
      </c>
      <c r="C16" t="s">
        <v>13157</v>
      </c>
      <c r="D16">
        <v>32</v>
      </c>
      <c r="E16">
        <v>2</v>
      </c>
      <c r="F16">
        <v>1.7722421639849099E-3</v>
      </c>
      <c r="G16">
        <v>1</v>
      </c>
      <c r="H16" t="s">
        <v>13155</v>
      </c>
    </row>
    <row r="17" spans="1:8" x14ac:dyDescent="0.25">
      <c r="A17" t="s">
        <v>13058</v>
      </c>
      <c r="B17" t="str">
        <f>HYPERLINK("http://amigo.geneontology.org/cgi-bin/amigo/term-details.cgi?term=GO:0015880","GO:0015880")</f>
        <v>GO:0015880</v>
      </c>
      <c r="C17" t="s">
        <v>7366</v>
      </c>
      <c r="D17">
        <v>1</v>
      </c>
      <c r="E17">
        <v>1</v>
      </c>
      <c r="F17">
        <v>1.93308164350435E-3</v>
      </c>
      <c r="G17">
        <v>1</v>
      </c>
      <c r="H17" t="s">
        <v>7362</v>
      </c>
    </row>
    <row r="18" spans="1:8" x14ac:dyDescent="0.25">
      <c r="A18" t="s">
        <v>13059</v>
      </c>
      <c r="B18" t="str">
        <f>HYPERLINK("http://amigo.geneontology.org/cgi-bin/amigo/term-details.cgi?term=GO:0071106","GO:0071106")</f>
        <v>GO:0071106</v>
      </c>
      <c r="C18" t="s">
        <v>7368</v>
      </c>
      <c r="D18">
        <v>1</v>
      </c>
      <c r="E18">
        <v>1</v>
      </c>
      <c r="F18">
        <v>1.93308164350435E-3</v>
      </c>
      <c r="G18">
        <v>1</v>
      </c>
      <c r="H18" t="s">
        <v>7362</v>
      </c>
    </row>
    <row r="19" spans="1:8" x14ac:dyDescent="0.25">
      <c r="A19" t="s">
        <v>13060</v>
      </c>
      <c r="B19" t="str">
        <f>HYPERLINK("http://amigo.geneontology.org/cgi-bin/amigo/term-details.cgi?term=GO:0035349","GO:0035349")</f>
        <v>GO:0035349</v>
      </c>
      <c r="C19" t="s">
        <v>7370</v>
      </c>
      <c r="D19">
        <v>1</v>
      </c>
      <c r="E19">
        <v>1</v>
      </c>
      <c r="F19">
        <v>1.93308164350435E-3</v>
      </c>
      <c r="G19">
        <v>1</v>
      </c>
      <c r="H19" t="s">
        <v>7362</v>
      </c>
    </row>
    <row r="20" spans="1:8" x14ac:dyDescent="0.25">
      <c r="A20" t="s">
        <v>13061</v>
      </c>
      <c r="B20" t="str">
        <f>HYPERLINK("http://amigo.geneontology.org/cgi-bin/amigo/term-details.cgi?term=GO:0032270","GO:0032270")</f>
        <v>GO:0032270</v>
      </c>
      <c r="C20" t="s">
        <v>13158</v>
      </c>
      <c r="D20">
        <v>34</v>
      </c>
      <c r="E20">
        <v>2</v>
      </c>
      <c r="F20">
        <v>1.9994209441811998E-3</v>
      </c>
      <c r="G20">
        <v>1</v>
      </c>
      <c r="H20" t="s">
        <v>13155</v>
      </c>
    </row>
    <row r="21" spans="1:8" x14ac:dyDescent="0.25">
      <c r="A21" t="s">
        <v>7207</v>
      </c>
      <c r="B21" t="str">
        <f>HYPERLINK("http://amigo.geneontology.org/cgi-bin/amigo/term-details.cgi?term=GO:0009798","GO:0009798")</f>
        <v>GO:0009798</v>
      </c>
      <c r="C21" t="s">
        <v>13046</v>
      </c>
      <c r="D21">
        <v>37</v>
      </c>
      <c r="E21">
        <v>2</v>
      </c>
      <c r="F21">
        <v>2.3646464256365501E-3</v>
      </c>
      <c r="G21">
        <v>1</v>
      </c>
      <c r="H21" t="s">
        <v>13159</v>
      </c>
    </row>
    <row r="22" spans="1:8" x14ac:dyDescent="0.25">
      <c r="A22" t="s">
        <v>13062</v>
      </c>
      <c r="B22" t="str">
        <f>HYPERLINK("http://amigo.geneontology.org/cgi-bin/amigo/term-details.cgi?term=GO:0048447","GO:0048447")</f>
        <v>GO:0048447</v>
      </c>
      <c r="C22" t="s">
        <v>13002</v>
      </c>
      <c r="D22">
        <v>42</v>
      </c>
      <c r="E22">
        <v>2</v>
      </c>
      <c r="F22">
        <v>3.0377205282211398E-3</v>
      </c>
      <c r="G22">
        <v>1</v>
      </c>
      <c r="H22" t="s">
        <v>13160</v>
      </c>
    </row>
    <row r="23" spans="1:8" x14ac:dyDescent="0.25">
      <c r="A23" t="s">
        <v>13063</v>
      </c>
      <c r="B23" t="str">
        <f>HYPERLINK("http://amigo.geneontology.org/cgi-bin/amigo/term-details.cgi?term=GO:0048453","GO:0048453")</f>
        <v>GO:0048453</v>
      </c>
      <c r="C23" t="s">
        <v>13004</v>
      </c>
      <c r="D23">
        <v>42</v>
      </c>
      <c r="E23">
        <v>2</v>
      </c>
      <c r="F23">
        <v>3.0377205282211398E-3</v>
      </c>
      <c r="G23">
        <v>1</v>
      </c>
      <c r="H23" t="s">
        <v>13160</v>
      </c>
    </row>
    <row r="24" spans="1:8" x14ac:dyDescent="0.25">
      <c r="A24" t="s">
        <v>13064</v>
      </c>
      <c r="B24" t="str">
        <f>HYPERLINK("http://amigo.geneontology.org/cgi-bin/amigo/term-details.cgi?term=GO:0048451","GO:0048451")</f>
        <v>GO:0048451</v>
      </c>
      <c r="C24" t="s">
        <v>13005</v>
      </c>
      <c r="D24">
        <v>43</v>
      </c>
      <c r="E24">
        <v>2</v>
      </c>
      <c r="F24">
        <v>3.1818756422479699E-3</v>
      </c>
      <c r="G24">
        <v>1</v>
      </c>
      <c r="H24" t="s">
        <v>13160</v>
      </c>
    </row>
    <row r="25" spans="1:8" x14ac:dyDescent="0.25">
      <c r="A25" t="s">
        <v>13065</v>
      </c>
      <c r="B25" t="str">
        <f>HYPERLINK("http://amigo.geneontology.org/cgi-bin/amigo/term-details.cgi?term=GO:0031328","GO:0031328")</f>
        <v>GO:0031328</v>
      </c>
      <c r="C25" t="s">
        <v>122</v>
      </c>
      <c r="D25">
        <v>43</v>
      </c>
      <c r="E25">
        <v>2</v>
      </c>
      <c r="F25">
        <v>3.1818756422479699E-3</v>
      </c>
      <c r="G25">
        <v>1</v>
      </c>
      <c r="H25" t="s">
        <v>13155</v>
      </c>
    </row>
    <row r="26" spans="1:8" x14ac:dyDescent="0.25">
      <c r="A26" t="s">
        <v>13066</v>
      </c>
      <c r="B26" t="str">
        <f>HYPERLINK("http://amigo.geneontology.org/cgi-bin/amigo/term-details.cgi?term=GO:0048446","GO:0048446")</f>
        <v>GO:0048446</v>
      </c>
      <c r="C26" t="s">
        <v>13008</v>
      </c>
      <c r="D26">
        <v>46</v>
      </c>
      <c r="E26">
        <v>2</v>
      </c>
      <c r="F26">
        <v>3.63319464134238E-3</v>
      </c>
      <c r="G26">
        <v>1</v>
      </c>
      <c r="H26" t="s">
        <v>13160</v>
      </c>
    </row>
    <row r="27" spans="1:8" x14ac:dyDescent="0.25">
      <c r="A27" t="s">
        <v>7390</v>
      </c>
      <c r="B27" t="str">
        <f>HYPERLINK("http://amigo.geneontology.org/cgi-bin/amigo/term-details.cgi?term=GO:0048442","GO:0048442")</f>
        <v>GO:0048442</v>
      </c>
      <c r="C27" t="s">
        <v>13010</v>
      </c>
      <c r="D27">
        <v>46</v>
      </c>
      <c r="E27">
        <v>2</v>
      </c>
      <c r="F27">
        <v>3.63319464134238E-3</v>
      </c>
      <c r="G27">
        <v>1</v>
      </c>
      <c r="H27" t="s">
        <v>13160</v>
      </c>
    </row>
    <row r="28" spans="1:8" x14ac:dyDescent="0.25">
      <c r="A28" t="s">
        <v>7392</v>
      </c>
      <c r="B28" t="str">
        <f>HYPERLINK("http://amigo.geneontology.org/cgi-bin/amigo/term-details.cgi?term=GO:0090231","GO:0090231")</f>
        <v>GO:0090231</v>
      </c>
      <c r="C28" t="s">
        <v>7447</v>
      </c>
      <c r="D28">
        <v>2</v>
      </c>
      <c r="E28">
        <v>1</v>
      </c>
      <c r="F28">
        <v>3.8624515134691902E-3</v>
      </c>
      <c r="G28">
        <v>0.91540100869219898</v>
      </c>
      <c r="H28" t="s">
        <v>7445</v>
      </c>
    </row>
    <row r="29" spans="1:8" x14ac:dyDescent="0.25">
      <c r="A29" t="s">
        <v>13067</v>
      </c>
      <c r="B29" t="str">
        <f>HYPERLINK("http://amigo.geneontology.org/cgi-bin/amigo/term-details.cgi?term=GO:1903504","GO:1903504")</f>
        <v>GO:1903504</v>
      </c>
      <c r="C29" t="s">
        <v>7449</v>
      </c>
      <c r="D29">
        <v>2</v>
      </c>
      <c r="E29">
        <v>1</v>
      </c>
      <c r="F29">
        <v>3.8624515134691902E-3</v>
      </c>
      <c r="G29">
        <v>0.96561287836729903</v>
      </c>
      <c r="H29" t="s">
        <v>7445</v>
      </c>
    </row>
    <row r="30" spans="1:8" x14ac:dyDescent="0.25">
      <c r="A30" t="s">
        <v>13068</v>
      </c>
      <c r="B30" t="str">
        <f>HYPERLINK("http://amigo.geneontology.org/cgi-bin/amigo/term-details.cgi?term=GO:0090266","GO:0090266")</f>
        <v>GO:0090266</v>
      </c>
      <c r="C30" t="s">
        <v>7451</v>
      </c>
      <c r="D30">
        <v>2</v>
      </c>
      <c r="E30">
        <v>1</v>
      </c>
      <c r="F30">
        <v>3.8624515134691902E-3</v>
      </c>
      <c r="G30">
        <v>1</v>
      </c>
      <c r="H30" t="s">
        <v>7445</v>
      </c>
    </row>
    <row r="31" spans="1:8" x14ac:dyDescent="0.25">
      <c r="A31" t="s">
        <v>13069</v>
      </c>
      <c r="B31" t="str">
        <f>HYPERLINK("http://amigo.geneontology.org/cgi-bin/amigo/term-details.cgi?term=GO:0048441","GO:0048441")</f>
        <v>GO:0048441</v>
      </c>
      <c r="C31" t="s">
        <v>13019</v>
      </c>
      <c r="D31">
        <v>61</v>
      </c>
      <c r="E31">
        <v>2</v>
      </c>
      <c r="F31">
        <v>6.3034025069553202E-3</v>
      </c>
      <c r="G31">
        <v>1</v>
      </c>
      <c r="H31" t="s">
        <v>13160</v>
      </c>
    </row>
    <row r="32" spans="1:8" x14ac:dyDescent="0.25">
      <c r="A32" t="s">
        <v>7472</v>
      </c>
      <c r="B32" t="str">
        <f>HYPERLINK("http://amigo.geneontology.org/cgi-bin/amigo/term-details.cgi?term=GO:0072530","GO:0072530")</f>
        <v>GO:0072530</v>
      </c>
      <c r="C32" t="s">
        <v>13161</v>
      </c>
      <c r="D32">
        <v>4</v>
      </c>
      <c r="E32">
        <v>1</v>
      </c>
      <c r="F32">
        <v>7.7100842348026303E-3</v>
      </c>
      <c r="G32">
        <v>1</v>
      </c>
      <c r="H32" t="s">
        <v>7362</v>
      </c>
    </row>
    <row r="33" spans="1:8" x14ac:dyDescent="0.25">
      <c r="A33" t="s">
        <v>13070</v>
      </c>
      <c r="B33" t="str">
        <f>HYPERLINK("http://amigo.geneontology.org/cgi-bin/amigo/term-details.cgi?term=GO:0048545","GO:0048545")</f>
        <v>GO:0048545</v>
      </c>
      <c r="C33" t="s">
        <v>13162</v>
      </c>
      <c r="D33">
        <v>4</v>
      </c>
      <c r="E33">
        <v>1</v>
      </c>
      <c r="F33">
        <v>7.7100842348026303E-3</v>
      </c>
      <c r="G33">
        <v>1</v>
      </c>
      <c r="H33" t="s">
        <v>8010</v>
      </c>
    </row>
    <row r="34" spans="1:8" x14ac:dyDescent="0.25">
      <c r="A34" t="s">
        <v>13071</v>
      </c>
      <c r="B34" t="str">
        <f>HYPERLINK("http://amigo.geneontology.org/cgi-bin/amigo/term-details.cgi?term=GO:0009942","GO:0009942")</f>
        <v>GO:0009942</v>
      </c>
      <c r="C34" t="s">
        <v>13163</v>
      </c>
      <c r="D34">
        <v>5</v>
      </c>
      <c r="E34">
        <v>1</v>
      </c>
      <c r="F34">
        <v>9.6283612048210804E-3</v>
      </c>
      <c r="G34">
        <v>1</v>
      </c>
      <c r="H34" t="s">
        <v>7968</v>
      </c>
    </row>
    <row r="35" spans="1:8" x14ac:dyDescent="0.25">
      <c r="A35" t="s">
        <v>13072</v>
      </c>
      <c r="B35" t="str">
        <f>HYPERLINK("http://amigo.geneontology.org/cgi-bin/amigo/term-details.cgi?term=GO:0000578","GO:0000578")</f>
        <v>GO:0000578</v>
      </c>
      <c r="C35" t="s">
        <v>13164</v>
      </c>
      <c r="D35">
        <v>6</v>
      </c>
      <c r="E35">
        <v>1</v>
      </c>
      <c r="F35">
        <v>1.15429546364012E-2</v>
      </c>
      <c r="G35">
        <v>1</v>
      </c>
      <c r="H35" t="s">
        <v>7968</v>
      </c>
    </row>
    <row r="36" spans="1:8" x14ac:dyDescent="0.25">
      <c r="A36" t="s">
        <v>13073</v>
      </c>
      <c r="B36" t="str">
        <f>HYPERLINK("http://amigo.geneontology.org/cgi-bin/amigo/term-details.cgi?term=GO:0006026","GO:0006026")</f>
        <v>GO:0006026</v>
      </c>
      <c r="C36" t="s">
        <v>6941</v>
      </c>
      <c r="D36">
        <v>84</v>
      </c>
      <c r="E36">
        <v>2</v>
      </c>
      <c r="F36">
        <v>1.16648035941941E-2</v>
      </c>
      <c r="G36">
        <v>1</v>
      </c>
      <c r="H36" t="s">
        <v>13165</v>
      </c>
    </row>
    <row r="37" spans="1:8" x14ac:dyDescent="0.25">
      <c r="A37" t="s">
        <v>13074</v>
      </c>
      <c r="B37" t="str">
        <f>HYPERLINK("http://amigo.geneontology.org/cgi-bin/amigo/term-details.cgi?term=GO:0006030","GO:0006030")</f>
        <v>GO:0006030</v>
      </c>
      <c r="C37" t="s">
        <v>6943</v>
      </c>
      <c r="D37">
        <v>84</v>
      </c>
      <c r="E37">
        <v>2</v>
      </c>
      <c r="F37">
        <v>1.16648035941941E-2</v>
      </c>
      <c r="G37">
        <v>1</v>
      </c>
      <c r="H37" t="s">
        <v>13165</v>
      </c>
    </row>
    <row r="38" spans="1:8" x14ac:dyDescent="0.25">
      <c r="A38" t="s">
        <v>13075</v>
      </c>
      <c r="B38" t="str">
        <f>HYPERLINK("http://amigo.geneontology.org/cgi-bin/amigo/term-details.cgi?term=GO:0046348","GO:0046348")</f>
        <v>GO:0046348</v>
      </c>
      <c r="C38" t="s">
        <v>6945</v>
      </c>
      <c r="D38">
        <v>84</v>
      </c>
      <c r="E38">
        <v>2</v>
      </c>
      <c r="F38">
        <v>1.16648035941941E-2</v>
      </c>
      <c r="G38">
        <v>1</v>
      </c>
      <c r="H38" t="s">
        <v>13165</v>
      </c>
    </row>
    <row r="39" spans="1:8" x14ac:dyDescent="0.25">
      <c r="A39" t="s">
        <v>13076</v>
      </c>
      <c r="B39" t="str">
        <f>HYPERLINK("http://amigo.geneontology.org/cgi-bin/amigo/term-details.cgi?term=GO:1901072","GO:1901072")</f>
        <v>GO:1901072</v>
      </c>
      <c r="C39" t="s">
        <v>6947</v>
      </c>
      <c r="D39">
        <v>84</v>
      </c>
      <c r="E39">
        <v>2</v>
      </c>
      <c r="F39">
        <v>1.16648035941941E-2</v>
      </c>
      <c r="G39">
        <v>1</v>
      </c>
      <c r="H39" t="s">
        <v>13165</v>
      </c>
    </row>
    <row r="40" spans="1:8" x14ac:dyDescent="0.25">
      <c r="A40" t="s">
        <v>8396</v>
      </c>
      <c r="B40" t="str">
        <f>HYPERLINK("http://amigo.geneontology.org/cgi-bin/amigo/term-details.cgi?term=GO:0006032","GO:0006032")</f>
        <v>GO:0006032</v>
      </c>
      <c r="C40" t="s">
        <v>6949</v>
      </c>
      <c r="D40">
        <v>84</v>
      </c>
      <c r="E40">
        <v>2</v>
      </c>
      <c r="F40">
        <v>1.16648035941941E-2</v>
      </c>
      <c r="G40">
        <v>1</v>
      </c>
      <c r="H40" t="s">
        <v>13165</v>
      </c>
    </row>
    <row r="41" spans="1:8" x14ac:dyDescent="0.25">
      <c r="A41" t="s">
        <v>13077</v>
      </c>
      <c r="B41" t="str">
        <f>HYPERLINK("http://amigo.geneontology.org/cgi-bin/amigo/term-details.cgi?term=GO:0016998","GO:0016998")</f>
        <v>GO:0016998</v>
      </c>
      <c r="C41" t="s">
        <v>6933</v>
      </c>
      <c r="D41">
        <v>86</v>
      </c>
      <c r="E41">
        <v>2</v>
      </c>
      <c r="F41">
        <v>1.2199615970098001E-2</v>
      </c>
      <c r="G41">
        <v>1</v>
      </c>
      <c r="H41" t="s">
        <v>13165</v>
      </c>
    </row>
    <row r="42" spans="1:8" x14ac:dyDescent="0.25">
      <c r="A42" t="s">
        <v>7613</v>
      </c>
      <c r="B42" t="str">
        <f>HYPERLINK("http://amigo.geneontology.org/cgi-bin/amigo/term-details.cgi?term=GO:1901071","GO:1901071")</f>
        <v>GO:1901071</v>
      </c>
      <c r="C42" t="s">
        <v>6953</v>
      </c>
      <c r="D42">
        <v>87</v>
      </c>
      <c r="E42">
        <v>2</v>
      </c>
      <c r="F42">
        <v>1.2470991380815699E-2</v>
      </c>
      <c r="G42">
        <v>1</v>
      </c>
      <c r="H42" t="s">
        <v>13165</v>
      </c>
    </row>
    <row r="43" spans="1:8" x14ac:dyDescent="0.25">
      <c r="A43" t="s">
        <v>13078</v>
      </c>
      <c r="B43" t="str">
        <f>HYPERLINK("http://amigo.geneontology.org/cgi-bin/amigo/term-details.cgi?term=GO:0006022","GO:0006022")</f>
        <v>GO:0006022</v>
      </c>
      <c r="C43" t="s">
        <v>6974</v>
      </c>
      <c r="D43">
        <v>96</v>
      </c>
      <c r="E43">
        <v>2</v>
      </c>
      <c r="F43">
        <v>1.50304631447321E-2</v>
      </c>
      <c r="G43">
        <v>1</v>
      </c>
      <c r="H43" t="s">
        <v>13165</v>
      </c>
    </row>
    <row r="44" spans="1:8" x14ac:dyDescent="0.25">
      <c r="A44" t="s">
        <v>13079</v>
      </c>
      <c r="B44" t="str">
        <f>HYPERLINK("http://amigo.geneontology.org/cgi-bin/amigo/term-details.cgi?term=GO:0006414","GO:0006414")</f>
        <v>GO:0006414</v>
      </c>
      <c r="C44" t="s">
        <v>13166</v>
      </c>
      <c r="D44">
        <v>102</v>
      </c>
      <c r="E44">
        <v>2</v>
      </c>
      <c r="F44">
        <v>1.6851260584993501E-2</v>
      </c>
      <c r="G44">
        <v>1</v>
      </c>
      <c r="H44" t="s">
        <v>13167</v>
      </c>
    </row>
    <row r="45" spans="1:8" x14ac:dyDescent="0.25">
      <c r="A45" t="s">
        <v>13080</v>
      </c>
      <c r="B45" t="str">
        <f>HYPERLINK("http://amigo.geneontology.org/cgi-bin/amigo/term-details.cgi?term=GO:1901136","GO:1901136")</f>
        <v>GO:1901136</v>
      </c>
      <c r="C45" t="s">
        <v>6302</v>
      </c>
      <c r="D45">
        <v>103</v>
      </c>
      <c r="E45">
        <v>2</v>
      </c>
      <c r="F45">
        <v>1.7163430564225601E-2</v>
      </c>
      <c r="G45">
        <v>1</v>
      </c>
      <c r="H45" t="s">
        <v>13165</v>
      </c>
    </row>
    <row r="46" spans="1:8" x14ac:dyDescent="0.25">
      <c r="A46" t="s">
        <v>13081</v>
      </c>
      <c r="B46" t="str">
        <f>HYPERLINK("http://amigo.geneontology.org/cgi-bin/amigo/term-details.cgi?term=GO:0051182","GO:0051182")</f>
        <v>GO:0051182</v>
      </c>
      <c r="C46" t="s">
        <v>13168</v>
      </c>
      <c r="D46">
        <v>9</v>
      </c>
      <c r="E46">
        <v>1</v>
      </c>
      <c r="F46">
        <v>1.72647038937624E-2</v>
      </c>
      <c r="G46">
        <v>1</v>
      </c>
      <c r="H46" t="s">
        <v>7362</v>
      </c>
    </row>
    <row r="47" spans="1:8" x14ac:dyDescent="0.25">
      <c r="A47" t="s">
        <v>13082</v>
      </c>
      <c r="B47" t="str">
        <f>HYPERLINK("http://amigo.geneontology.org/cgi-bin/amigo/term-details.cgi?term=GO:0006452","GO:0006452")</f>
        <v>GO:0006452</v>
      </c>
      <c r="C47" t="s">
        <v>13169</v>
      </c>
      <c r="D47">
        <v>10</v>
      </c>
      <c r="E47">
        <v>1</v>
      </c>
      <c r="F47">
        <v>1.9164633297965E-2</v>
      </c>
      <c r="G47">
        <v>1</v>
      </c>
      <c r="H47" t="s">
        <v>13104</v>
      </c>
    </row>
    <row r="48" spans="1:8" x14ac:dyDescent="0.25">
      <c r="A48" t="s">
        <v>13083</v>
      </c>
      <c r="B48" t="str">
        <f>HYPERLINK("http://amigo.geneontology.org/cgi-bin/amigo/term-details.cgi?term=GO:0045901","GO:0045901")</f>
        <v>GO:0045901</v>
      </c>
      <c r="C48" t="s">
        <v>13170</v>
      </c>
      <c r="D48">
        <v>10</v>
      </c>
      <c r="E48">
        <v>1</v>
      </c>
      <c r="F48">
        <v>1.9164633297965E-2</v>
      </c>
      <c r="G48">
        <v>1</v>
      </c>
      <c r="H48" t="s">
        <v>13104</v>
      </c>
    </row>
    <row r="49" spans="1:8" x14ac:dyDescent="0.25">
      <c r="A49" t="s">
        <v>13084</v>
      </c>
      <c r="B49" t="str">
        <f>HYPERLINK("http://amigo.geneontology.org/cgi-bin/amigo/term-details.cgi?term=GO:0043244","GO:0043244")</f>
        <v>GO:0043244</v>
      </c>
      <c r="C49" t="s">
        <v>13171</v>
      </c>
      <c r="D49">
        <v>10</v>
      </c>
      <c r="E49">
        <v>1</v>
      </c>
      <c r="F49">
        <v>1.9164633297965E-2</v>
      </c>
      <c r="G49">
        <v>1</v>
      </c>
      <c r="H49" t="s">
        <v>13104</v>
      </c>
    </row>
    <row r="50" spans="1:8" x14ac:dyDescent="0.25">
      <c r="A50" t="s">
        <v>13085</v>
      </c>
      <c r="B50" t="str">
        <f>HYPERLINK("http://amigo.geneontology.org/cgi-bin/amigo/term-details.cgi?term=GO:0006449","GO:0006449")</f>
        <v>GO:0006449</v>
      </c>
      <c r="C50" t="s">
        <v>13172</v>
      </c>
      <c r="D50">
        <v>10</v>
      </c>
      <c r="E50">
        <v>1</v>
      </c>
      <c r="F50">
        <v>1.9164633297965E-2</v>
      </c>
      <c r="G50">
        <v>1</v>
      </c>
      <c r="H50" t="s">
        <v>13104</v>
      </c>
    </row>
    <row r="51" spans="1:8" x14ac:dyDescent="0.25">
      <c r="A51" t="s">
        <v>9326</v>
      </c>
      <c r="B51" t="str">
        <f>HYPERLINK("http://amigo.geneontology.org/cgi-bin/amigo/term-details.cgi?term=GO:0043243","GO:0043243")</f>
        <v>GO:0043243</v>
      </c>
      <c r="C51" t="s">
        <v>13173</v>
      </c>
      <c r="D51">
        <v>10</v>
      </c>
      <c r="E51">
        <v>1</v>
      </c>
      <c r="F51">
        <v>1.9164633297965E-2</v>
      </c>
      <c r="G51">
        <v>1</v>
      </c>
      <c r="H51" t="s">
        <v>13104</v>
      </c>
    </row>
    <row r="52" spans="1:8" x14ac:dyDescent="0.25">
      <c r="A52" t="s">
        <v>13086</v>
      </c>
      <c r="B52" t="str">
        <f>HYPERLINK("http://amigo.geneontology.org/cgi-bin/amigo/term-details.cgi?term=GO:0045905","GO:0045905")</f>
        <v>GO:0045905</v>
      </c>
      <c r="C52" t="s">
        <v>13174</v>
      </c>
      <c r="D52">
        <v>10</v>
      </c>
      <c r="E52">
        <v>1</v>
      </c>
      <c r="F52">
        <v>1.9164633297965E-2</v>
      </c>
      <c r="G52">
        <v>1</v>
      </c>
      <c r="H52" t="s">
        <v>13104</v>
      </c>
    </row>
    <row r="53" spans="1:8" x14ac:dyDescent="0.25">
      <c r="A53" t="s">
        <v>13087</v>
      </c>
      <c r="B53" t="str">
        <f>HYPERLINK("http://amigo.geneontology.org/cgi-bin/amigo/term-details.cgi?term=GO:1901679","GO:1901679")</f>
        <v>GO:1901679</v>
      </c>
      <c r="C53" t="s">
        <v>13175</v>
      </c>
      <c r="D53">
        <v>10</v>
      </c>
      <c r="E53">
        <v>1</v>
      </c>
      <c r="F53">
        <v>1.9164633297965E-2</v>
      </c>
      <c r="G53">
        <v>1</v>
      </c>
      <c r="H53" t="s">
        <v>7362</v>
      </c>
    </row>
    <row r="54" spans="1:8" x14ac:dyDescent="0.25">
      <c r="A54" t="s">
        <v>13088</v>
      </c>
      <c r="B54" t="str">
        <f>HYPERLINK("http://amigo.geneontology.org/cgi-bin/amigo/term-details.cgi?term=GO:0048449","GO:0048449")</f>
        <v>GO:0048449</v>
      </c>
      <c r="C54" t="s">
        <v>13036</v>
      </c>
      <c r="D54">
        <v>111</v>
      </c>
      <c r="E54">
        <v>2</v>
      </c>
      <c r="F54">
        <v>1.9748415216928401E-2</v>
      </c>
      <c r="G54">
        <v>1</v>
      </c>
      <c r="H54" t="s">
        <v>13160</v>
      </c>
    </row>
    <row r="55" spans="1:8" x14ac:dyDescent="0.25">
      <c r="A55" t="s">
        <v>13089</v>
      </c>
      <c r="B55" t="str">
        <f>HYPERLINK("http://amigo.geneontology.org/cgi-bin/amigo/term-details.cgi?term=GO:0048444","GO:0048444")</f>
        <v>GO:0048444</v>
      </c>
      <c r="C55" t="s">
        <v>13050</v>
      </c>
      <c r="D55">
        <v>122</v>
      </c>
      <c r="E55">
        <v>2</v>
      </c>
      <c r="F55">
        <v>2.35499128898701E-2</v>
      </c>
      <c r="G55">
        <v>1</v>
      </c>
      <c r="H55" t="s">
        <v>13160</v>
      </c>
    </row>
    <row r="56" spans="1:8" x14ac:dyDescent="0.25">
      <c r="A56" t="s">
        <v>13090</v>
      </c>
      <c r="B56" t="str">
        <f>HYPERLINK("http://amigo.geneontology.org/cgi-bin/amigo/term-details.cgi?term=GO:0015868","GO:0015868")</f>
        <v>GO:0015868</v>
      </c>
      <c r="C56" t="s">
        <v>9062</v>
      </c>
      <c r="D56">
        <v>13</v>
      </c>
      <c r="E56">
        <v>1</v>
      </c>
      <c r="F56">
        <v>2.4842558071656601E-2</v>
      </c>
      <c r="G56">
        <v>1</v>
      </c>
      <c r="H56" t="s">
        <v>7362</v>
      </c>
    </row>
    <row r="57" spans="1:8" x14ac:dyDescent="0.25">
      <c r="A57" t="s">
        <v>13091</v>
      </c>
      <c r="B57" t="str">
        <f>HYPERLINK("http://amigo.geneontology.org/cgi-bin/amigo/term-details.cgi?term=GO:0009057","GO:0009057")</f>
        <v>GO:0009057</v>
      </c>
      <c r="C57" t="s">
        <v>9098</v>
      </c>
      <c r="D57">
        <v>326</v>
      </c>
      <c r="E57">
        <v>3</v>
      </c>
      <c r="F57">
        <v>2.5755671292290502E-2</v>
      </c>
      <c r="G57">
        <v>1</v>
      </c>
      <c r="H57" t="s">
        <v>13176</v>
      </c>
    </row>
    <row r="58" spans="1:8" x14ac:dyDescent="0.25">
      <c r="A58" t="s">
        <v>13092</v>
      </c>
      <c r="B58" t="str">
        <f>HYPERLINK("http://amigo.geneontology.org/cgi-bin/amigo/term-details.cgi?term=GO:0044036","GO:0044036")</f>
        <v>GO:0044036</v>
      </c>
      <c r="C58" t="s">
        <v>828</v>
      </c>
      <c r="D58">
        <v>129</v>
      </c>
      <c r="E58">
        <v>2</v>
      </c>
      <c r="F58">
        <v>2.6112503365704798E-2</v>
      </c>
      <c r="G58">
        <v>1</v>
      </c>
      <c r="H58" t="s">
        <v>13165</v>
      </c>
    </row>
    <row r="59" spans="1:8" x14ac:dyDescent="0.25">
      <c r="A59" t="s">
        <v>13093</v>
      </c>
      <c r="B59" t="str">
        <f>HYPERLINK("http://amigo.geneontology.org/cgi-bin/amigo/term-details.cgi?term=GO:0032501","GO:0032501")</f>
        <v>GO:0032501</v>
      </c>
      <c r="C59" t="s">
        <v>13177</v>
      </c>
      <c r="D59">
        <v>1168</v>
      </c>
      <c r="E59">
        <v>6</v>
      </c>
      <c r="F59">
        <v>2.6566946398233E-2</v>
      </c>
      <c r="G59">
        <v>1</v>
      </c>
      <c r="H59" t="s">
        <v>13178</v>
      </c>
    </row>
    <row r="60" spans="1:8" x14ac:dyDescent="0.25">
      <c r="A60" t="s">
        <v>13094</v>
      </c>
      <c r="B60" t="str">
        <f>HYPERLINK("http://amigo.geneontology.org/cgi-bin/amigo/term-details.cgi?term=GO:0051503","GO:0051503")</f>
        <v>GO:0051503</v>
      </c>
      <c r="C60" t="s">
        <v>9084</v>
      </c>
      <c r="D60">
        <v>14</v>
      </c>
      <c r="E60">
        <v>1</v>
      </c>
      <c r="F60">
        <v>2.6727935006879901E-2</v>
      </c>
      <c r="G60">
        <v>1</v>
      </c>
      <c r="H60" t="s">
        <v>7362</v>
      </c>
    </row>
    <row r="61" spans="1:8" x14ac:dyDescent="0.25">
      <c r="A61" t="s">
        <v>9708</v>
      </c>
      <c r="B61" t="str">
        <f>HYPERLINK("http://amigo.geneontology.org/cgi-bin/amigo/term-details.cgi?term=GO:0016973","GO:0016973")</f>
        <v>GO:0016973</v>
      </c>
      <c r="C61" t="s">
        <v>13179</v>
      </c>
      <c r="D61">
        <v>14</v>
      </c>
      <c r="E61">
        <v>1</v>
      </c>
      <c r="F61">
        <v>2.6727935006879901E-2</v>
      </c>
      <c r="G61">
        <v>1</v>
      </c>
      <c r="H61" t="s">
        <v>8000</v>
      </c>
    </row>
    <row r="62" spans="1:8" x14ac:dyDescent="0.25">
      <c r="A62" t="s">
        <v>13095</v>
      </c>
      <c r="B62" t="str">
        <f>HYPERLINK("http://amigo.geneontology.org/cgi-bin/amigo/term-details.cgi?term=GO:0030071","GO:0030071")</f>
        <v>GO:0030071</v>
      </c>
      <c r="C62" t="s">
        <v>13180</v>
      </c>
      <c r="D62">
        <v>15</v>
      </c>
      <c r="E62">
        <v>1</v>
      </c>
      <c r="F62">
        <v>2.8609691155563E-2</v>
      </c>
      <c r="G62">
        <v>1</v>
      </c>
      <c r="H62" t="s">
        <v>7445</v>
      </c>
    </row>
    <row r="63" spans="1:8" x14ac:dyDescent="0.25">
      <c r="A63" t="s">
        <v>13096</v>
      </c>
      <c r="B63" t="str">
        <f>HYPERLINK("http://amigo.geneontology.org/cgi-bin/amigo/term-details.cgi?term=GO:0000387","GO:0000387")</f>
        <v>GO:0000387</v>
      </c>
      <c r="C63" t="s">
        <v>13181</v>
      </c>
      <c r="D63">
        <v>17</v>
      </c>
      <c r="E63">
        <v>1</v>
      </c>
      <c r="F63">
        <v>3.2362368713214497E-2</v>
      </c>
      <c r="G63">
        <v>1</v>
      </c>
      <c r="H63" t="s">
        <v>7964</v>
      </c>
    </row>
    <row r="64" spans="1:8" x14ac:dyDescent="0.25">
      <c r="A64" t="s">
        <v>13097</v>
      </c>
      <c r="B64" t="str">
        <f>HYPERLINK("http://amigo.geneontology.org/cgi-bin/amigo/term-details.cgi?term=GO:0051276","GO:0051276")</f>
        <v>GO:0051276</v>
      </c>
      <c r="C64" t="s">
        <v>13182</v>
      </c>
      <c r="D64">
        <v>368</v>
      </c>
      <c r="E64">
        <v>3</v>
      </c>
      <c r="F64">
        <v>3.50022705551448E-2</v>
      </c>
      <c r="G64">
        <v>1</v>
      </c>
      <c r="H64" t="s">
        <v>13183</v>
      </c>
    </row>
    <row r="65" spans="1:8" x14ac:dyDescent="0.25">
      <c r="A65" t="s">
        <v>8482</v>
      </c>
      <c r="B65" t="str">
        <f>HYPERLINK("http://amigo.geneontology.org/cgi-bin/amigo/term-details.cgi?term=GO:1905393","GO:1905393")</f>
        <v>GO:1905393</v>
      </c>
      <c r="C65" t="s">
        <v>13184</v>
      </c>
      <c r="D65">
        <v>153</v>
      </c>
      <c r="E65">
        <v>2</v>
      </c>
      <c r="F65">
        <v>3.5694677622067197E-2</v>
      </c>
      <c r="G65">
        <v>1</v>
      </c>
      <c r="H65" t="s">
        <v>13160</v>
      </c>
    </row>
    <row r="66" spans="1:8" x14ac:dyDescent="0.25">
      <c r="A66" t="s">
        <v>13098</v>
      </c>
      <c r="B66" t="str">
        <f>HYPERLINK("http://amigo.geneontology.org/cgi-bin/amigo/term-details.cgi?term=GO:0006448","GO:0006448")</f>
        <v>GO:0006448</v>
      </c>
      <c r="C66" t="s">
        <v>13185</v>
      </c>
      <c r="D66">
        <v>19</v>
      </c>
      <c r="E66">
        <v>1</v>
      </c>
      <c r="F66">
        <v>3.6100645841137598E-2</v>
      </c>
      <c r="G66">
        <v>1</v>
      </c>
      <c r="H66" t="s">
        <v>13104</v>
      </c>
    </row>
    <row r="67" spans="1:8" x14ac:dyDescent="0.25">
      <c r="A67" t="s">
        <v>13099</v>
      </c>
      <c r="B67" t="str">
        <f>HYPERLINK("http://amigo.geneontology.org/cgi-bin/amigo/term-details.cgi?term=GO:0009880","GO:0009880")</f>
        <v>GO:0009880</v>
      </c>
      <c r="C67" t="s">
        <v>13186</v>
      </c>
      <c r="D67">
        <v>21</v>
      </c>
      <c r="E67">
        <v>1</v>
      </c>
      <c r="F67">
        <v>3.98245774272738E-2</v>
      </c>
      <c r="G67">
        <v>1</v>
      </c>
      <c r="H67" t="s">
        <v>7968</v>
      </c>
    </row>
    <row r="68" spans="1:8" x14ac:dyDescent="0.25">
      <c r="A68" t="s">
        <v>13100</v>
      </c>
      <c r="B68" t="str">
        <f>HYPERLINK("http://amigo.geneontology.org/cgi-bin/amigo/term-details.cgi?term=GO:0007018","GO:0007018")</f>
        <v>GO:0007018</v>
      </c>
      <c r="C68" t="s">
        <v>5919</v>
      </c>
      <c r="D68">
        <v>163</v>
      </c>
      <c r="E68">
        <v>2</v>
      </c>
      <c r="F68">
        <v>4.00292309846473E-2</v>
      </c>
      <c r="G68">
        <v>1</v>
      </c>
      <c r="H68" t="s">
        <v>13187</v>
      </c>
    </row>
    <row r="69" spans="1:8" x14ac:dyDescent="0.25">
      <c r="A69" t="s">
        <v>13101</v>
      </c>
      <c r="B69" t="str">
        <f>HYPERLINK("http://amigo.geneontology.org/cgi-bin/amigo/term-details.cgi?term=GO:0008612","GO:0008612")</f>
        <v>GO:0008612</v>
      </c>
      <c r="C69" t="s">
        <v>13188</v>
      </c>
      <c r="D69">
        <v>22</v>
      </c>
      <c r="E69">
        <v>1</v>
      </c>
      <c r="F69">
        <v>4.1681180739084299E-2</v>
      </c>
      <c r="G69">
        <v>1</v>
      </c>
      <c r="H69" t="s">
        <v>13104</v>
      </c>
    </row>
    <row r="70" spans="1:8" x14ac:dyDescent="0.25">
      <c r="A70" t="s">
        <v>8498</v>
      </c>
      <c r="B70" t="str">
        <f>HYPERLINK("http://amigo.geneontology.org/cgi-bin/amigo/term-details.cgi?term=GO:0051247","GO:0051247")</f>
        <v>GO:0051247</v>
      </c>
      <c r="C70" t="s">
        <v>13189</v>
      </c>
      <c r="D70">
        <v>22</v>
      </c>
      <c r="E70">
        <v>1</v>
      </c>
      <c r="F70">
        <v>4.1681180739084299E-2</v>
      </c>
      <c r="G70">
        <v>1</v>
      </c>
      <c r="H70" t="s">
        <v>7998</v>
      </c>
    </row>
    <row r="71" spans="1:8" x14ac:dyDescent="0.25">
      <c r="A71" t="s">
        <v>13102</v>
      </c>
      <c r="B71" t="str">
        <f>HYPERLINK("http://amigo.geneontology.org/cgi-bin/amigo/term-details.cgi?term=GO:0051173","GO:0051173")</f>
        <v>GO:0051173</v>
      </c>
      <c r="C71" t="s">
        <v>130</v>
      </c>
      <c r="D71">
        <v>25</v>
      </c>
      <c r="E71">
        <v>1</v>
      </c>
      <c r="F71">
        <v>4.7229622494249203E-2</v>
      </c>
      <c r="G71">
        <v>1</v>
      </c>
      <c r="H71" t="s">
        <v>7998</v>
      </c>
    </row>
    <row r="72" spans="1:8" x14ac:dyDescent="0.25">
      <c r="A72" t="s">
        <v>13103</v>
      </c>
      <c r="B72" t="str">
        <f>HYPERLINK("http://amigo.geneontology.org/cgi-bin/amigo/term-details.cgi?term=GO:0006928","GO:0006928")</f>
        <v>GO:0006928</v>
      </c>
      <c r="C72" t="s">
        <v>1350</v>
      </c>
      <c r="D72">
        <v>180</v>
      </c>
      <c r="E72">
        <v>2</v>
      </c>
      <c r="F72">
        <v>4.7824515934394803E-2</v>
      </c>
      <c r="G72">
        <v>1</v>
      </c>
      <c r="H72" t="s">
        <v>13187</v>
      </c>
    </row>
    <row r="73" spans="1:8" x14ac:dyDescent="0.25">
      <c r="A73" t="s">
        <v>8501</v>
      </c>
    </row>
    <row r="74" spans="1:8" x14ac:dyDescent="0.25">
      <c r="A74" t="s">
        <v>13104</v>
      </c>
    </row>
    <row r="75" spans="1:8" x14ac:dyDescent="0.25">
      <c r="A75" t="s">
        <v>13105</v>
      </c>
    </row>
    <row r="76" spans="1:8" x14ac:dyDescent="0.25">
      <c r="A76" t="s">
        <v>13106</v>
      </c>
    </row>
    <row r="77" spans="1:8" x14ac:dyDescent="0.25">
      <c r="A77" t="s">
        <v>13107</v>
      </c>
    </row>
    <row r="78" spans="1:8" x14ac:dyDescent="0.25">
      <c r="A78" t="s">
        <v>13108</v>
      </c>
    </row>
    <row r="79" spans="1:8" x14ac:dyDescent="0.25">
      <c r="A79" t="s">
        <v>13109</v>
      </c>
    </row>
    <row r="80" spans="1:8" x14ac:dyDescent="0.25">
      <c r="A80" t="s">
        <v>13110</v>
      </c>
    </row>
    <row r="81" spans="1:1" x14ac:dyDescent="0.25">
      <c r="A81" t="s">
        <v>7845</v>
      </c>
    </row>
    <row r="82" spans="1:1" x14ac:dyDescent="0.25">
      <c r="A82" t="s">
        <v>13111</v>
      </c>
    </row>
    <row r="83" spans="1:1" x14ac:dyDescent="0.25">
      <c r="A83" t="s">
        <v>13112</v>
      </c>
    </row>
    <row r="84" spans="1:1" x14ac:dyDescent="0.25">
      <c r="A84" t="s">
        <v>13113</v>
      </c>
    </row>
    <row r="85" spans="1:1" x14ac:dyDescent="0.25">
      <c r="A85" t="s">
        <v>13114</v>
      </c>
    </row>
    <row r="86" spans="1:1" x14ac:dyDescent="0.25">
      <c r="A86" t="s">
        <v>13115</v>
      </c>
    </row>
    <row r="87" spans="1:1" x14ac:dyDescent="0.25">
      <c r="A87" t="s">
        <v>8814</v>
      </c>
    </row>
    <row r="88" spans="1:1" x14ac:dyDescent="0.25">
      <c r="A88" t="s">
        <v>13031</v>
      </c>
    </row>
    <row r="89" spans="1:1" x14ac:dyDescent="0.25">
      <c r="A89" t="s">
        <v>13116</v>
      </c>
    </row>
    <row r="90" spans="1:1" x14ac:dyDescent="0.25">
      <c r="A90" t="s">
        <v>7900</v>
      </c>
    </row>
    <row r="91" spans="1:1" x14ac:dyDescent="0.25">
      <c r="A91" t="s">
        <v>13117</v>
      </c>
    </row>
    <row r="92" spans="1:1" x14ac:dyDescent="0.25">
      <c r="A92" t="s">
        <v>13118</v>
      </c>
    </row>
    <row r="93" spans="1:1" x14ac:dyDescent="0.25">
      <c r="A93" t="s">
        <v>13119</v>
      </c>
    </row>
    <row r="94" spans="1:1" x14ac:dyDescent="0.25">
      <c r="A94" t="s">
        <v>13120</v>
      </c>
    </row>
    <row r="95" spans="1:1" x14ac:dyDescent="0.25">
      <c r="A95" t="s">
        <v>8568</v>
      </c>
    </row>
    <row r="96" spans="1:1" x14ac:dyDescent="0.25">
      <c r="A96" t="s">
        <v>13121</v>
      </c>
    </row>
    <row r="97" spans="1:1" x14ac:dyDescent="0.25">
      <c r="A97" t="s">
        <v>13122</v>
      </c>
    </row>
    <row r="98" spans="1:1" x14ac:dyDescent="0.25">
      <c r="A98" t="s">
        <v>13123</v>
      </c>
    </row>
    <row r="99" spans="1:1" x14ac:dyDescent="0.25">
      <c r="A99" t="s">
        <v>7921</v>
      </c>
    </row>
    <row r="100" spans="1:1" x14ac:dyDescent="0.25">
      <c r="A100" t="s">
        <v>7922</v>
      </c>
    </row>
    <row r="101" spans="1:1" x14ac:dyDescent="0.25">
      <c r="A101" t="s">
        <v>7923</v>
      </c>
    </row>
    <row r="102" spans="1:1" x14ac:dyDescent="0.25">
      <c r="A102" t="s">
        <v>7924</v>
      </c>
    </row>
    <row r="103" spans="1:1" x14ac:dyDescent="0.25">
      <c r="A103" t="s">
        <v>7925</v>
      </c>
    </row>
    <row r="104" spans="1:1" x14ac:dyDescent="0.25">
      <c r="A104" t="s">
        <v>7926</v>
      </c>
    </row>
    <row r="105" spans="1:1" x14ac:dyDescent="0.25">
      <c r="A105" t="s">
        <v>7927</v>
      </c>
    </row>
    <row r="106" spans="1:1" x14ac:dyDescent="0.25">
      <c r="A106" t="s">
        <v>7928</v>
      </c>
    </row>
    <row r="107" spans="1:1" x14ac:dyDescent="0.25">
      <c r="A107" t="s">
        <v>7929</v>
      </c>
    </row>
    <row r="108" spans="1:1" x14ac:dyDescent="0.25">
      <c r="A108" t="s">
        <v>7930</v>
      </c>
    </row>
    <row r="109" spans="1:1" x14ac:dyDescent="0.25">
      <c r="A109" t="s">
        <v>7931</v>
      </c>
    </row>
    <row r="110" spans="1:1" x14ac:dyDescent="0.25">
      <c r="A110" t="s">
        <v>7932</v>
      </c>
    </row>
    <row r="111" spans="1:1" x14ac:dyDescent="0.25">
      <c r="A111" t="s">
        <v>7933</v>
      </c>
    </row>
    <row r="112" spans="1:1" x14ac:dyDescent="0.25">
      <c r="A112" t="s">
        <v>7934</v>
      </c>
    </row>
    <row r="113" spans="1:1" x14ac:dyDescent="0.25">
      <c r="A113" t="s">
        <v>7935</v>
      </c>
    </row>
    <row r="114" spans="1:1" x14ac:dyDescent="0.25">
      <c r="A114" t="s">
        <v>7936</v>
      </c>
    </row>
    <row r="115" spans="1:1" x14ac:dyDescent="0.25">
      <c r="A115" t="s">
        <v>7937</v>
      </c>
    </row>
    <row r="116" spans="1:1" x14ac:dyDescent="0.25">
      <c r="A116" t="s">
        <v>7939</v>
      </c>
    </row>
    <row r="117" spans="1:1" x14ac:dyDescent="0.25">
      <c r="A117" t="s">
        <v>7940</v>
      </c>
    </row>
    <row r="118" spans="1:1" x14ac:dyDescent="0.25">
      <c r="A118" t="s">
        <v>7941</v>
      </c>
    </row>
    <row r="119" spans="1:1" x14ac:dyDescent="0.25">
      <c r="A119" t="s">
        <v>7942</v>
      </c>
    </row>
    <row r="120" spans="1:1" x14ac:dyDescent="0.25">
      <c r="A120" t="s">
        <v>7943</v>
      </c>
    </row>
    <row r="121" spans="1:1" x14ac:dyDescent="0.25">
      <c r="A121" t="s">
        <v>7945</v>
      </c>
    </row>
    <row r="122" spans="1:1" x14ac:dyDescent="0.25">
      <c r="A122" t="s">
        <v>7946</v>
      </c>
    </row>
    <row r="123" spans="1:1" x14ac:dyDescent="0.25">
      <c r="A123" t="s">
        <v>7947</v>
      </c>
    </row>
    <row r="124" spans="1:1" x14ac:dyDescent="0.25">
      <c r="A124" t="s">
        <v>7948</v>
      </c>
    </row>
    <row r="125" spans="1:1" x14ac:dyDescent="0.25">
      <c r="A125" t="s">
        <v>7949</v>
      </c>
    </row>
    <row r="126" spans="1:1" x14ac:dyDescent="0.25">
      <c r="A126" t="s">
        <v>8573</v>
      </c>
    </row>
    <row r="127" spans="1:1" x14ac:dyDescent="0.25">
      <c r="A127" t="s">
        <v>7950</v>
      </c>
    </row>
    <row r="128" spans="1:1" x14ac:dyDescent="0.25">
      <c r="A128" t="s">
        <v>7951</v>
      </c>
    </row>
    <row r="129" spans="1:1" x14ac:dyDescent="0.25">
      <c r="A129" t="s">
        <v>7952</v>
      </c>
    </row>
    <row r="130" spans="1:1" x14ac:dyDescent="0.25">
      <c r="A130" t="s">
        <v>7953</v>
      </c>
    </row>
    <row r="131" spans="1:1" x14ac:dyDescent="0.25">
      <c r="A131" t="s">
        <v>7954</v>
      </c>
    </row>
    <row r="132" spans="1:1" x14ac:dyDescent="0.25">
      <c r="A132" t="s">
        <v>7955</v>
      </c>
    </row>
    <row r="133" spans="1:1" x14ac:dyDescent="0.25">
      <c r="A133" t="s">
        <v>7956</v>
      </c>
    </row>
    <row r="134" spans="1:1" x14ac:dyDescent="0.25">
      <c r="A134" t="s">
        <v>7957</v>
      </c>
    </row>
    <row r="135" spans="1:1" x14ac:dyDescent="0.25">
      <c r="A135" t="s">
        <v>7958</v>
      </c>
    </row>
    <row r="136" spans="1:1" x14ac:dyDescent="0.25">
      <c r="A136" t="s">
        <v>7959</v>
      </c>
    </row>
    <row r="137" spans="1:1" x14ac:dyDescent="0.25">
      <c r="A137" t="s">
        <v>7960</v>
      </c>
    </row>
    <row r="138" spans="1:1" x14ac:dyDescent="0.25">
      <c r="A138" t="s">
        <v>7961</v>
      </c>
    </row>
    <row r="139" spans="1:1" x14ac:dyDescent="0.25">
      <c r="A139" t="s">
        <v>7962</v>
      </c>
    </row>
    <row r="140" spans="1:1" x14ac:dyDescent="0.25">
      <c r="A140" t="s">
        <v>7963</v>
      </c>
    </row>
    <row r="141" spans="1:1" x14ac:dyDescent="0.25">
      <c r="A141" t="s">
        <v>7964</v>
      </c>
    </row>
    <row r="142" spans="1:1" x14ac:dyDescent="0.25">
      <c r="A142" t="s">
        <v>7965</v>
      </c>
    </row>
    <row r="143" spans="1:1" x14ac:dyDescent="0.25">
      <c r="A143" t="s">
        <v>7966</v>
      </c>
    </row>
    <row r="144" spans="1:1" x14ac:dyDescent="0.25">
      <c r="A144" t="s">
        <v>7967</v>
      </c>
    </row>
    <row r="145" spans="1:1" x14ac:dyDescent="0.25">
      <c r="A145" t="s">
        <v>7968</v>
      </c>
    </row>
    <row r="146" spans="1:1" x14ac:dyDescent="0.25">
      <c r="A146" t="s">
        <v>7969</v>
      </c>
    </row>
    <row r="147" spans="1:1" x14ac:dyDescent="0.25">
      <c r="A147" t="s">
        <v>7362</v>
      </c>
    </row>
    <row r="148" spans="1:1" x14ac:dyDescent="0.25">
      <c r="A148" t="s">
        <v>7970</v>
      </c>
    </row>
    <row r="149" spans="1:1" x14ac:dyDescent="0.25">
      <c r="A149" t="s">
        <v>7971</v>
      </c>
    </row>
    <row r="150" spans="1:1" x14ac:dyDescent="0.25">
      <c r="A150" t="s">
        <v>7972</v>
      </c>
    </row>
    <row r="151" spans="1:1" x14ac:dyDescent="0.25">
      <c r="A151" t="s">
        <v>7973</v>
      </c>
    </row>
    <row r="152" spans="1:1" x14ac:dyDescent="0.25">
      <c r="A152" t="s">
        <v>7974</v>
      </c>
    </row>
    <row r="153" spans="1:1" x14ac:dyDescent="0.25">
      <c r="A153" t="s">
        <v>7975</v>
      </c>
    </row>
    <row r="154" spans="1:1" x14ac:dyDescent="0.25">
      <c r="A154" t="s">
        <v>7976</v>
      </c>
    </row>
    <row r="155" spans="1:1" x14ac:dyDescent="0.25">
      <c r="A155" t="s">
        <v>7977</v>
      </c>
    </row>
    <row r="156" spans="1:1" x14ac:dyDescent="0.25">
      <c r="A156" t="s">
        <v>7978</v>
      </c>
    </row>
    <row r="157" spans="1:1" x14ac:dyDescent="0.25">
      <c r="A157" t="s">
        <v>7979</v>
      </c>
    </row>
    <row r="158" spans="1:1" x14ac:dyDescent="0.25">
      <c r="A158" t="s">
        <v>7980</v>
      </c>
    </row>
    <row r="159" spans="1:1" x14ac:dyDescent="0.25">
      <c r="A159" t="s">
        <v>7981</v>
      </c>
    </row>
    <row r="160" spans="1:1" x14ac:dyDescent="0.25">
      <c r="A160" t="s">
        <v>7982</v>
      </c>
    </row>
    <row r="161" spans="1:1" x14ac:dyDescent="0.25">
      <c r="A161" t="s">
        <v>7983</v>
      </c>
    </row>
    <row r="162" spans="1:1" x14ac:dyDescent="0.25">
      <c r="A162" t="s">
        <v>7984</v>
      </c>
    </row>
    <row r="163" spans="1:1" x14ac:dyDescent="0.25">
      <c r="A163" t="s">
        <v>7985</v>
      </c>
    </row>
    <row r="164" spans="1:1" x14ac:dyDescent="0.25">
      <c r="A164" t="s">
        <v>7445</v>
      </c>
    </row>
    <row r="165" spans="1:1" x14ac:dyDescent="0.25">
      <c r="A165" t="s">
        <v>7986</v>
      </c>
    </row>
    <row r="166" spans="1:1" x14ac:dyDescent="0.25">
      <c r="A166" t="s">
        <v>7987</v>
      </c>
    </row>
    <row r="167" spans="1:1" x14ac:dyDescent="0.25">
      <c r="A167" t="s">
        <v>7988</v>
      </c>
    </row>
    <row r="168" spans="1:1" x14ac:dyDescent="0.25">
      <c r="A168" t="s">
        <v>7989</v>
      </c>
    </row>
    <row r="169" spans="1:1" x14ac:dyDescent="0.25">
      <c r="A169" t="s">
        <v>7990</v>
      </c>
    </row>
    <row r="170" spans="1:1" x14ac:dyDescent="0.25">
      <c r="A170" t="s">
        <v>7991</v>
      </c>
    </row>
    <row r="171" spans="1:1" x14ac:dyDescent="0.25">
      <c r="A171" t="s">
        <v>7992</v>
      </c>
    </row>
    <row r="172" spans="1:1" x14ac:dyDescent="0.25">
      <c r="A172" t="s">
        <v>7993</v>
      </c>
    </row>
    <row r="173" spans="1:1" x14ac:dyDescent="0.25">
      <c r="A173" t="s">
        <v>7994</v>
      </c>
    </row>
    <row r="174" spans="1:1" x14ac:dyDescent="0.25">
      <c r="A174" t="s">
        <v>7995</v>
      </c>
    </row>
    <row r="175" spans="1:1" x14ac:dyDescent="0.25">
      <c r="A175" t="s">
        <v>7996</v>
      </c>
    </row>
    <row r="176" spans="1:1" x14ac:dyDescent="0.25">
      <c r="A176" t="s">
        <v>7997</v>
      </c>
    </row>
    <row r="177" spans="1:1" x14ac:dyDescent="0.25">
      <c r="A177" t="s">
        <v>7998</v>
      </c>
    </row>
    <row r="178" spans="1:1" x14ac:dyDescent="0.25">
      <c r="A178" t="s">
        <v>7999</v>
      </c>
    </row>
    <row r="179" spans="1:1" x14ac:dyDescent="0.25">
      <c r="A179" t="s">
        <v>8000</v>
      </c>
    </row>
    <row r="180" spans="1:1" x14ac:dyDescent="0.25">
      <c r="A180" t="s">
        <v>8001</v>
      </c>
    </row>
    <row r="181" spans="1:1" x14ac:dyDescent="0.25">
      <c r="A181" t="s">
        <v>8003</v>
      </c>
    </row>
    <row r="182" spans="1:1" x14ac:dyDescent="0.25">
      <c r="A182" t="s">
        <v>8004</v>
      </c>
    </row>
    <row r="183" spans="1:1" x14ac:dyDescent="0.25">
      <c r="A183" t="s">
        <v>8005</v>
      </c>
    </row>
    <row r="184" spans="1:1" x14ac:dyDescent="0.25">
      <c r="A184" t="s">
        <v>8006</v>
      </c>
    </row>
    <row r="185" spans="1:1" x14ac:dyDescent="0.25">
      <c r="A185" t="s">
        <v>8007</v>
      </c>
    </row>
    <row r="186" spans="1:1" x14ac:dyDescent="0.25">
      <c r="A186" t="s">
        <v>8008</v>
      </c>
    </row>
    <row r="187" spans="1:1" x14ac:dyDescent="0.25">
      <c r="A187" t="s">
        <v>13124</v>
      </c>
    </row>
    <row r="188" spans="1:1" x14ac:dyDescent="0.25">
      <c r="A188" t="s">
        <v>8009</v>
      </c>
    </row>
    <row r="189" spans="1:1" x14ac:dyDescent="0.25">
      <c r="A189" t="s">
        <v>8010</v>
      </c>
    </row>
    <row r="190" spans="1:1" x14ac:dyDescent="0.25">
      <c r="A190" t="s">
        <v>8011</v>
      </c>
    </row>
    <row r="191" spans="1:1" x14ac:dyDescent="0.25">
      <c r="A191" t="s">
        <v>8012</v>
      </c>
    </row>
    <row r="192" spans="1:1" x14ac:dyDescent="0.25">
      <c r="A192" t="s">
        <v>8013</v>
      </c>
    </row>
    <row r="193" spans="1:1" x14ac:dyDescent="0.25">
      <c r="A193" t="s">
        <v>8014</v>
      </c>
    </row>
    <row r="194" spans="1:1" x14ac:dyDescent="0.25">
      <c r="A194" t="s">
        <v>8015</v>
      </c>
    </row>
    <row r="195" spans="1:1" x14ac:dyDescent="0.25">
      <c r="A195" t="s">
        <v>8016</v>
      </c>
    </row>
    <row r="196" spans="1:1" x14ac:dyDescent="0.25">
      <c r="A196" t="s">
        <v>8017</v>
      </c>
    </row>
    <row r="197" spans="1:1" x14ac:dyDescent="0.25">
      <c r="A197" t="s">
        <v>13125</v>
      </c>
    </row>
    <row r="198" spans="1:1" x14ac:dyDescent="0.25">
      <c r="A198" t="s">
        <v>8594</v>
      </c>
    </row>
    <row r="199" spans="1:1" x14ac:dyDescent="0.25">
      <c r="A199" t="s">
        <v>13126</v>
      </c>
    </row>
    <row r="200" spans="1:1" x14ac:dyDescent="0.25">
      <c r="A200" t="s">
        <v>13127</v>
      </c>
    </row>
    <row r="201" spans="1:1" x14ac:dyDescent="0.25">
      <c r="A201" t="s">
        <v>13128</v>
      </c>
    </row>
    <row r="202" spans="1:1" x14ac:dyDescent="0.25">
      <c r="A202" t="s">
        <v>13129</v>
      </c>
    </row>
    <row r="203" spans="1:1" x14ac:dyDescent="0.25">
      <c r="A203" t="s">
        <v>13130</v>
      </c>
    </row>
    <row r="204" spans="1:1" x14ac:dyDescent="0.25">
      <c r="A204" t="s">
        <v>8645</v>
      </c>
    </row>
    <row r="205" spans="1:1" x14ac:dyDescent="0.25">
      <c r="A205" t="s">
        <v>13131</v>
      </c>
    </row>
    <row r="206" spans="1:1" x14ac:dyDescent="0.25">
      <c r="A206" t="s">
        <v>9522</v>
      </c>
    </row>
    <row r="207" spans="1:1" x14ac:dyDescent="0.25">
      <c r="A207" t="s">
        <v>8647</v>
      </c>
    </row>
    <row r="208" spans="1:1" x14ac:dyDescent="0.25">
      <c r="A208" t="s">
        <v>8124</v>
      </c>
    </row>
    <row r="209" spans="1:1" x14ac:dyDescent="0.25">
      <c r="A209" t="s">
        <v>13132</v>
      </c>
    </row>
    <row r="210" spans="1:1" x14ac:dyDescent="0.25">
      <c r="A210" t="s">
        <v>13133</v>
      </c>
    </row>
    <row r="211" spans="1:1" x14ac:dyDescent="0.25">
      <c r="A211" t="s">
        <v>13134</v>
      </c>
    </row>
    <row r="212" spans="1:1" x14ac:dyDescent="0.25">
      <c r="A212" t="s">
        <v>13135</v>
      </c>
    </row>
    <row r="213" spans="1:1" x14ac:dyDescent="0.25">
      <c r="A213" t="s">
        <v>13136</v>
      </c>
    </row>
    <row r="214" spans="1:1" x14ac:dyDescent="0.25">
      <c r="A214" t="s">
        <v>9539</v>
      </c>
    </row>
    <row r="215" spans="1:1" x14ac:dyDescent="0.25">
      <c r="A215" t="s">
        <v>13137</v>
      </c>
    </row>
    <row r="216" spans="1:1" x14ac:dyDescent="0.25">
      <c r="A216" t="s">
        <v>13138</v>
      </c>
    </row>
    <row r="217" spans="1:1" x14ac:dyDescent="0.25">
      <c r="A217" t="s">
        <v>13139</v>
      </c>
    </row>
    <row r="218" spans="1:1" x14ac:dyDescent="0.25">
      <c r="A218" t="s">
        <v>13140</v>
      </c>
    </row>
    <row r="219" spans="1:1" x14ac:dyDescent="0.25">
      <c r="A219" t="s">
        <v>13141</v>
      </c>
    </row>
  </sheetData>
  <pageMargins left="0.7" right="0.7" top="0.75" bottom="0.75" header="0.3" footer="0.3"/>
  <pageSetup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7"/>
  <sheetViews>
    <sheetView workbookViewId="0">
      <pane xSplit="6" ySplit="11" topLeftCell="G12" activePane="bottomRight" state="frozen"/>
      <selection pane="topRight" activeCell="G1" sqref="G1"/>
      <selection pane="bottomLeft" activeCell="A11" sqref="A11"/>
      <selection pane="bottomRight"/>
    </sheetView>
  </sheetViews>
  <sheetFormatPr defaultRowHeight="15" x14ac:dyDescent="0.25"/>
  <cols>
    <col min="1" max="1" width="24.85546875" customWidth="1"/>
    <col min="2" max="2" width="14.85546875" customWidth="1"/>
    <col min="3" max="3" width="34.85546875" customWidth="1"/>
  </cols>
  <sheetData>
    <row r="1" spans="1:8" ht="20.25" x14ac:dyDescent="0.3">
      <c r="A1" s="12" t="s">
        <v>13190</v>
      </c>
    </row>
    <row r="2" spans="1:8" x14ac:dyDescent="0.25">
      <c r="A2" t="s">
        <v>13191</v>
      </c>
      <c r="B2" t="s">
        <v>2</v>
      </c>
      <c r="C2">
        <v>361</v>
      </c>
    </row>
    <row r="3" spans="1:8" x14ac:dyDescent="0.25">
      <c r="A3" t="s">
        <v>6888</v>
      </c>
      <c r="B3" t="s">
        <v>4</v>
      </c>
      <c r="C3">
        <v>77079</v>
      </c>
    </row>
    <row r="4" spans="1:8" x14ac:dyDescent="0.25">
      <c r="A4" t="s">
        <v>10004</v>
      </c>
      <c r="B4" t="s">
        <v>6</v>
      </c>
      <c r="C4" t="s">
        <v>7</v>
      </c>
    </row>
    <row r="5" spans="1:8" x14ac:dyDescent="0.25">
      <c r="A5" t="s">
        <v>6907</v>
      </c>
      <c r="B5" t="s">
        <v>9</v>
      </c>
      <c r="C5" t="s">
        <v>10</v>
      </c>
    </row>
    <row r="6" spans="1:8" x14ac:dyDescent="0.25">
      <c r="A6" t="s">
        <v>10005</v>
      </c>
      <c r="B6" t="s">
        <v>12</v>
      </c>
      <c r="C6" t="s">
        <v>13144</v>
      </c>
    </row>
    <row r="7" spans="1:8" x14ac:dyDescent="0.25">
      <c r="A7" t="s">
        <v>10006</v>
      </c>
      <c r="B7" t="s">
        <v>15</v>
      </c>
      <c r="C7" t="s">
        <v>16</v>
      </c>
    </row>
    <row r="8" spans="1:8" x14ac:dyDescent="0.25">
      <c r="A8" t="s">
        <v>6929</v>
      </c>
      <c r="B8" t="s">
        <v>18</v>
      </c>
      <c r="C8">
        <v>3</v>
      </c>
    </row>
    <row r="9" spans="1:8" x14ac:dyDescent="0.25">
      <c r="A9" t="s">
        <v>8177</v>
      </c>
      <c r="B9" t="s">
        <v>21</v>
      </c>
      <c r="C9" t="s">
        <v>19</v>
      </c>
    </row>
    <row r="10" spans="1:8" x14ac:dyDescent="0.25">
      <c r="A10" t="s">
        <v>6950</v>
      </c>
    </row>
    <row r="11" spans="1:8" x14ac:dyDescent="0.25">
      <c r="A11" t="s">
        <v>10010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</row>
    <row r="12" spans="1:8" x14ac:dyDescent="0.25">
      <c r="A12" t="s">
        <v>8880</v>
      </c>
      <c r="B12" t="str">
        <f>HYPERLINK("http://amigo.geneontology.org/cgi-bin/amigo/term-details.cgi?term=GO:1902222","GO:1902222")</f>
        <v>GO:1902222</v>
      </c>
      <c r="C12" t="s">
        <v>6903</v>
      </c>
      <c r="D12">
        <v>62</v>
      </c>
      <c r="E12">
        <v>17</v>
      </c>
      <c r="F12" s="4">
        <v>1.04896802944295E-25</v>
      </c>
      <c r="G12" s="4">
        <v>2.3675208424527499E-22</v>
      </c>
      <c r="H12" t="s">
        <v>10007</v>
      </c>
    </row>
    <row r="13" spans="1:8" x14ac:dyDescent="0.25">
      <c r="A13" t="s">
        <v>6971</v>
      </c>
      <c r="B13" t="str">
        <f>HYPERLINK("http://amigo.geneontology.org/cgi-bin/amigo/term-details.cgi?term=GO:0006559","GO:0006559")</f>
        <v>GO:0006559</v>
      </c>
      <c r="C13" t="s">
        <v>6906</v>
      </c>
      <c r="D13">
        <v>62</v>
      </c>
      <c r="E13">
        <v>17</v>
      </c>
      <c r="F13" s="4">
        <v>1.04896802944295E-25</v>
      </c>
      <c r="G13" s="4">
        <v>4.7360906529349502E-22</v>
      </c>
      <c r="H13" t="s">
        <v>10007</v>
      </c>
    </row>
    <row r="14" spans="1:8" x14ac:dyDescent="0.25">
      <c r="A14" t="s">
        <v>8183</v>
      </c>
      <c r="B14" t="str">
        <f>HYPERLINK("http://amigo.geneontology.org/cgi-bin/amigo/term-details.cgi?term=GO:1902221","GO:1902221")</f>
        <v>GO:1902221</v>
      </c>
      <c r="C14" t="s">
        <v>6913</v>
      </c>
      <c r="D14">
        <v>90</v>
      </c>
      <c r="E14">
        <v>17</v>
      </c>
      <c r="F14" s="4">
        <v>1.1773958812528399E-22</v>
      </c>
      <c r="G14" s="4">
        <v>1.3281025540532E-19</v>
      </c>
      <c r="H14" t="s">
        <v>10007</v>
      </c>
    </row>
    <row r="15" spans="1:8" x14ac:dyDescent="0.25">
      <c r="A15" t="s">
        <v>10013</v>
      </c>
      <c r="B15" t="str">
        <f>HYPERLINK("http://amigo.geneontology.org/cgi-bin/amigo/term-details.cgi?term=GO:0006558","GO:0006558")</f>
        <v>GO:0006558</v>
      </c>
      <c r="C15" t="s">
        <v>6916</v>
      </c>
      <c r="D15">
        <v>90</v>
      </c>
      <c r="E15">
        <v>17</v>
      </c>
      <c r="F15" s="4">
        <v>1.1773958812528399E-22</v>
      </c>
      <c r="G15" s="4">
        <v>1.7719808012855201E-19</v>
      </c>
      <c r="H15" t="s">
        <v>10007</v>
      </c>
    </row>
    <row r="16" spans="1:8" x14ac:dyDescent="0.25">
      <c r="A16" t="s">
        <v>6979</v>
      </c>
      <c r="B16" t="str">
        <f>HYPERLINK("http://amigo.geneontology.org/cgi-bin/amigo/term-details.cgi?term=GO:0009074","GO:0009074")</f>
        <v>GO:0009074</v>
      </c>
      <c r="C16" t="s">
        <v>6930</v>
      </c>
      <c r="D16">
        <v>113</v>
      </c>
      <c r="E16">
        <v>17</v>
      </c>
      <c r="F16" s="4">
        <v>7.2322691699343702E-21</v>
      </c>
      <c r="G16" s="4">
        <v>6.5307390604507398E-18</v>
      </c>
      <c r="H16" t="s">
        <v>10007</v>
      </c>
    </row>
    <row r="17" spans="1:8" x14ac:dyDescent="0.25">
      <c r="A17" t="s">
        <v>10016</v>
      </c>
      <c r="B17" t="str">
        <f>HYPERLINK("http://amigo.geneontology.org/cgi-bin/amigo/term-details.cgi?term=GO:0009063","GO:0009063")</f>
        <v>GO:0009063</v>
      </c>
      <c r="C17" t="s">
        <v>5306</v>
      </c>
      <c r="D17">
        <v>136</v>
      </c>
      <c r="E17">
        <v>17</v>
      </c>
      <c r="F17" s="4">
        <v>1.9145515665043799E-19</v>
      </c>
      <c r="G17" s="4">
        <v>1.4397427780112901E-16</v>
      </c>
      <c r="H17" t="s">
        <v>10007</v>
      </c>
    </row>
    <row r="18" spans="1:8" x14ac:dyDescent="0.25">
      <c r="A18" t="s">
        <v>10017</v>
      </c>
      <c r="B18" t="str">
        <f>HYPERLINK("http://amigo.geneontology.org/cgi-bin/amigo/term-details.cgi?term=GO:1901606","GO:1901606")</f>
        <v>GO:1901606</v>
      </c>
      <c r="C18" t="s">
        <v>6977</v>
      </c>
      <c r="D18">
        <v>209</v>
      </c>
      <c r="E18">
        <v>18</v>
      </c>
      <c r="F18" s="4">
        <v>1.4541221373302399E-17</v>
      </c>
      <c r="G18" s="4">
        <v>9.3790877857800694E-15</v>
      </c>
      <c r="H18" t="s">
        <v>10008</v>
      </c>
    </row>
    <row r="19" spans="1:8" x14ac:dyDescent="0.25">
      <c r="A19" t="s">
        <v>10018</v>
      </c>
      <c r="B19" t="str">
        <f>HYPERLINK("http://amigo.geneontology.org/cgi-bin/amigo/term-details.cgi?term=GO:0019439","GO:0019439")</f>
        <v>GO:0019439</v>
      </c>
      <c r="C19" t="s">
        <v>5092</v>
      </c>
      <c r="D19">
        <v>239</v>
      </c>
      <c r="E19">
        <v>17</v>
      </c>
      <c r="F19" s="4">
        <v>2.8556867795688199E-15</v>
      </c>
      <c r="G19" s="4">
        <v>1.6106073436768101E-12</v>
      </c>
      <c r="H19" t="s">
        <v>10007</v>
      </c>
    </row>
    <row r="20" spans="1:8" x14ac:dyDescent="0.25">
      <c r="A20" t="s">
        <v>10020</v>
      </c>
      <c r="B20" t="str">
        <f>HYPERLINK("http://amigo.geneontology.org/cgi-bin/amigo/term-details.cgi?term=GO:1901361","GO:1901361")</f>
        <v>GO:1901361</v>
      </c>
      <c r="C20" t="s">
        <v>5100</v>
      </c>
      <c r="D20">
        <v>250</v>
      </c>
      <c r="E20">
        <v>17</v>
      </c>
      <c r="F20" s="4">
        <v>6.0136692995762798E-15</v>
      </c>
      <c r="G20" s="4">
        <v>3.0128483190877099E-12</v>
      </c>
      <c r="H20" t="s">
        <v>10007</v>
      </c>
    </row>
    <row r="21" spans="1:8" x14ac:dyDescent="0.25">
      <c r="A21" t="s">
        <v>10021</v>
      </c>
      <c r="B21" t="str">
        <f>HYPERLINK("http://amigo.geneontology.org/cgi-bin/amigo/term-details.cgi?term=GO:0009072","GO:0009072")</f>
        <v>GO:0009072</v>
      </c>
      <c r="C21" t="s">
        <v>7036</v>
      </c>
      <c r="D21">
        <v>343</v>
      </c>
      <c r="E21">
        <v>19</v>
      </c>
      <c r="F21" s="4">
        <v>6.3507637377212601E-15</v>
      </c>
      <c r="G21" s="4">
        <v>2.8641944457122801E-12</v>
      </c>
      <c r="H21" t="s">
        <v>10012</v>
      </c>
    </row>
    <row r="22" spans="1:8" x14ac:dyDescent="0.25">
      <c r="A22" t="s">
        <v>6990</v>
      </c>
      <c r="B22" t="str">
        <f>HYPERLINK("http://amigo.geneontology.org/cgi-bin/amigo/term-details.cgi?term=GO:0009803","GO:0009803")</f>
        <v>GO:0009803</v>
      </c>
      <c r="C22" t="s">
        <v>7022</v>
      </c>
      <c r="D22">
        <v>31</v>
      </c>
      <c r="E22">
        <v>9</v>
      </c>
      <c r="F22" s="4">
        <v>1.8065060671453899E-14</v>
      </c>
      <c r="G22" s="4">
        <v>6.7924628124666998E-12</v>
      </c>
      <c r="H22" t="s">
        <v>10011</v>
      </c>
    </row>
    <row r="23" spans="1:8" x14ac:dyDescent="0.25">
      <c r="A23" t="s">
        <v>10024</v>
      </c>
      <c r="B23" t="str">
        <f>HYPERLINK("http://amigo.geneontology.org/cgi-bin/amigo/term-details.cgi?term=GO:0009800","GO:0009800")</f>
        <v>GO:0009800</v>
      </c>
      <c r="C23" t="s">
        <v>7024</v>
      </c>
      <c r="D23">
        <v>31</v>
      </c>
      <c r="E23">
        <v>9</v>
      </c>
      <c r="F23" s="4">
        <v>1.8065060671453899E-14</v>
      </c>
      <c r="G23" s="4">
        <v>7.4066748752961395E-12</v>
      </c>
      <c r="H23" t="s">
        <v>10011</v>
      </c>
    </row>
    <row r="24" spans="1:8" x14ac:dyDescent="0.25">
      <c r="A24" t="s">
        <v>8185</v>
      </c>
      <c r="B24" t="str">
        <f>HYPERLINK("http://amigo.geneontology.org/cgi-bin/amigo/term-details.cgi?term=GO:0008152","GO:0008152")</f>
        <v>GO:0008152</v>
      </c>
      <c r="C24" t="s">
        <v>13192</v>
      </c>
      <c r="D24">
        <v>17150</v>
      </c>
      <c r="E24">
        <v>143</v>
      </c>
      <c r="F24" s="4">
        <v>8.2456497546687804E-14</v>
      </c>
      <c r="G24" s="4">
        <v>2.8612404648700699E-11</v>
      </c>
      <c r="H24" t="s">
        <v>13193</v>
      </c>
    </row>
    <row r="25" spans="1:8" x14ac:dyDescent="0.25">
      <c r="A25" t="s">
        <v>10027</v>
      </c>
      <c r="B25" t="str">
        <f>HYPERLINK("http://amigo.geneontology.org/cgi-bin/amigo/term-details.cgi?term=GO:0042737","GO:0042737")</f>
        <v>GO:0042737</v>
      </c>
      <c r="C25" t="s">
        <v>1072</v>
      </c>
      <c r="D25">
        <v>473</v>
      </c>
      <c r="E25">
        <v>20</v>
      </c>
      <c r="F25" s="4">
        <v>1.91686647338248E-13</v>
      </c>
      <c r="G25" s="4">
        <v>6.1723100442915902E-11</v>
      </c>
      <c r="H25" t="s">
        <v>13194</v>
      </c>
    </row>
    <row r="26" spans="1:8" x14ac:dyDescent="0.25">
      <c r="A26" t="s">
        <v>7010</v>
      </c>
      <c r="B26" t="str">
        <f>HYPERLINK("http://amigo.geneontology.org/cgi-bin/amigo/term-details.cgi?term=GO:0042537","GO:0042537")</f>
        <v>GO:0042537</v>
      </c>
      <c r="C26" t="s">
        <v>7087</v>
      </c>
      <c r="D26">
        <v>125</v>
      </c>
      <c r="E26">
        <v>11</v>
      </c>
      <c r="F26" s="4">
        <v>2.3530133489050899E-11</v>
      </c>
      <c r="G26" s="4">
        <v>7.0825701802043296E-9</v>
      </c>
      <c r="H26" t="s">
        <v>10023</v>
      </c>
    </row>
    <row r="27" spans="1:8" x14ac:dyDescent="0.25">
      <c r="A27" t="s">
        <v>8912</v>
      </c>
      <c r="B27" t="str">
        <f>HYPERLINK("http://amigo.geneontology.org/cgi-bin/amigo/term-details.cgi?term=GO:0009699","GO:0009699")</f>
        <v>GO:0009699</v>
      </c>
      <c r="C27" t="s">
        <v>7078</v>
      </c>
      <c r="D27">
        <v>66</v>
      </c>
      <c r="E27">
        <v>9</v>
      </c>
      <c r="F27" s="4">
        <v>2.8719642955235599E-11</v>
      </c>
      <c r="G27" s="4">
        <v>8.0989393133764493E-9</v>
      </c>
      <c r="H27" t="s">
        <v>10011</v>
      </c>
    </row>
    <row r="28" spans="1:8" x14ac:dyDescent="0.25">
      <c r="A28" t="s">
        <v>8195</v>
      </c>
      <c r="B28" t="str">
        <f>HYPERLINK("http://amigo.geneontology.org/cgi-bin/amigo/term-details.cgi?term=GO:0006468","GO:0006468")</f>
        <v>GO:0006468</v>
      </c>
      <c r="C28" t="s">
        <v>1478</v>
      </c>
      <c r="D28">
        <v>5693</v>
      </c>
      <c r="E28">
        <v>63</v>
      </c>
      <c r="F28" s="4">
        <v>1.7842690866403901E-10</v>
      </c>
      <c r="G28" s="4">
        <v>4.7283130795970501E-8</v>
      </c>
      <c r="H28" t="s">
        <v>13195</v>
      </c>
    </row>
    <row r="29" spans="1:8" x14ac:dyDescent="0.25">
      <c r="A29" t="s">
        <v>8196</v>
      </c>
      <c r="B29" t="str">
        <f>HYPERLINK("http://amigo.geneontology.org/cgi-bin/amigo/term-details.cgi?term=GO:0044248","GO:0044248")</f>
        <v>GO:0044248</v>
      </c>
      <c r="C29" t="s">
        <v>5244</v>
      </c>
      <c r="D29">
        <v>743</v>
      </c>
      <c r="E29">
        <v>20</v>
      </c>
      <c r="F29" s="4">
        <v>5.9474834964730604E-10</v>
      </c>
      <c r="G29" s="4">
        <v>1.48687087411826E-7</v>
      </c>
      <c r="H29" t="s">
        <v>13194</v>
      </c>
    </row>
    <row r="30" spans="1:8" x14ac:dyDescent="0.25">
      <c r="A30" t="s">
        <v>8197</v>
      </c>
      <c r="B30" t="str">
        <f>HYPERLINK("http://amigo.geneontology.org/cgi-bin/amigo/term-details.cgi?term=GO:0008150","GO:0008150")</f>
        <v>GO:0008150</v>
      </c>
      <c r="C30" t="s">
        <v>13144</v>
      </c>
      <c r="D30">
        <v>19286</v>
      </c>
      <c r="E30">
        <v>143</v>
      </c>
      <c r="F30" s="4">
        <v>7.0652907258786301E-10</v>
      </c>
      <c r="G30" s="4">
        <v>1.67447390203323E-7</v>
      </c>
      <c r="H30" t="s">
        <v>13196</v>
      </c>
    </row>
    <row r="31" spans="1:8" x14ac:dyDescent="0.25">
      <c r="A31" t="s">
        <v>10034</v>
      </c>
      <c r="B31" t="str">
        <f>HYPERLINK("http://amigo.geneontology.org/cgi-bin/amigo/term-details.cgi?term=GO:0017144","GO:0017144")</f>
        <v>GO:0017144</v>
      </c>
      <c r="C31" t="s">
        <v>4310</v>
      </c>
      <c r="D31">
        <v>903</v>
      </c>
      <c r="E31">
        <v>20</v>
      </c>
      <c r="F31" s="4">
        <v>1.56531948733759E-8</v>
      </c>
      <c r="G31" s="4">
        <v>3.52196884650959E-6</v>
      </c>
      <c r="H31" t="s">
        <v>13194</v>
      </c>
    </row>
    <row r="32" spans="1:8" x14ac:dyDescent="0.25">
      <c r="A32" t="s">
        <v>8200</v>
      </c>
      <c r="B32" t="str">
        <f>HYPERLINK("http://amigo.geneontology.org/cgi-bin/amigo/term-details.cgi?term=GO:0016310","GO:0016310")</f>
        <v>GO:0016310</v>
      </c>
      <c r="C32" t="s">
        <v>1006</v>
      </c>
      <c r="D32">
        <v>6213</v>
      </c>
      <c r="E32">
        <v>61</v>
      </c>
      <c r="F32" s="4">
        <v>3.17804777726672E-8</v>
      </c>
      <c r="G32" s="4">
        <v>6.8328027211234602E-6</v>
      </c>
      <c r="H32" t="s">
        <v>13197</v>
      </c>
    </row>
    <row r="33" spans="1:8" x14ac:dyDescent="0.25">
      <c r="A33" t="s">
        <v>10039</v>
      </c>
      <c r="B33" t="str">
        <f>HYPERLINK("http://amigo.geneontology.org/cgi-bin/amigo/term-details.cgi?term=GO:0009698","GO:0009698")</f>
        <v>GO:0009698</v>
      </c>
      <c r="C33" t="s">
        <v>5618</v>
      </c>
      <c r="D33">
        <v>157</v>
      </c>
      <c r="E33">
        <v>9</v>
      </c>
      <c r="F33" s="4">
        <v>6.7522872242874694E-8</v>
      </c>
      <c r="G33" s="4">
        <v>1.38421888097893E-5</v>
      </c>
      <c r="H33" t="s">
        <v>10011</v>
      </c>
    </row>
    <row r="34" spans="1:8" x14ac:dyDescent="0.25">
      <c r="A34" t="s">
        <v>7062</v>
      </c>
      <c r="B34" t="str">
        <f>HYPERLINK("http://amigo.geneontology.org/cgi-bin/amigo/term-details.cgi?term=GO:0036211","GO:0036211")</f>
        <v>GO:0036211</v>
      </c>
      <c r="C34" t="s">
        <v>6999</v>
      </c>
      <c r="D34">
        <v>6401</v>
      </c>
      <c r="E34">
        <v>61</v>
      </c>
      <c r="F34" s="4">
        <v>9.1001158374087495E-8</v>
      </c>
      <c r="G34" s="4">
        <v>1.7836227041321101E-5</v>
      </c>
      <c r="H34" t="s">
        <v>13197</v>
      </c>
    </row>
    <row r="35" spans="1:8" x14ac:dyDescent="0.25">
      <c r="A35" t="s">
        <v>8935</v>
      </c>
      <c r="B35" t="str">
        <f>HYPERLINK("http://amigo.geneontology.org/cgi-bin/amigo/term-details.cgi?term=GO:0044550","GO:0044550")</f>
        <v>GO:0044550</v>
      </c>
      <c r="C35" t="s">
        <v>7201</v>
      </c>
      <c r="D35">
        <v>171</v>
      </c>
      <c r="E35">
        <v>9</v>
      </c>
      <c r="F35" s="4">
        <v>1.4023168434081699E-7</v>
      </c>
      <c r="G35" s="4">
        <v>2.6363556656073698E-5</v>
      </c>
      <c r="H35" t="s">
        <v>10011</v>
      </c>
    </row>
    <row r="36" spans="1:8" x14ac:dyDescent="0.25">
      <c r="A36" t="s">
        <v>10040</v>
      </c>
      <c r="B36" t="str">
        <f>HYPERLINK("http://amigo.geneontology.org/cgi-bin/amigo/term-details.cgi?term=GO:0006464","GO:0006464")</f>
        <v>GO:0006464</v>
      </c>
      <c r="C36" t="s">
        <v>7002</v>
      </c>
      <c r="D36">
        <v>6743</v>
      </c>
      <c r="E36">
        <v>61</v>
      </c>
      <c r="F36" s="4">
        <v>5.3736521606825705E-7</v>
      </c>
      <c r="G36" s="4">
        <v>9.6725738892286406E-5</v>
      </c>
      <c r="H36" t="s">
        <v>13197</v>
      </c>
    </row>
    <row r="37" spans="1:8" x14ac:dyDescent="0.25">
      <c r="A37" t="s">
        <v>10042</v>
      </c>
      <c r="B37" t="str">
        <f>HYPERLINK("http://amigo.geneontology.org/cgi-bin/amigo/term-details.cgi?term=GO:0006796","GO:0006796")</f>
        <v>GO:0006796</v>
      </c>
      <c r="C37" t="s">
        <v>679</v>
      </c>
      <c r="D37">
        <v>7074</v>
      </c>
      <c r="E37">
        <v>63</v>
      </c>
      <c r="F37" s="4">
        <v>5.7670793538285096E-7</v>
      </c>
      <c r="G37" s="4">
        <v>9.9770472821233204E-5</v>
      </c>
      <c r="H37" t="s">
        <v>13198</v>
      </c>
    </row>
    <row r="38" spans="1:8" x14ac:dyDescent="0.25">
      <c r="A38" t="s">
        <v>10044</v>
      </c>
      <c r="B38" t="str">
        <f>HYPERLINK("http://amigo.geneontology.org/cgi-bin/amigo/term-details.cgi?term=GO:1901362","GO:1901362")</f>
        <v>GO:1901362</v>
      </c>
      <c r="C38" t="s">
        <v>6821</v>
      </c>
      <c r="D38">
        <v>833</v>
      </c>
      <c r="E38">
        <v>17</v>
      </c>
      <c r="F38" s="4">
        <v>5.8507229923519597E-7</v>
      </c>
      <c r="G38" s="4">
        <v>9.7707073972277798E-5</v>
      </c>
      <c r="H38" t="s">
        <v>13199</v>
      </c>
    </row>
    <row r="39" spans="1:8" x14ac:dyDescent="0.25">
      <c r="A39" t="s">
        <v>8215</v>
      </c>
      <c r="B39" t="str">
        <f>HYPERLINK("http://amigo.geneontology.org/cgi-bin/amigo/term-details.cgi?term=GO:0019748","GO:0019748")</f>
        <v>GO:0019748</v>
      </c>
      <c r="C39" t="s">
        <v>5900</v>
      </c>
      <c r="D39">
        <v>156</v>
      </c>
      <c r="E39">
        <v>8</v>
      </c>
      <c r="F39" s="4">
        <v>8.5041410215972104E-7</v>
      </c>
      <c r="G39" s="4">
        <v>1.3691667044771501E-4</v>
      </c>
      <c r="H39" t="s">
        <v>13200</v>
      </c>
    </row>
    <row r="40" spans="1:8" x14ac:dyDescent="0.25">
      <c r="A40" t="s">
        <v>7098</v>
      </c>
      <c r="B40" t="str">
        <f>HYPERLINK("http://amigo.geneontology.org/cgi-bin/amigo/term-details.cgi?term=GO:0009064","GO:0009064")</f>
        <v>GO:0009064</v>
      </c>
      <c r="C40" t="s">
        <v>7427</v>
      </c>
      <c r="D40">
        <v>148</v>
      </c>
      <c r="E40">
        <v>7</v>
      </c>
      <c r="F40" s="4">
        <v>7.0778976525264496E-6</v>
      </c>
      <c r="G40">
        <v>1.0970741361415999E-3</v>
      </c>
      <c r="H40" t="s">
        <v>10077</v>
      </c>
    </row>
    <row r="41" spans="1:8" x14ac:dyDescent="0.25">
      <c r="A41" t="s">
        <v>8970</v>
      </c>
      <c r="B41" t="str">
        <f>HYPERLINK("http://amigo.geneontology.org/cgi-bin/amigo/term-details.cgi?term=GO:0044267","GO:0044267")</f>
        <v>GO:0044267</v>
      </c>
      <c r="C41" t="s">
        <v>7194</v>
      </c>
      <c r="D41">
        <v>8344</v>
      </c>
      <c r="E41">
        <v>67</v>
      </c>
      <c r="F41" s="4">
        <v>8.33788038562392E-6</v>
      </c>
      <c r="G41">
        <v>1.2506820578435801E-3</v>
      </c>
      <c r="H41" t="s">
        <v>13201</v>
      </c>
    </row>
    <row r="42" spans="1:8" x14ac:dyDescent="0.25">
      <c r="A42" t="s">
        <v>7112</v>
      </c>
      <c r="B42" t="str">
        <f>HYPERLINK("http://amigo.geneontology.org/cgi-bin/amigo/term-details.cgi?term=GO:0005986","GO:0005986")</f>
        <v>GO:0005986</v>
      </c>
      <c r="C42" t="s">
        <v>9023</v>
      </c>
      <c r="D42">
        <v>9</v>
      </c>
      <c r="E42">
        <v>3</v>
      </c>
      <c r="F42" s="4">
        <v>8.3811569127881098E-6</v>
      </c>
      <c r="G42">
        <v>1.2152677523542699E-3</v>
      </c>
      <c r="H42" t="s">
        <v>10051</v>
      </c>
    </row>
    <row r="43" spans="1:8" x14ac:dyDescent="0.25">
      <c r="A43" t="s">
        <v>8222</v>
      </c>
      <c r="B43" t="str">
        <f>HYPERLINK("http://amigo.geneontology.org/cgi-bin/amigo/term-details.cgi?term=GO:1901360","GO:1901360")</f>
        <v>GO:1901360</v>
      </c>
      <c r="C43" t="s">
        <v>6856</v>
      </c>
      <c r="D43">
        <v>751</v>
      </c>
      <c r="E43">
        <v>14</v>
      </c>
      <c r="F43" s="4">
        <v>1.5847266458424301E-5</v>
      </c>
      <c r="G43">
        <v>2.2344645706378302E-3</v>
      </c>
      <c r="H43" t="s">
        <v>13202</v>
      </c>
    </row>
    <row r="44" spans="1:8" x14ac:dyDescent="0.25">
      <c r="A44" t="s">
        <v>10049</v>
      </c>
      <c r="B44" t="str">
        <f>HYPERLINK("http://amigo.geneontology.org/cgi-bin/amigo/term-details.cgi?term=GO:0019438","GO:0019438")</f>
        <v>GO:0019438</v>
      </c>
      <c r="C44" t="s">
        <v>6820</v>
      </c>
      <c r="D44">
        <v>559</v>
      </c>
      <c r="E44">
        <v>11</v>
      </c>
      <c r="F44" s="4">
        <v>7.9428086269196999E-5</v>
      </c>
      <c r="G44">
        <v>1.08022197326107E-2</v>
      </c>
      <c r="H44" t="s">
        <v>10023</v>
      </c>
    </row>
    <row r="45" spans="1:8" x14ac:dyDescent="0.25">
      <c r="A45" t="s">
        <v>10052</v>
      </c>
      <c r="B45" t="str">
        <f>HYPERLINK("http://amigo.geneontology.org/cgi-bin/amigo/term-details.cgi?term=GO:0009058","GO:0009058")</f>
        <v>GO:0009058</v>
      </c>
      <c r="C45" t="s">
        <v>5724</v>
      </c>
      <c r="D45">
        <v>1240</v>
      </c>
      <c r="E45">
        <v>17</v>
      </c>
      <c r="F45" s="4">
        <v>9.6531572846282197E-5</v>
      </c>
      <c r="G45">
        <v>1.2742167615709199E-2</v>
      </c>
      <c r="H45" t="s">
        <v>13203</v>
      </c>
    </row>
    <row r="46" spans="1:8" x14ac:dyDescent="0.25">
      <c r="A46" t="s">
        <v>7151</v>
      </c>
      <c r="B46" t="str">
        <f>HYPERLINK("http://amigo.geneontology.org/cgi-bin/amigo/term-details.cgi?term=GO:0006596","GO:0006596")</f>
        <v>GO:0006596</v>
      </c>
      <c r="C46" t="s">
        <v>1309</v>
      </c>
      <c r="D46">
        <v>52</v>
      </c>
      <c r="E46">
        <v>4</v>
      </c>
      <c r="F46" s="4">
        <v>1.07271164207495E-4</v>
      </c>
      <c r="G46">
        <v>1.38379801827669E-2</v>
      </c>
      <c r="H46" t="s">
        <v>10089</v>
      </c>
    </row>
    <row r="47" spans="1:8" x14ac:dyDescent="0.25">
      <c r="A47" t="s">
        <v>7153</v>
      </c>
      <c r="B47" t="str">
        <f>HYPERLINK("http://amigo.geneontology.org/cgi-bin/amigo/term-details.cgi?term=GO:0006525","GO:0006525")</f>
        <v>GO:0006525</v>
      </c>
      <c r="C47" t="s">
        <v>9632</v>
      </c>
      <c r="D47">
        <v>56</v>
      </c>
      <c r="E47">
        <v>4</v>
      </c>
      <c r="F47" s="4">
        <v>1.4340418878982099E-4</v>
      </c>
      <c r="G47">
        <v>1.7925523598727702E-2</v>
      </c>
      <c r="H47" t="s">
        <v>10093</v>
      </c>
    </row>
    <row r="48" spans="1:8" x14ac:dyDescent="0.25">
      <c r="A48" t="s">
        <v>10061</v>
      </c>
      <c r="B48" t="str">
        <f>HYPERLINK("http://amigo.geneontology.org/cgi-bin/amigo/term-details.cgi?term=GO:0006561","GO:0006561")</f>
        <v>GO:0006561</v>
      </c>
      <c r="C48" t="s">
        <v>9705</v>
      </c>
      <c r="D48">
        <v>22</v>
      </c>
      <c r="E48">
        <v>3</v>
      </c>
      <c r="F48" s="4">
        <v>1.46857598610491E-4</v>
      </c>
      <c r="G48">
        <v>1.7916627030479901E-2</v>
      </c>
      <c r="H48" t="s">
        <v>10058</v>
      </c>
    </row>
    <row r="49" spans="1:8" x14ac:dyDescent="0.25">
      <c r="A49" t="s">
        <v>10062</v>
      </c>
      <c r="B49" t="str">
        <f>HYPERLINK("http://amigo.geneontology.org/cgi-bin/amigo/term-details.cgi?term=GO:0006560","GO:0006560")</f>
        <v>GO:0006560</v>
      </c>
      <c r="C49" t="s">
        <v>9713</v>
      </c>
      <c r="D49">
        <v>27</v>
      </c>
      <c r="E49">
        <v>3</v>
      </c>
      <c r="F49" s="4">
        <v>2.74131969012957E-4</v>
      </c>
      <c r="G49">
        <v>3.2347572343529002E-2</v>
      </c>
      <c r="H49" t="s">
        <v>10058</v>
      </c>
    </row>
    <row r="50" spans="1:8" x14ac:dyDescent="0.25">
      <c r="A50" t="s">
        <v>10064</v>
      </c>
      <c r="B50" t="str">
        <f>HYPERLINK("http://amigo.geneontology.org/cgi-bin/amigo/term-details.cgi?term=GO:0006200","GO:0006200")</f>
        <v>GO:0006200</v>
      </c>
      <c r="C50" t="s">
        <v>13204</v>
      </c>
      <c r="D50">
        <v>444</v>
      </c>
      <c r="E50">
        <v>9</v>
      </c>
      <c r="F50" s="4">
        <v>2.8221317277297601E-4</v>
      </c>
      <c r="G50">
        <v>3.2454514868892198E-2</v>
      </c>
      <c r="H50" t="s">
        <v>13205</v>
      </c>
    </row>
    <row r="51" spans="1:8" x14ac:dyDescent="0.25">
      <c r="A51" t="s">
        <v>10067</v>
      </c>
      <c r="B51" t="str">
        <f>HYPERLINK("http://amigo.geneontology.org/cgi-bin/amigo/term-details.cgi?term=GO:0006576","GO:0006576")</f>
        <v>GO:0006576</v>
      </c>
      <c r="C51" t="s">
        <v>6314</v>
      </c>
      <c r="D51">
        <v>125</v>
      </c>
      <c r="E51">
        <v>5</v>
      </c>
      <c r="F51" s="4">
        <v>3.2454936684469903E-4</v>
      </c>
      <c r="G51">
        <v>3.6349529086606297E-2</v>
      </c>
      <c r="H51" t="s">
        <v>13206</v>
      </c>
    </row>
    <row r="52" spans="1:8" x14ac:dyDescent="0.25">
      <c r="A52" t="s">
        <v>10069</v>
      </c>
      <c r="B52" t="str">
        <f>HYPERLINK("http://amigo.geneontology.org/cgi-bin/amigo/term-details.cgi?term=GO:0072330","GO:0072330")</f>
        <v>GO:0072330</v>
      </c>
      <c r="C52" t="s">
        <v>302</v>
      </c>
      <c r="D52">
        <v>896</v>
      </c>
      <c r="E52">
        <v>13</v>
      </c>
      <c r="F52" s="4">
        <v>3.7062098419692301E-4</v>
      </c>
      <c r="G52">
        <v>4.0768308261661501E-2</v>
      </c>
      <c r="H52" t="s">
        <v>10145</v>
      </c>
    </row>
    <row r="53" spans="1:8" x14ac:dyDescent="0.25">
      <c r="A53" t="s">
        <v>7162</v>
      </c>
      <c r="B53" t="str">
        <f>HYPERLINK("http://amigo.geneontology.org/cgi-bin/amigo/term-details.cgi?term=GO:0006595","GO:0006595")</f>
        <v>GO:0006595</v>
      </c>
      <c r="C53" t="s">
        <v>4466</v>
      </c>
      <c r="D53">
        <v>72</v>
      </c>
      <c r="E53">
        <v>4</v>
      </c>
      <c r="F53" s="4">
        <v>3.7871371172110098E-4</v>
      </c>
      <c r="G53">
        <v>4.0522367154157801E-2</v>
      </c>
      <c r="H53" t="s">
        <v>10089</v>
      </c>
    </row>
    <row r="54" spans="1:8" x14ac:dyDescent="0.25">
      <c r="A54" t="s">
        <v>10072</v>
      </c>
      <c r="B54" t="str">
        <f>HYPERLINK("http://amigo.geneontology.org/cgi-bin/amigo/term-details.cgi?term=GO:0006725","GO:0006725")</f>
        <v>GO:0006725</v>
      </c>
      <c r="C54" t="s">
        <v>6854</v>
      </c>
      <c r="D54">
        <v>673</v>
      </c>
      <c r="E54">
        <v>11</v>
      </c>
      <c r="F54" s="4">
        <v>3.8933725521827399E-4</v>
      </c>
      <c r="G54">
        <v>4.0880411797918799E-2</v>
      </c>
      <c r="H54" t="s">
        <v>13207</v>
      </c>
    </row>
    <row r="55" spans="1:8" x14ac:dyDescent="0.25">
      <c r="A55" t="s">
        <v>8237</v>
      </c>
      <c r="B55" t="str">
        <f>HYPERLINK("http://amigo.geneontology.org/cgi-bin/amigo/term-details.cgi?term=GO:0046394","GO:0046394")</f>
        <v>GO:0046394</v>
      </c>
      <c r="C55" t="s">
        <v>682</v>
      </c>
      <c r="D55">
        <v>911</v>
      </c>
      <c r="E55">
        <v>13</v>
      </c>
      <c r="F55" s="4">
        <v>4.3282119373498401E-4</v>
      </c>
      <c r="G55">
        <v>4.41477617609684E-2</v>
      </c>
      <c r="H55" t="s">
        <v>10145</v>
      </c>
    </row>
    <row r="56" spans="1:8" x14ac:dyDescent="0.25">
      <c r="A56" t="s">
        <v>10073</v>
      </c>
      <c r="B56" t="str">
        <f>HYPERLINK("http://amigo.geneontology.org/cgi-bin/amigo/term-details.cgi?term=GO:0055114","GO:0055114")</f>
        <v>GO:0055114</v>
      </c>
      <c r="C56" t="s">
        <v>454</v>
      </c>
      <c r="D56">
        <v>6432</v>
      </c>
      <c r="E56">
        <v>49</v>
      </c>
      <c r="F56" s="4">
        <v>5.3716830343277704E-4</v>
      </c>
      <c r="G56">
        <v>5.3716830343277698E-2</v>
      </c>
      <c r="H56" t="s">
        <v>13208</v>
      </c>
    </row>
    <row r="57" spans="1:8" x14ac:dyDescent="0.25">
      <c r="A57" t="s">
        <v>10074</v>
      </c>
      <c r="B57" t="str">
        <f>HYPERLINK("http://amigo.geneontology.org/cgi-bin/amigo/term-details.cgi?term=GO:0006526","GO:0006526")</f>
        <v>GO:0006526</v>
      </c>
      <c r="C57" t="s">
        <v>10116</v>
      </c>
      <c r="D57">
        <v>34</v>
      </c>
      <c r="E57">
        <v>3</v>
      </c>
      <c r="F57" s="4">
        <v>5.4737032469685701E-4</v>
      </c>
      <c r="G57">
        <v>5.3642291820292003E-2</v>
      </c>
      <c r="H57" t="s">
        <v>10058</v>
      </c>
    </row>
    <row r="58" spans="1:8" x14ac:dyDescent="0.25">
      <c r="A58" t="s">
        <v>8243</v>
      </c>
      <c r="B58" t="str">
        <f>HYPERLINK("http://amigo.geneontology.org/cgi-bin/amigo/term-details.cgi?term=GO:0006422","GO:0006422")</f>
        <v>GO:0006422</v>
      </c>
      <c r="C58" t="s">
        <v>10111</v>
      </c>
      <c r="D58">
        <v>8</v>
      </c>
      <c r="E58">
        <v>2</v>
      </c>
      <c r="F58" s="4">
        <v>6.0118083649742904E-4</v>
      </c>
      <c r="G58">
        <v>5.7713360303753201E-2</v>
      </c>
      <c r="H58" t="s">
        <v>10110</v>
      </c>
    </row>
    <row r="59" spans="1:8" x14ac:dyDescent="0.25">
      <c r="A59" t="s">
        <v>10076</v>
      </c>
      <c r="B59" t="str">
        <f>HYPERLINK("http://amigo.geneontology.org/cgi-bin/amigo/term-details.cgi?term=GO:0071395","GO:0071395")</f>
        <v>GO:0071395</v>
      </c>
      <c r="C59" t="s">
        <v>10129</v>
      </c>
      <c r="D59">
        <v>86</v>
      </c>
      <c r="E59">
        <v>4</v>
      </c>
      <c r="F59" s="4">
        <v>7.4255280426335302E-4</v>
      </c>
      <c r="G59">
        <v>6.83148579922285E-2</v>
      </c>
      <c r="H59" t="s">
        <v>10130</v>
      </c>
    </row>
    <row r="60" spans="1:8" x14ac:dyDescent="0.25">
      <c r="A60" t="s">
        <v>7172</v>
      </c>
      <c r="B60" t="str">
        <f>HYPERLINK("http://amigo.geneontology.org/cgi-bin/amigo/term-details.cgi?term=GO:0009867","GO:0009867")</f>
        <v>GO:0009867</v>
      </c>
      <c r="C60" t="s">
        <v>10132</v>
      </c>
      <c r="D60">
        <v>86</v>
      </c>
      <c r="E60">
        <v>4</v>
      </c>
      <c r="F60" s="4">
        <v>7.4255280426335302E-4</v>
      </c>
      <c r="G60">
        <v>6.9799963600755202E-2</v>
      </c>
      <c r="H60" t="s">
        <v>10130</v>
      </c>
    </row>
    <row r="61" spans="1:8" x14ac:dyDescent="0.25">
      <c r="A61" t="s">
        <v>8244</v>
      </c>
      <c r="B61" t="str">
        <f>HYPERLINK("http://amigo.geneontology.org/cgi-bin/amigo/term-details.cgi?term=GO:0006536","GO:0006536")</f>
        <v>GO:0006536</v>
      </c>
      <c r="C61" t="s">
        <v>4436</v>
      </c>
      <c r="D61">
        <v>40</v>
      </c>
      <c r="E61">
        <v>3</v>
      </c>
      <c r="F61" s="4">
        <v>8.8516103525462699E-4</v>
      </c>
      <c r="G61">
        <v>7.9664493172916406E-2</v>
      </c>
      <c r="H61" t="s">
        <v>7232</v>
      </c>
    </row>
    <row r="62" spans="1:8" x14ac:dyDescent="0.25">
      <c r="A62" t="s">
        <v>8247</v>
      </c>
      <c r="B62" t="str">
        <f>HYPERLINK("http://amigo.geneontology.org/cgi-bin/amigo/term-details.cgi?term=GO:0043038","GO:0043038")</f>
        <v>GO:0043038</v>
      </c>
      <c r="C62" t="s">
        <v>10152</v>
      </c>
      <c r="D62">
        <v>238</v>
      </c>
      <c r="E62">
        <v>6</v>
      </c>
      <c r="F62" s="4">
        <v>9.6576070128462203E-4</v>
      </c>
      <c r="G62">
        <v>8.4986941713046799E-2</v>
      </c>
      <c r="H62" t="s">
        <v>10149</v>
      </c>
    </row>
    <row r="63" spans="1:8" x14ac:dyDescent="0.25">
      <c r="A63" t="s">
        <v>10079</v>
      </c>
      <c r="B63" t="str">
        <f>HYPERLINK("http://amigo.geneontology.org/cgi-bin/amigo/term-details.cgi?term=GO:0010310","GO:0010310")</f>
        <v>GO:0010310</v>
      </c>
      <c r="C63" t="s">
        <v>7266</v>
      </c>
      <c r="D63">
        <v>44</v>
      </c>
      <c r="E63">
        <v>3</v>
      </c>
      <c r="F63">
        <v>1.17024089356557E-3</v>
      </c>
      <c r="G63">
        <v>0.100640716846639</v>
      </c>
      <c r="H63" t="s">
        <v>10107</v>
      </c>
    </row>
    <row r="64" spans="1:8" x14ac:dyDescent="0.25">
      <c r="A64" t="s">
        <v>7178</v>
      </c>
      <c r="B64" t="str">
        <f>HYPERLINK("http://amigo.geneontology.org/cgi-bin/amigo/term-details.cgi?term=GO:0006418","GO:0006418")</f>
        <v>GO:0006418</v>
      </c>
      <c r="C64" t="s">
        <v>10148</v>
      </c>
      <c r="D64">
        <v>248</v>
      </c>
      <c r="E64">
        <v>6</v>
      </c>
      <c r="F64">
        <v>1.1922895703282001E-3</v>
      </c>
      <c r="G64">
        <v>0.101344613477897</v>
      </c>
      <c r="H64" t="s">
        <v>10149</v>
      </c>
    </row>
    <row r="65" spans="1:8" x14ac:dyDescent="0.25">
      <c r="A65" t="s">
        <v>10081</v>
      </c>
      <c r="B65" t="str">
        <f>HYPERLINK("http://amigo.geneontology.org/cgi-bin/amigo/term-details.cgi?term=GO:0009753","GO:0009753")</f>
        <v>GO:0009753</v>
      </c>
      <c r="C65" t="s">
        <v>9078</v>
      </c>
      <c r="D65">
        <v>100</v>
      </c>
      <c r="E65">
        <v>4</v>
      </c>
      <c r="F65">
        <v>1.30260942222411E-3</v>
      </c>
      <c r="G65">
        <v>0.10811658204460101</v>
      </c>
      <c r="H65" t="s">
        <v>10130</v>
      </c>
    </row>
    <row r="66" spans="1:8" x14ac:dyDescent="0.25">
      <c r="A66" t="s">
        <v>7187</v>
      </c>
      <c r="B66" t="str">
        <f>HYPERLINK("http://amigo.geneontology.org/cgi-bin/amigo/term-details.cgi?term=GO:0032787","GO:0032787")</f>
        <v>GO:0032787</v>
      </c>
      <c r="C66" t="s">
        <v>532</v>
      </c>
      <c r="D66">
        <v>1032</v>
      </c>
      <c r="E66">
        <v>13</v>
      </c>
      <c r="F66">
        <v>1.3412185920800099E-3</v>
      </c>
      <c r="G66">
        <v>0.10997992455056101</v>
      </c>
      <c r="H66" t="s">
        <v>10145</v>
      </c>
    </row>
    <row r="67" spans="1:8" x14ac:dyDescent="0.25">
      <c r="A67" t="s">
        <v>9029</v>
      </c>
      <c r="B67" t="str">
        <f>HYPERLINK("http://amigo.geneontology.org/cgi-bin/amigo/term-details.cgi?term=GO:0043039","GO:0043039")</f>
        <v>GO:0043039</v>
      </c>
      <c r="C67" t="s">
        <v>10154</v>
      </c>
      <c r="D67">
        <v>255</v>
      </c>
      <c r="E67">
        <v>6</v>
      </c>
      <c r="F67">
        <v>1.37357957887622E-3</v>
      </c>
      <c r="G67">
        <v>0.109886366310097</v>
      </c>
      <c r="H67" t="s">
        <v>10149</v>
      </c>
    </row>
    <row r="68" spans="1:8" x14ac:dyDescent="0.25">
      <c r="A68" t="s">
        <v>10083</v>
      </c>
      <c r="B68" t="str">
        <f>HYPERLINK("http://amigo.geneontology.org/cgi-bin/amigo/term-details.cgi?term=GO:0043069","GO:0043069")</f>
        <v>GO:0043069</v>
      </c>
      <c r="C68" t="s">
        <v>10144</v>
      </c>
      <c r="D68">
        <v>53</v>
      </c>
      <c r="E68">
        <v>3</v>
      </c>
      <c r="F68">
        <v>2.00656820591729E-3</v>
      </c>
      <c r="G68">
        <v>0.15851888826746599</v>
      </c>
      <c r="H68" t="s">
        <v>10107</v>
      </c>
    </row>
    <row r="69" spans="1:8" x14ac:dyDescent="0.25">
      <c r="A69" t="s">
        <v>10084</v>
      </c>
      <c r="B69" t="str">
        <f>HYPERLINK("http://amigo.geneontology.org/cgi-bin/amigo/term-details.cgi?term=GO:2000377","GO:2000377")</f>
        <v>GO:2000377</v>
      </c>
      <c r="C69" t="s">
        <v>7345</v>
      </c>
      <c r="D69">
        <v>54</v>
      </c>
      <c r="E69">
        <v>3</v>
      </c>
      <c r="F69">
        <v>2.1172845770978301E-3</v>
      </c>
      <c r="G69">
        <v>0.163030912436533</v>
      </c>
      <c r="H69" t="s">
        <v>10107</v>
      </c>
    </row>
    <row r="70" spans="1:8" x14ac:dyDescent="0.25">
      <c r="A70" t="s">
        <v>8254</v>
      </c>
      <c r="B70" t="str">
        <f>HYPERLINK("http://amigo.geneontology.org/cgi-bin/amigo/term-details.cgi?term=GO:0005985","GO:0005985")</f>
        <v>GO:0005985</v>
      </c>
      <c r="C70" t="s">
        <v>481</v>
      </c>
      <c r="D70">
        <v>55</v>
      </c>
      <c r="E70">
        <v>3</v>
      </c>
      <c r="F70">
        <v>2.2317248862700201E-3</v>
      </c>
      <c r="G70">
        <v>0.169611091356521</v>
      </c>
      <c r="H70" t="s">
        <v>10051</v>
      </c>
    </row>
    <row r="71" spans="1:8" x14ac:dyDescent="0.25">
      <c r="A71" t="s">
        <v>8255</v>
      </c>
      <c r="B71" t="str">
        <f>HYPERLINK("http://amigo.geneontology.org/cgi-bin/amigo/term-details.cgi?term=GO:0042401","GO:0042401")</f>
        <v>GO:0042401</v>
      </c>
      <c r="C71" t="s">
        <v>10166</v>
      </c>
      <c r="D71">
        <v>118</v>
      </c>
      <c r="E71">
        <v>4</v>
      </c>
      <c r="F71">
        <v>2.3869504106080598E-3</v>
      </c>
      <c r="G71">
        <v>0.179021280795604</v>
      </c>
      <c r="H71" t="s">
        <v>10089</v>
      </c>
    </row>
    <row r="72" spans="1:8" x14ac:dyDescent="0.25">
      <c r="A72" t="s">
        <v>9035</v>
      </c>
      <c r="B72" t="str">
        <f>HYPERLINK("http://amigo.geneontology.org/cgi-bin/amigo/term-details.cgi?term=GO:0010941","GO:0010941")</f>
        <v>GO:0010941</v>
      </c>
      <c r="C72" t="s">
        <v>5738</v>
      </c>
      <c r="D72">
        <v>119</v>
      </c>
      <c r="E72">
        <v>4</v>
      </c>
      <c r="F72">
        <v>2.4609806668323101E-3</v>
      </c>
      <c r="G72">
        <v>0.182112569345591</v>
      </c>
      <c r="H72" t="s">
        <v>10173</v>
      </c>
    </row>
    <row r="73" spans="1:8" x14ac:dyDescent="0.25">
      <c r="A73" t="s">
        <v>9037</v>
      </c>
      <c r="B73" t="str">
        <f>HYPERLINK("http://amigo.geneontology.org/cgi-bin/amigo/term-details.cgi?term=GO:0051193","GO:0051193")</f>
        <v>GO:0051193</v>
      </c>
      <c r="C73" t="s">
        <v>7318</v>
      </c>
      <c r="D73">
        <v>57</v>
      </c>
      <c r="E73">
        <v>3</v>
      </c>
      <c r="F73">
        <v>2.4719468110296601E-3</v>
      </c>
      <c r="G73">
        <v>0.17798017039413599</v>
      </c>
      <c r="H73" t="s">
        <v>10107</v>
      </c>
    </row>
    <row r="74" spans="1:8" x14ac:dyDescent="0.25">
      <c r="A74" t="s">
        <v>9040</v>
      </c>
      <c r="B74" t="str">
        <f>HYPERLINK("http://amigo.geneontology.org/cgi-bin/amigo/term-details.cgi?term=GO:0045730","GO:0045730")</f>
        <v>GO:0045730</v>
      </c>
      <c r="C74" t="s">
        <v>7417</v>
      </c>
      <c r="D74">
        <v>17</v>
      </c>
      <c r="E74">
        <v>2</v>
      </c>
      <c r="F74">
        <v>2.83972749115507E-3</v>
      </c>
      <c r="G74">
        <v>0.19878092438085401</v>
      </c>
      <c r="H74" t="s">
        <v>7418</v>
      </c>
    </row>
    <row r="75" spans="1:8" x14ac:dyDescent="0.25">
      <c r="A75" t="s">
        <v>10087</v>
      </c>
      <c r="B75" t="str">
        <f>HYPERLINK("http://amigo.geneontology.org/cgi-bin/amigo/term-details.cgi?term=GO:0002679","GO:0002679")</f>
        <v>GO:0002679</v>
      </c>
      <c r="C75" t="s">
        <v>7420</v>
      </c>
      <c r="D75">
        <v>17</v>
      </c>
      <c r="E75">
        <v>2</v>
      </c>
      <c r="F75">
        <v>2.83972749115507E-3</v>
      </c>
      <c r="G75">
        <v>0.20162065187201</v>
      </c>
      <c r="H75" t="s">
        <v>7418</v>
      </c>
    </row>
    <row r="76" spans="1:8" x14ac:dyDescent="0.25">
      <c r="A76" t="s">
        <v>7217</v>
      </c>
      <c r="B76" t="str">
        <f>HYPERLINK("http://amigo.geneontology.org/cgi-bin/amigo/term-details.cgi?term=GO:0009309","GO:0009309")</f>
        <v>GO:0009309</v>
      </c>
      <c r="C76" t="s">
        <v>10164</v>
      </c>
      <c r="D76">
        <v>60</v>
      </c>
      <c r="E76">
        <v>3</v>
      </c>
      <c r="F76">
        <v>2.8612465122930999E-3</v>
      </c>
      <c r="G76">
        <v>0.19742600934822399</v>
      </c>
      <c r="H76" t="s">
        <v>13209</v>
      </c>
    </row>
    <row r="77" spans="1:8" x14ac:dyDescent="0.25">
      <c r="A77" t="s">
        <v>8708</v>
      </c>
      <c r="B77" t="str">
        <f>HYPERLINK("http://amigo.geneontology.org/cgi-bin/amigo/term-details.cgi?term=GO:0009862","GO:0009862")</f>
        <v>GO:0009862</v>
      </c>
      <c r="C77" t="s">
        <v>7343</v>
      </c>
      <c r="D77">
        <v>63</v>
      </c>
      <c r="E77">
        <v>3</v>
      </c>
      <c r="F77">
        <v>3.2862436210632198E-3</v>
      </c>
      <c r="G77">
        <v>0.22017832261123499</v>
      </c>
      <c r="H77" t="s">
        <v>10107</v>
      </c>
    </row>
    <row r="78" spans="1:8" x14ac:dyDescent="0.25">
      <c r="A78" t="s">
        <v>10088</v>
      </c>
      <c r="B78" t="str">
        <f>HYPERLINK("http://amigo.geneontology.org/cgi-bin/amigo/term-details.cgi?term=GO:0060548","GO:0060548")</f>
        <v>GO:0060548</v>
      </c>
      <c r="C78" t="s">
        <v>10169</v>
      </c>
      <c r="D78">
        <v>63</v>
      </c>
      <c r="E78">
        <v>3</v>
      </c>
      <c r="F78">
        <v>3.2862436210632198E-3</v>
      </c>
      <c r="G78">
        <v>0.22346456623229899</v>
      </c>
      <c r="H78" t="s">
        <v>10107</v>
      </c>
    </row>
    <row r="79" spans="1:8" x14ac:dyDescent="0.25">
      <c r="A79" t="s">
        <v>9057</v>
      </c>
      <c r="B79" t="str">
        <f>HYPERLINK("http://amigo.geneontology.org/cgi-bin/amigo/term-details.cgi?term=GO:0046351","GO:0046351")</f>
        <v>GO:0046351</v>
      </c>
      <c r="C79" t="s">
        <v>6268</v>
      </c>
      <c r="D79">
        <v>66</v>
      </c>
      <c r="E79">
        <v>3</v>
      </c>
      <c r="F79">
        <v>3.7479329090187499E-3</v>
      </c>
      <c r="G79">
        <v>0.24736357199523701</v>
      </c>
      <c r="H79" t="s">
        <v>10051</v>
      </c>
    </row>
    <row r="80" spans="1:8" x14ac:dyDescent="0.25">
      <c r="A80" t="s">
        <v>9059</v>
      </c>
      <c r="B80" t="str">
        <f>HYPERLINK("http://amigo.geneontology.org/cgi-bin/amigo/term-details.cgi?term=GO:0009084","GO:0009084")</f>
        <v>GO:0009084</v>
      </c>
      <c r="C80" t="s">
        <v>10184</v>
      </c>
      <c r="D80">
        <v>71</v>
      </c>
      <c r="E80">
        <v>3</v>
      </c>
      <c r="F80">
        <v>4.6014557469777999E-3</v>
      </c>
      <c r="G80">
        <v>0.29909462355355698</v>
      </c>
      <c r="H80" t="s">
        <v>10058</v>
      </c>
    </row>
    <row r="81" spans="1:8" x14ac:dyDescent="0.25">
      <c r="A81" t="s">
        <v>7228</v>
      </c>
      <c r="B81" t="str">
        <f>HYPERLINK("http://amigo.geneontology.org/cgi-bin/amigo/term-details.cgi?term=GO:0009607","GO:0009607")</f>
        <v>GO:0009607</v>
      </c>
      <c r="C81" t="s">
        <v>157</v>
      </c>
      <c r="D81">
        <v>144</v>
      </c>
      <c r="E81">
        <v>4</v>
      </c>
      <c r="F81">
        <v>4.8609130891253899E-3</v>
      </c>
      <c r="G81">
        <v>0.31109843770402501</v>
      </c>
      <c r="H81" t="s">
        <v>13210</v>
      </c>
    </row>
    <row r="82" spans="1:8" x14ac:dyDescent="0.25">
      <c r="A82" t="s">
        <v>10090</v>
      </c>
      <c r="B82" t="str">
        <f>HYPERLINK("http://amigo.geneontology.org/cgi-bin/amigo/term-details.cgi?term=GO:0000165","GO:0000165")</f>
        <v>GO:0000165</v>
      </c>
      <c r="C82" t="s">
        <v>10195</v>
      </c>
      <c r="D82">
        <v>76</v>
      </c>
      <c r="E82">
        <v>3</v>
      </c>
      <c r="F82">
        <v>5.5634029542689497E-3</v>
      </c>
      <c r="G82">
        <v>0.35049438611894401</v>
      </c>
      <c r="H82" t="s">
        <v>10107</v>
      </c>
    </row>
    <row r="83" spans="1:8" x14ac:dyDescent="0.25">
      <c r="A83" t="s">
        <v>10091</v>
      </c>
      <c r="B83" t="str">
        <f>HYPERLINK("http://amigo.geneontology.org/cgi-bin/amigo/term-details.cgi?term=GO:0006207","GO:0006207")</f>
        <v>GO:0006207</v>
      </c>
      <c r="C83" t="s">
        <v>9021</v>
      </c>
      <c r="D83">
        <v>26</v>
      </c>
      <c r="E83">
        <v>2</v>
      </c>
      <c r="F83">
        <v>6.6001494643386496E-3</v>
      </c>
      <c r="G83">
        <v>0.409209266788996</v>
      </c>
      <c r="H83" t="s">
        <v>13211</v>
      </c>
    </row>
    <row r="84" spans="1:8" x14ac:dyDescent="0.25">
      <c r="A84" t="s">
        <v>8273</v>
      </c>
      <c r="B84" t="str">
        <f>HYPERLINK("http://amigo.geneontology.org/cgi-bin/amigo/term-details.cgi?term=GO:0071229","GO:0071229")</f>
        <v>GO:0071229</v>
      </c>
      <c r="C84" t="s">
        <v>10174</v>
      </c>
      <c r="D84">
        <v>161</v>
      </c>
      <c r="E84">
        <v>4</v>
      </c>
      <c r="F84">
        <v>7.1734783842862101E-3</v>
      </c>
      <c r="G84">
        <v>0.43758218144145899</v>
      </c>
      <c r="H84" t="s">
        <v>10130</v>
      </c>
    </row>
    <row r="85" spans="1:8" x14ac:dyDescent="0.25">
      <c r="A85" t="s">
        <v>10092</v>
      </c>
      <c r="B85" t="str">
        <f>HYPERLINK("http://amigo.geneontology.org/cgi-bin/amigo/term-details.cgi?term=GO:1901701","GO:1901701")</f>
        <v>GO:1901701</v>
      </c>
      <c r="C85" t="s">
        <v>13212</v>
      </c>
      <c r="D85">
        <v>161</v>
      </c>
      <c r="E85">
        <v>4</v>
      </c>
      <c r="F85">
        <v>7.1734783842862101E-3</v>
      </c>
      <c r="G85">
        <v>0.43758218144145899</v>
      </c>
      <c r="H85" t="s">
        <v>10130</v>
      </c>
    </row>
    <row r="86" spans="1:8" x14ac:dyDescent="0.25">
      <c r="A86" t="s">
        <v>10094</v>
      </c>
      <c r="B86" t="str">
        <f>HYPERLINK("http://amigo.geneontology.org/cgi-bin/amigo/term-details.cgi?term=GO:0009312","GO:0009312")</f>
        <v>GO:0009312</v>
      </c>
      <c r="C86" t="s">
        <v>6334</v>
      </c>
      <c r="D86">
        <v>85</v>
      </c>
      <c r="E86">
        <v>3</v>
      </c>
      <c r="F86">
        <v>7.5790087260069697E-3</v>
      </c>
      <c r="G86">
        <v>0.454740523560418</v>
      </c>
      <c r="H86" t="s">
        <v>10051</v>
      </c>
    </row>
    <row r="87" spans="1:8" x14ac:dyDescent="0.25">
      <c r="A87" t="s">
        <v>10095</v>
      </c>
      <c r="B87" t="str">
        <f>HYPERLINK("http://amigo.geneontology.org/cgi-bin/amigo/term-details.cgi?term=GO:0031348","GO:0031348")</f>
        <v>GO:0031348</v>
      </c>
      <c r="C87" t="s">
        <v>7475</v>
      </c>
      <c r="D87">
        <v>86</v>
      </c>
      <c r="E87">
        <v>3</v>
      </c>
      <c r="F87">
        <v>7.8261095429767204E-3</v>
      </c>
      <c r="G87">
        <v>0.46174046303562599</v>
      </c>
      <c r="H87" t="s">
        <v>10107</v>
      </c>
    </row>
    <row r="88" spans="1:8" x14ac:dyDescent="0.25">
      <c r="A88" t="s">
        <v>7265</v>
      </c>
      <c r="B88" t="str">
        <f>HYPERLINK("http://amigo.geneontology.org/cgi-bin/amigo/term-details.cgi?term=GO:0015914","GO:0015914")</f>
        <v>GO:0015914</v>
      </c>
      <c r="C88" t="s">
        <v>7304</v>
      </c>
      <c r="D88">
        <v>29</v>
      </c>
      <c r="E88">
        <v>2</v>
      </c>
      <c r="F88">
        <v>8.1692722301684104E-3</v>
      </c>
      <c r="G88">
        <v>0.47381778934976798</v>
      </c>
      <c r="H88" t="s">
        <v>10200</v>
      </c>
    </row>
    <row r="89" spans="1:8" x14ac:dyDescent="0.25">
      <c r="A89" t="s">
        <v>7268</v>
      </c>
      <c r="B89" t="str">
        <f>HYPERLINK("http://amigo.geneontology.org/cgi-bin/amigo/term-details.cgi?term=GO:0051606","GO:0051606")</f>
        <v>GO:0051606</v>
      </c>
      <c r="C89" t="s">
        <v>10167</v>
      </c>
      <c r="D89">
        <v>30</v>
      </c>
      <c r="E89">
        <v>2</v>
      </c>
      <c r="F89">
        <v>8.7258942436743894E-3</v>
      </c>
      <c r="G89">
        <v>0.49737597188943999</v>
      </c>
      <c r="H89" t="s">
        <v>7418</v>
      </c>
    </row>
    <row r="90" spans="1:8" x14ac:dyDescent="0.25">
      <c r="A90" t="s">
        <v>7270</v>
      </c>
      <c r="B90" t="str">
        <f>HYPERLINK("http://amigo.geneontology.org/cgi-bin/amigo/term-details.cgi?term=GO:0009595","GO:0009595")</f>
        <v>GO:0009595</v>
      </c>
      <c r="C90" t="s">
        <v>10106</v>
      </c>
      <c r="D90">
        <v>30</v>
      </c>
      <c r="E90">
        <v>2</v>
      </c>
      <c r="F90">
        <v>8.7258942436743894E-3</v>
      </c>
      <c r="G90">
        <v>0.49737597188943999</v>
      </c>
      <c r="H90" t="s">
        <v>7418</v>
      </c>
    </row>
    <row r="91" spans="1:8" x14ac:dyDescent="0.25">
      <c r="A91" t="s">
        <v>8281</v>
      </c>
      <c r="B91" t="str">
        <f>HYPERLINK("http://amigo.geneontology.org/cgi-bin/amigo/term-details.cgi?term=GO:0080134","GO:0080134")</f>
        <v>GO:0080134</v>
      </c>
      <c r="C91" t="s">
        <v>10221</v>
      </c>
      <c r="D91">
        <v>172</v>
      </c>
      <c r="E91">
        <v>4</v>
      </c>
      <c r="F91">
        <v>9.0012201488031598E-3</v>
      </c>
      <c r="G91">
        <v>0.50406832833297699</v>
      </c>
      <c r="H91" t="s">
        <v>10173</v>
      </c>
    </row>
    <row r="92" spans="1:8" x14ac:dyDescent="0.25">
      <c r="A92" t="s">
        <v>10097</v>
      </c>
      <c r="B92" t="str">
        <f>HYPERLINK("http://amigo.geneontology.org/cgi-bin/amigo/term-details.cgi?term=GO:0010363","GO:0010363")</f>
        <v>GO:0010363</v>
      </c>
      <c r="C92" t="s">
        <v>9182</v>
      </c>
      <c r="D92">
        <v>92</v>
      </c>
      <c r="E92">
        <v>3</v>
      </c>
      <c r="F92">
        <v>9.4082216900662295E-3</v>
      </c>
      <c r="G92">
        <v>0.51745219295364298</v>
      </c>
      <c r="H92" t="s">
        <v>10107</v>
      </c>
    </row>
    <row r="93" spans="1:8" x14ac:dyDescent="0.25">
      <c r="A93" t="s">
        <v>10099</v>
      </c>
      <c r="B93" t="str">
        <f>HYPERLINK("http://amigo.geneontology.org/cgi-bin/amigo/term-details.cgi?term=GO:0071446","GO:0071446")</f>
        <v>GO:0071446</v>
      </c>
      <c r="C93" t="s">
        <v>7575</v>
      </c>
      <c r="D93">
        <v>93</v>
      </c>
      <c r="E93">
        <v>3</v>
      </c>
      <c r="F93">
        <v>9.6886591809651999E-3</v>
      </c>
      <c r="G93">
        <v>0.52318759577212104</v>
      </c>
      <c r="H93" t="s">
        <v>10107</v>
      </c>
    </row>
    <row r="94" spans="1:8" x14ac:dyDescent="0.25">
      <c r="A94" t="s">
        <v>7285</v>
      </c>
      <c r="B94" t="str">
        <f>HYPERLINK("http://amigo.geneontology.org/cgi-bin/amigo/term-details.cgi?term=GO:0009863","GO:0009863")</f>
        <v>GO:0009863</v>
      </c>
      <c r="C94" t="s">
        <v>7577</v>
      </c>
      <c r="D94">
        <v>93</v>
      </c>
      <c r="E94">
        <v>3</v>
      </c>
      <c r="F94">
        <v>9.6886591809651999E-3</v>
      </c>
      <c r="G94">
        <v>0.53287625495308599</v>
      </c>
      <c r="H94" t="s">
        <v>10107</v>
      </c>
    </row>
    <row r="95" spans="1:8" x14ac:dyDescent="0.25">
      <c r="A95" t="s">
        <v>10100</v>
      </c>
      <c r="B95" t="str">
        <f>HYPERLINK("http://amigo.geneontology.org/cgi-bin/amigo/term-details.cgi?term=GO:0019856","GO:0019856")</f>
        <v>GO:0019856</v>
      </c>
      <c r="C95" t="s">
        <v>9045</v>
      </c>
      <c r="D95">
        <v>32</v>
      </c>
      <c r="E95">
        <v>2</v>
      </c>
      <c r="F95">
        <v>9.8885050537112808E-3</v>
      </c>
      <c r="G95">
        <v>0.52409076784669795</v>
      </c>
      <c r="H95" t="s">
        <v>13211</v>
      </c>
    </row>
    <row r="96" spans="1:8" x14ac:dyDescent="0.25">
      <c r="A96" t="s">
        <v>10101</v>
      </c>
      <c r="B96" t="str">
        <f>HYPERLINK("http://amigo.geneontology.org/cgi-bin/amigo/term-details.cgi?term=GO:0031347","GO:0031347")</f>
        <v>GO:0031347</v>
      </c>
      <c r="C96" t="s">
        <v>9144</v>
      </c>
      <c r="D96">
        <v>181</v>
      </c>
      <c r="E96">
        <v>4</v>
      </c>
      <c r="F96">
        <v>1.07039588579327E-2</v>
      </c>
      <c r="G96">
        <v>0.56730981947043702</v>
      </c>
      <c r="H96" t="s">
        <v>10173</v>
      </c>
    </row>
    <row r="97" spans="1:8" x14ac:dyDescent="0.25">
      <c r="A97" t="s">
        <v>9113</v>
      </c>
      <c r="B97" t="str">
        <f>HYPERLINK("http://amigo.geneontology.org/cgi-bin/amigo/term-details.cgi?term=GO:0034637","GO:0034637")</f>
        <v>GO:0034637</v>
      </c>
      <c r="C97" t="s">
        <v>1543</v>
      </c>
      <c r="D97">
        <v>101</v>
      </c>
      <c r="E97">
        <v>3</v>
      </c>
      <c r="F97">
        <v>1.21072857933646E-2</v>
      </c>
      <c r="G97">
        <v>0.62957886125495899</v>
      </c>
      <c r="H97" t="s">
        <v>10051</v>
      </c>
    </row>
    <row r="98" spans="1:8" x14ac:dyDescent="0.25">
      <c r="A98" t="s">
        <v>10104</v>
      </c>
      <c r="B98" t="str">
        <f>HYPERLINK("http://amigo.geneontology.org/cgi-bin/amigo/term-details.cgi?term=GO:0006206","GO:0006206")</f>
        <v>GO:0006206</v>
      </c>
      <c r="C98" t="s">
        <v>9093</v>
      </c>
      <c r="D98">
        <v>36</v>
      </c>
      <c r="E98">
        <v>2</v>
      </c>
      <c r="F98">
        <v>1.24065876638176E-2</v>
      </c>
      <c r="G98">
        <v>0.63273597085469802</v>
      </c>
      <c r="H98" t="s">
        <v>13211</v>
      </c>
    </row>
    <row r="99" spans="1:8" x14ac:dyDescent="0.25">
      <c r="A99" t="s">
        <v>9118</v>
      </c>
      <c r="B99" t="str">
        <f>HYPERLINK("http://amigo.geneontology.org/cgi-bin/amigo/term-details.cgi?term=GO:0080135","GO:0080135")</f>
        <v>GO:0080135</v>
      </c>
      <c r="C99" t="s">
        <v>10255</v>
      </c>
      <c r="D99">
        <v>104</v>
      </c>
      <c r="E99">
        <v>3</v>
      </c>
      <c r="F99">
        <v>1.30954075586376E-2</v>
      </c>
      <c r="G99">
        <v>0.66786578549052</v>
      </c>
      <c r="H99" t="s">
        <v>10107</v>
      </c>
    </row>
    <row r="100" spans="1:8" x14ac:dyDescent="0.25">
      <c r="A100" t="s">
        <v>7293</v>
      </c>
      <c r="B100" t="str">
        <f>HYPERLINK("http://amigo.geneontology.org/cgi-bin/amigo/term-details.cgi?term=GO:0052317","GO:0052317")</f>
        <v>GO:0052317</v>
      </c>
      <c r="C100" t="s">
        <v>7516</v>
      </c>
      <c r="D100">
        <v>3</v>
      </c>
      <c r="E100">
        <v>1</v>
      </c>
      <c r="F100">
        <v>1.3984997218175799E-2</v>
      </c>
      <c r="G100">
        <v>0.67127986647244298</v>
      </c>
      <c r="H100" t="s">
        <v>6888</v>
      </c>
    </row>
    <row r="101" spans="1:8" x14ac:dyDescent="0.25">
      <c r="A101" t="s">
        <v>7308</v>
      </c>
      <c r="B101" t="str">
        <f>HYPERLINK("http://amigo.geneontology.org/cgi-bin/amigo/term-details.cgi?term=GO:0010120","GO:0010120")</f>
        <v>GO:0010120</v>
      </c>
      <c r="C101" t="s">
        <v>7518</v>
      </c>
      <c r="D101">
        <v>3</v>
      </c>
      <c r="E101">
        <v>1</v>
      </c>
      <c r="F101">
        <v>1.3984997218175799E-2</v>
      </c>
      <c r="G101">
        <v>0.68526486369061901</v>
      </c>
      <c r="H101" t="s">
        <v>6888</v>
      </c>
    </row>
    <row r="102" spans="1:8" x14ac:dyDescent="0.25">
      <c r="A102" t="s">
        <v>10112</v>
      </c>
      <c r="B102" t="str">
        <f>HYPERLINK("http://amigo.geneontology.org/cgi-bin/amigo/term-details.cgi?term=GO:0098581","GO:0098581")</f>
        <v>GO:0098581</v>
      </c>
      <c r="C102" t="s">
        <v>10210</v>
      </c>
      <c r="D102">
        <v>3</v>
      </c>
      <c r="E102">
        <v>1</v>
      </c>
      <c r="F102">
        <v>1.3984997218175799E-2</v>
      </c>
      <c r="G102">
        <v>0.68526486369061901</v>
      </c>
      <c r="H102" t="s">
        <v>10088</v>
      </c>
    </row>
    <row r="103" spans="1:8" x14ac:dyDescent="0.25">
      <c r="A103" t="s">
        <v>9152</v>
      </c>
      <c r="B103" t="str">
        <f>HYPERLINK("http://amigo.geneontology.org/cgi-bin/amigo/term-details.cgi?term=GO:0098543","GO:0098543")</f>
        <v>GO:0098543</v>
      </c>
      <c r="C103" t="s">
        <v>10212</v>
      </c>
      <c r="D103">
        <v>3</v>
      </c>
      <c r="E103">
        <v>1</v>
      </c>
      <c r="F103">
        <v>1.3984997218175799E-2</v>
      </c>
      <c r="G103">
        <v>0.69924986090879404</v>
      </c>
      <c r="H103" t="s">
        <v>10088</v>
      </c>
    </row>
    <row r="104" spans="1:8" x14ac:dyDescent="0.25">
      <c r="A104" t="s">
        <v>10114</v>
      </c>
      <c r="B104" t="str">
        <f>HYPERLINK("http://amigo.geneontology.org/cgi-bin/amigo/term-details.cgi?term=GO:0016045","GO:0016045")</f>
        <v>GO:0016045</v>
      </c>
      <c r="C104" t="s">
        <v>10213</v>
      </c>
      <c r="D104">
        <v>3</v>
      </c>
      <c r="E104">
        <v>1</v>
      </c>
      <c r="F104">
        <v>1.3984997218175799E-2</v>
      </c>
      <c r="G104">
        <v>0.69924986090879404</v>
      </c>
      <c r="H104" t="s">
        <v>10088</v>
      </c>
    </row>
    <row r="105" spans="1:8" x14ac:dyDescent="0.25">
      <c r="A105" t="s">
        <v>9155</v>
      </c>
      <c r="B105" t="str">
        <f>HYPERLINK("http://amigo.geneontology.org/cgi-bin/amigo/term-details.cgi?term=GO:0046112","GO:0046112")</f>
        <v>GO:0046112</v>
      </c>
      <c r="C105" t="s">
        <v>9159</v>
      </c>
      <c r="D105">
        <v>39</v>
      </c>
      <c r="E105">
        <v>2</v>
      </c>
      <c r="F105">
        <v>1.44588131122556E-2</v>
      </c>
      <c r="G105">
        <v>0.69402302938827198</v>
      </c>
      <c r="H105" t="s">
        <v>13211</v>
      </c>
    </row>
    <row r="106" spans="1:8" x14ac:dyDescent="0.25">
      <c r="A106" t="s">
        <v>10117</v>
      </c>
      <c r="B106" t="str">
        <f>HYPERLINK("http://amigo.geneontology.org/cgi-bin/amigo/term-details.cgi?term=GO:1901605","GO:1901605")</f>
        <v>GO:1901605</v>
      </c>
      <c r="C106" t="s">
        <v>7075</v>
      </c>
      <c r="D106">
        <v>305</v>
      </c>
      <c r="E106">
        <v>5</v>
      </c>
      <c r="F106">
        <v>1.4947496985750999E-2</v>
      </c>
      <c r="G106">
        <v>0.70253235833029704</v>
      </c>
      <c r="H106" t="s">
        <v>13213</v>
      </c>
    </row>
    <row r="107" spans="1:8" x14ac:dyDescent="0.25">
      <c r="A107" t="s">
        <v>10118</v>
      </c>
      <c r="B107" t="str">
        <f>HYPERLINK("http://amigo.geneontology.org/cgi-bin/amigo/term-details.cgi?term=GO:0050832","GO:0050832")</f>
        <v>GO:0050832</v>
      </c>
      <c r="C107" t="s">
        <v>6776</v>
      </c>
      <c r="D107">
        <v>202</v>
      </c>
      <c r="E107">
        <v>4</v>
      </c>
      <c r="F107">
        <v>1.54485611670122E-2</v>
      </c>
      <c r="G107">
        <v>0.72608237484957305</v>
      </c>
      <c r="H107" t="s">
        <v>10130</v>
      </c>
    </row>
    <row r="108" spans="1:8" x14ac:dyDescent="0.25">
      <c r="A108" t="s">
        <v>10119</v>
      </c>
      <c r="B108" t="str">
        <f>HYPERLINK("http://amigo.geneontology.org/cgi-bin/amigo/term-details.cgi?term=GO:0043067","GO:0043067")</f>
        <v>GO:0043067</v>
      </c>
      <c r="C108" t="s">
        <v>5726</v>
      </c>
      <c r="D108">
        <v>112</v>
      </c>
      <c r="E108">
        <v>3</v>
      </c>
      <c r="F108">
        <v>1.59497168620489E-2</v>
      </c>
      <c r="G108">
        <v>0.73368697565425101</v>
      </c>
      <c r="H108" t="s">
        <v>10107</v>
      </c>
    </row>
    <row r="109" spans="1:8" x14ac:dyDescent="0.25">
      <c r="A109" t="s">
        <v>7338</v>
      </c>
      <c r="B109" t="str">
        <f>HYPERLINK("http://amigo.geneontology.org/cgi-bin/amigo/term-details.cgi?term=GO:0050776","GO:0050776")</f>
        <v>GO:0050776</v>
      </c>
      <c r="C109" t="s">
        <v>13214</v>
      </c>
      <c r="D109">
        <v>112</v>
      </c>
      <c r="E109">
        <v>3</v>
      </c>
      <c r="F109">
        <v>1.59497168620489E-2</v>
      </c>
      <c r="G109">
        <v>0.73368697565425101</v>
      </c>
      <c r="H109" t="s">
        <v>10107</v>
      </c>
    </row>
    <row r="110" spans="1:8" x14ac:dyDescent="0.25">
      <c r="A110" t="s">
        <v>7340</v>
      </c>
      <c r="B110" t="str">
        <f>HYPERLINK("http://amigo.geneontology.org/cgi-bin/amigo/term-details.cgi?term=GO:0072657","GO:0072657")</f>
        <v>GO:0072657</v>
      </c>
      <c r="C110" t="s">
        <v>13215</v>
      </c>
      <c r="D110">
        <v>114</v>
      </c>
      <c r="E110">
        <v>3</v>
      </c>
      <c r="F110">
        <v>1.67134864039854E-2</v>
      </c>
      <c r="G110">
        <v>0.75210688817934401</v>
      </c>
      <c r="H110" t="s">
        <v>10107</v>
      </c>
    </row>
    <row r="111" spans="1:8" x14ac:dyDescent="0.25">
      <c r="A111" t="s">
        <v>10123</v>
      </c>
      <c r="B111" t="str">
        <f>HYPERLINK("http://amigo.geneontology.org/cgi-bin/amigo/term-details.cgi?term=GO:0009627","GO:0009627")</f>
        <v>GO:0009627</v>
      </c>
      <c r="C111" t="s">
        <v>7432</v>
      </c>
      <c r="D111">
        <v>114</v>
      </c>
      <c r="E111">
        <v>3</v>
      </c>
      <c r="F111">
        <v>1.67134864039854E-2</v>
      </c>
      <c r="G111">
        <v>0.75210688817934401</v>
      </c>
      <c r="H111" t="s">
        <v>10107</v>
      </c>
    </row>
    <row r="112" spans="1:8" x14ac:dyDescent="0.25">
      <c r="A112" t="s">
        <v>10124</v>
      </c>
      <c r="B112" t="str">
        <f>HYPERLINK("http://amigo.geneontology.org/cgi-bin/amigo/term-details.cgi?term=GO:0045088","GO:0045088")</f>
        <v>GO:0045088</v>
      </c>
      <c r="C112" t="s">
        <v>13216</v>
      </c>
      <c r="D112">
        <v>115</v>
      </c>
      <c r="E112">
        <v>3</v>
      </c>
      <c r="F112">
        <v>1.7102935080094001E-2</v>
      </c>
      <c r="G112">
        <v>0.75252914352413802</v>
      </c>
      <c r="H112" t="s">
        <v>10107</v>
      </c>
    </row>
    <row r="113" spans="1:8" x14ac:dyDescent="0.25">
      <c r="A113" t="s">
        <v>7355</v>
      </c>
      <c r="B113" t="str">
        <f>HYPERLINK("http://amigo.geneontology.org/cgi-bin/amigo/term-details.cgi?term=GO:0023014","GO:0023014")</f>
        <v>GO:0023014</v>
      </c>
      <c r="C113" t="s">
        <v>10250</v>
      </c>
      <c r="D113">
        <v>116</v>
      </c>
      <c r="E113">
        <v>3</v>
      </c>
      <c r="F113">
        <v>1.7497433061026899E-2</v>
      </c>
      <c r="G113">
        <v>0.76988705468518304</v>
      </c>
      <c r="H113" t="s">
        <v>10107</v>
      </c>
    </row>
    <row r="114" spans="1:8" x14ac:dyDescent="0.25">
      <c r="A114" t="s">
        <v>10127</v>
      </c>
      <c r="B114" t="str">
        <f>HYPERLINK("http://amigo.geneontology.org/cgi-bin/amigo/term-details.cgi?term=GO:0046217","GO:0046217")</f>
        <v>GO:0046217</v>
      </c>
      <c r="C114" t="s">
        <v>10237</v>
      </c>
      <c r="D114">
        <v>5</v>
      </c>
      <c r="E114">
        <v>1</v>
      </c>
      <c r="F114">
        <v>2.3199801605845002E-2</v>
      </c>
      <c r="G114">
        <v>0.97439166744549199</v>
      </c>
      <c r="H114" t="s">
        <v>6888</v>
      </c>
    </row>
    <row r="115" spans="1:8" x14ac:dyDescent="0.25">
      <c r="A115" t="s">
        <v>10128</v>
      </c>
      <c r="B115" t="str">
        <f>HYPERLINK("http://amigo.geneontology.org/cgi-bin/amigo/term-details.cgi?term=GO:0052315","GO:0052315")</f>
        <v>GO:0052315</v>
      </c>
      <c r="C115" t="s">
        <v>10238</v>
      </c>
      <c r="D115">
        <v>5</v>
      </c>
      <c r="E115">
        <v>1</v>
      </c>
      <c r="F115">
        <v>2.3199801605845002E-2</v>
      </c>
      <c r="G115">
        <v>0.997591469051337</v>
      </c>
      <c r="H115" t="s">
        <v>6888</v>
      </c>
    </row>
    <row r="116" spans="1:8" x14ac:dyDescent="0.25">
      <c r="A116" t="s">
        <v>10131</v>
      </c>
      <c r="B116" t="str">
        <f>HYPERLINK("http://amigo.geneontology.org/cgi-bin/amigo/term-details.cgi?term=GO:0009700","GO:0009700")</f>
        <v>GO:0009700</v>
      </c>
      <c r="C116" t="s">
        <v>10240</v>
      </c>
      <c r="D116">
        <v>5</v>
      </c>
      <c r="E116">
        <v>1</v>
      </c>
      <c r="F116">
        <v>2.3199801605845002E-2</v>
      </c>
      <c r="G116">
        <v>0.997591469051337</v>
      </c>
      <c r="H116" t="s">
        <v>6888</v>
      </c>
    </row>
    <row r="117" spans="1:8" x14ac:dyDescent="0.25">
      <c r="A117" t="s">
        <v>9177</v>
      </c>
      <c r="B117" t="str">
        <f>HYPERLINK("http://amigo.geneontology.org/cgi-bin/amigo/term-details.cgi?term=GO:0070370","GO:0070370")</f>
        <v>GO:0070370</v>
      </c>
      <c r="C117" t="s">
        <v>10241</v>
      </c>
      <c r="D117">
        <v>5</v>
      </c>
      <c r="E117">
        <v>1</v>
      </c>
      <c r="F117">
        <v>2.3199801605845002E-2</v>
      </c>
      <c r="G117">
        <v>0.997591469051337</v>
      </c>
      <c r="H117" t="s">
        <v>6888</v>
      </c>
    </row>
    <row r="118" spans="1:8" x14ac:dyDescent="0.25">
      <c r="A118" t="s">
        <v>7379</v>
      </c>
      <c r="B118" t="str">
        <f>HYPERLINK("http://amigo.geneontology.org/cgi-bin/amigo/term-details.cgi?term=GO:0048585","GO:0048585")</f>
        <v>GO:0048585</v>
      </c>
      <c r="C118" t="s">
        <v>10215</v>
      </c>
      <c r="D118">
        <v>132</v>
      </c>
      <c r="E118">
        <v>3</v>
      </c>
      <c r="F118">
        <v>2.4498486110811599E-2</v>
      </c>
      <c r="G118">
        <v>1</v>
      </c>
      <c r="H118" t="s">
        <v>10107</v>
      </c>
    </row>
    <row r="119" spans="1:8" x14ac:dyDescent="0.25">
      <c r="A119" t="s">
        <v>7381</v>
      </c>
      <c r="B119" t="str">
        <f>HYPERLINK("http://amigo.geneontology.org/cgi-bin/amigo/term-details.cgi?term=GO:0006399","GO:0006399")</f>
        <v>GO:0006399</v>
      </c>
      <c r="C119" t="s">
        <v>13217</v>
      </c>
      <c r="D119">
        <v>475</v>
      </c>
      <c r="E119">
        <v>6</v>
      </c>
      <c r="F119">
        <v>2.5365667956888001E-2</v>
      </c>
      <c r="G119">
        <v>1</v>
      </c>
      <c r="H119" t="s">
        <v>10149</v>
      </c>
    </row>
    <row r="120" spans="1:8" x14ac:dyDescent="0.25">
      <c r="A120" t="s">
        <v>10135</v>
      </c>
      <c r="B120" t="str">
        <f>HYPERLINK("http://amigo.geneontology.org/cgi-bin/amigo/term-details.cgi?term=GO:0090150","GO:0090150")</f>
        <v>GO:0090150</v>
      </c>
      <c r="C120" t="s">
        <v>13218</v>
      </c>
      <c r="D120">
        <v>134</v>
      </c>
      <c r="E120">
        <v>3</v>
      </c>
      <c r="F120">
        <v>2.5464925013005998E-2</v>
      </c>
      <c r="G120">
        <v>1</v>
      </c>
      <c r="H120" t="s">
        <v>10107</v>
      </c>
    </row>
    <row r="121" spans="1:8" x14ac:dyDescent="0.25">
      <c r="A121" t="s">
        <v>7385</v>
      </c>
      <c r="B121" t="str">
        <f>HYPERLINK("http://amigo.geneontology.org/cgi-bin/amigo/term-details.cgi?term=GO:0009696","GO:0009696")</f>
        <v>GO:0009696</v>
      </c>
      <c r="C121" t="s">
        <v>1088</v>
      </c>
      <c r="D121">
        <v>57</v>
      </c>
      <c r="E121">
        <v>2</v>
      </c>
      <c r="F121">
        <v>2.94756140579507E-2</v>
      </c>
      <c r="G121">
        <v>1</v>
      </c>
      <c r="H121" t="s">
        <v>10266</v>
      </c>
    </row>
    <row r="122" spans="1:8" x14ac:dyDescent="0.25">
      <c r="A122" t="s">
        <v>9184</v>
      </c>
      <c r="B122" t="str">
        <f>HYPERLINK("http://amigo.geneontology.org/cgi-bin/amigo/term-details.cgi?term=GO:0009697","GO:0009697")</f>
        <v>GO:0009697</v>
      </c>
      <c r="C122" t="s">
        <v>1091</v>
      </c>
      <c r="D122">
        <v>57</v>
      </c>
      <c r="E122">
        <v>2</v>
      </c>
      <c r="F122">
        <v>2.94756140579507E-2</v>
      </c>
      <c r="G122">
        <v>1</v>
      </c>
      <c r="H122" t="s">
        <v>10266</v>
      </c>
    </row>
    <row r="123" spans="1:8" x14ac:dyDescent="0.25">
      <c r="A123" t="s">
        <v>9187</v>
      </c>
      <c r="B123" t="str">
        <f>HYPERLINK("http://amigo.geneontology.org/cgi-bin/amigo/term-details.cgi?term=GO:0015748","GO:0015748")</f>
        <v>GO:0015748</v>
      </c>
      <c r="C123" t="s">
        <v>7395</v>
      </c>
      <c r="D123">
        <v>57</v>
      </c>
      <c r="E123">
        <v>2</v>
      </c>
      <c r="F123">
        <v>2.94756140579507E-2</v>
      </c>
      <c r="G123">
        <v>1</v>
      </c>
      <c r="H123" t="s">
        <v>10200</v>
      </c>
    </row>
    <row r="124" spans="1:8" x14ac:dyDescent="0.25">
      <c r="A124" t="s">
        <v>10137</v>
      </c>
      <c r="B124" t="str">
        <f>HYPERLINK("http://amigo.geneontology.org/cgi-bin/amigo/term-details.cgi?term=GO:0031323","GO:0031323")</f>
        <v>GO:0031323</v>
      </c>
      <c r="C124" t="s">
        <v>6845</v>
      </c>
      <c r="D124">
        <v>143</v>
      </c>
      <c r="E124">
        <v>3</v>
      </c>
      <c r="F124">
        <v>3.0064245677381501E-2</v>
      </c>
      <c r="G124">
        <v>1</v>
      </c>
      <c r="H124" t="s">
        <v>10107</v>
      </c>
    </row>
    <row r="125" spans="1:8" x14ac:dyDescent="0.25">
      <c r="A125" t="s">
        <v>10138</v>
      </c>
      <c r="B125" t="str">
        <f>HYPERLINK("http://amigo.geneontology.org/cgi-bin/amigo/term-details.cgi?term=GO:2001141","GO:2001141")</f>
        <v>GO:2001141</v>
      </c>
      <c r="C125" t="s">
        <v>6826</v>
      </c>
      <c r="D125">
        <v>4285</v>
      </c>
      <c r="E125">
        <v>29</v>
      </c>
      <c r="F125">
        <v>3.1162663156036701E-2</v>
      </c>
      <c r="G125">
        <v>1</v>
      </c>
      <c r="H125" t="s">
        <v>13219</v>
      </c>
    </row>
    <row r="126" spans="1:8" x14ac:dyDescent="0.25">
      <c r="A126" t="s">
        <v>7399</v>
      </c>
      <c r="B126" t="str">
        <f>HYPERLINK("http://amigo.geneontology.org/cgi-bin/amigo/term-details.cgi?term=GO:0048523","GO:0048523")</f>
        <v>GO:0048523</v>
      </c>
      <c r="C126" t="s">
        <v>7240</v>
      </c>
      <c r="D126">
        <v>146</v>
      </c>
      <c r="E126">
        <v>3</v>
      </c>
      <c r="F126">
        <v>3.1688029780316498E-2</v>
      </c>
      <c r="G126">
        <v>1</v>
      </c>
      <c r="H126" t="s">
        <v>10107</v>
      </c>
    </row>
    <row r="127" spans="1:8" x14ac:dyDescent="0.25">
      <c r="A127" t="s">
        <v>7401</v>
      </c>
      <c r="B127" t="str">
        <f>HYPERLINK("http://amigo.geneontology.org/cgi-bin/amigo/term-details.cgi?term=GO:0006082","GO:0006082")</f>
        <v>GO:0006082</v>
      </c>
      <c r="C127" t="s">
        <v>4301</v>
      </c>
      <c r="D127">
        <v>147</v>
      </c>
      <c r="E127">
        <v>3</v>
      </c>
      <c r="F127">
        <v>3.2239319226658701E-2</v>
      </c>
      <c r="G127">
        <v>1</v>
      </c>
      <c r="H127" t="s">
        <v>7232</v>
      </c>
    </row>
    <row r="128" spans="1:8" x14ac:dyDescent="0.25">
      <c r="A128" t="s">
        <v>10141</v>
      </c>
      <c r="B128" t="str">
        <f>HYPERLINK("http://amigo.geneontology.org/cgi-bin/amigo/term-details.cgi?term=GO:0043648","GO:0043648")</f>
        <v>GO:0043648</v>
      </c>
      <c r="C128" t="s">
        <v>13220</v>
      </c>
      <c r="D128">
        <v>151</v>
      </c>
      <c r="E128">
        <v>3</v>
      </c>
      <c r="F128">
        <v>3.4494438262268501E-2</v>
      </c>
      <c r="G128">
        <v>1</v>
      </c>
      <c r="H128" t="s">
        <v>7232</v>
      </c>
    </row>
    <row r="129" spans="1:8" x14ac:dyDescent="0.25">
      <c r="A129" t="s">
        <v>10142</v>
      </c>
      <c r="B129" t="str">
        <f>HYPERLINK("http://amigo.geneontology.org/cgi-bin/amigo/term-details.cgi?term=GO:0009620","GO:0009620")</f>
        <v>GO:0009620</v>
      </c>
      <c r="C129" t="s">
        <v>9055</v>
      </c>
      <c r="D129">
        <v>260</v>
      </c>
      <c r="E129">
        <v>4</v>
      </c>
      <c r="F129">
        <v>3.4686481237306999E-2</v>
      </c>
      <c r="G129">
        <v>1</v>
      </c>
      <c r="H129" t="s">
        <v>10130</v>
      </c>
    </row>
    <row r="130" spans="1:8" x14ac:dyDescent="0.25">
      <c r="A130" t="s">
        <v>10143</v>
      </c>
      <c r="B130" t="str">
        <f>HYPERLINK("http://amigo.geneontology.org/cgi-bin/amigo/term-details.cgi?term=GO:0048583","GO:0048583")</f>
        <v>GO:0048583</v>
      </c>
      <c r="C130" t="s">
        <v>7374</v>
      </c>
      <c r="D130">
        <v>383</v>
      </c>
      <c r="E130">
        <v>5</v>
      </c>
      <c r="F130">
        <v>3.51955246644233E-2</v>
      </c>
      <c r="G130">
        <v>1</v>
      </c>
      <c r="H130" t="s">
        <v>13221</v>
      </c>
    </row>
    <row r="131" spans="1:8" x14ac:dyDescent="0.25">
      <c r="A131" t="s">
        <v>7403</v>
      </c>
      <c r="B131" t="str">
        <f>HYPERLINK("http://amigo.geneontology.org/cgi-bin/amigo/term-details.cgi?term=GO:0010200","GO:0010200")</f>
        <v>GO:0010200</v>
      </c>
      <c r="C131" t="s">
        <v>13222</v>
      </c>
      <c r="D131">
        <v>63</v>
      </c>
      <c r="E131">
        <v>2</v>
      </c>
      <c r="F131">
        <v>3.5416768455196999E-2</v>
      </c>
      <c r="G131">
        <v>1</v>
      </c>
      <c r="H131" t="s">
        <v>13223</v>
      </c>
    </row>
    <row r="132" spans="1:8" x14ac:dyDescent="0.25">
      <c r="A132" t="s">
        <v>7405</v>
      </c>
      <c r="B132" t="str">
        <f>HYPERLINK("http://amigo.geneontology.org/cgi-bin/amigo/term-details.cgi?term=GO:0072527","GO:0072527")</f>
        <v>GO:0072527</v>
      </c>
      <c r="C132" t="s">
        <v>13224</v>
      </c>
      <c r="D132">
        <v>65</v>
      </c>
      <c r="E132">
        <v>2</v>
      </c>
      <c r="F132">
        <v>3.7491532775354601E-2</v>
      </c>
      <c r="G132">
        <v>1</v>
      </c>
      <c r="H132" t="s">
        <v>13211</v>
      </c>
    </row>
    <row r="133" spans="1:8" x14ac:dyDescent="0.25">
      <c r="A133" t="s">
        <v>8332</v>
      </c>
      <c r="B133" t="str">
        <f>HYPERLINK("http://amigo.geneontology.org/cgi-bin/amigo/term-details.cgi?term=GO:0006612","GO:0006612")</f>
        <v>GO:0006612</v>
      </c>
      <c r="C133" t="s">
        <v>13225</v>
      </c>
      <c r="D133">
        <v>157</v>
      </c>
      <c r="E133">
        <v>3</v>
      </c>
      <c r="F133">
        <v>3.8026152864728602E-2</v>
      </c>
      <c r="G133">
        <v>1</v>
      </c>
      <c r="H133" t="s">
        <v>10107</v>
      </c>
    </row>
    <row r="134" spans="1:8" x14ac:dyDescent="0.25">
      <c r="A134" t="s">
        <v>8333</v>
      </c>
      <c r="B134" t="str">
        <f>HYPERLINK("http://amigo.geneontology.org/cgi-bin/amigo/term-details.cgi?term=GO:0009814","GO:0009814")</f>
        <v>GO:0009814</v>
      </c>
      <c r="C134" t="s">
        <v>7455</v>
      </c>
      <c r="D134">
        <v>161</v>
      </c>
      <c r="E134">
        <v>3</v>
      </c>
      <c r="F134">
        <v>4.0479173539817601E-2</v>
      </c>
      <c r="G134">
        <v>1</v>
      </c>
      <c r="H134" t="s">
        <v>10107</v>
      </c>
    </row>
    <row r="135" spans="1:8" x14ac:dyDescent="0.25">
      <c r="A135" t="s">
        <v>7406</v>
      </c>
      <c r="B135" t="str">
        <f>HYPERLINK("http://amigo.geneontology.org/cgi-bin/amigo/term-details.cgi?term=GO:0046189","GO:0046189")</f>
        <v>GO:0046189</v>
      </c>
      <c r="C135" t="s">
        <v>1270</v>
      </c>
      <c r="D135">
        <v>68</v>
      </c>
      <c r="E135">
        <v>2</v>
      </c>
      <c r="F135">
        <v>4.0688562712233797E-2</v>
      </c>
      <c r="G135">
        <v>1</v>
      </c>
      <c r="H135" t="s">
        <v>10266</v>
      </c>
    </row>
    <row r="136" spans="1:8" x14ac:dyDescent="0.25">
      <c r="A136" t="s">
        <v>10150</v>
      </c>
      <c r="B136" t="str">
        <f>HYPERLINK("http://amigo.geneontology.org/cgi-bin/amigo/term-details.cgi?term=GO:0042742","GO:0042742")</f>
        <v>GO:0042742</v>
      </c>
      <c r="C136" t="s">
        <v>13226</v>
      </c>
      <c r="D136">
        <v>162</v>
      </c>
      <c r="E136">
        <v>3</v>
      </c>
      <c r="F136">
        <v>4.1104658072500001E-2</v>
      </c>
      <c r="G136">
        <v>1</v>
      </c>
      <c r="H136" t="s">
        <v>10107</v>
      </c>
    </row>
    <row r="137" spans="1:8" x14ac:dyDescent="0.25">
      <c r="A137" t="s">
        <v>9202</v>
      </c>
      <c r="B137" t="str">
        <f>HYPERLINK("http://amigo.geneontology.org/cgi-bin/amigo/term-details.cgi?term=GO:0044205","GO:0044205")</f>
        <v>GO:0044205</v>
      </c>
      <c r="C137" t="s">
        <v>7292</v>
      </c>
      <c r="D137">
        <v>9</v>
      </c>
      <c r="E137">
        <v>1</v>
      </c>
      <c r="F137">
        <v>4.1372566658181599E-2</v>
      </c>
      <c r="G137">
        <v>1</v>
      </c>
      <c r="H137" t="s">
        <v>7606</v>
      </c>
    </row>
    <row r="138" spans="1:8" x14ac:dyDescent="0.25">
      <c r="A138" t="s">
        <v>7412</v>
      </c>
      <c r="B138" t="str">
        <f>HYPERLINK("http://amigo.geneontology.org/cgi-bin/amigo/term-details.cgi?term=GO:0010556","GO:0010556")</f>
        <v>GO:0010556</v>
      </c>
      <c r="C138" t="s">
        <v>6832</v>
      </c>
      <c r="D138">
        <v>4422</v>
      </c>
      <c r="E138">
        <v>29</v>
      </c>
      <c r="F138">
        <v>4.3768753144404898E-2</v>
      </c>
      <c r="G138">
        <v>1</v>
      </c>
      <c r="H138" t="s">
        <v>13219</v>
      </c>
    </row>
    <row r="139" spans="1:8" x14ac:dyDescent="0.25">
      <c r="A139" t="s">
        <v>10153</v>
      </c>
      <c r="B139" t="str">
        <f>HYPERLINK("http://amigo.geneontology.org/cgi-bin/amigo/term-details.cgi?term=GO:0018958","GO:0018958")</f>
        <v>GO:0018958</v>
      </c>
      <c r="C139" t="s">
        <v>1343</v>
      </c>
      <c r="D139">
        <v>72</v>
      </c>
      <c r="E139">
        <v>2</v>
      </c>
      <c r="F139">
        <v>4.5104374853843499E-2</v>
      </c>
      <c r="G139">
        <v>1</v>
      </c>
      <c r="H139" t="s">
        <v>10266</v>
      </c>
    </row>
    <row r="140" spans="1:8" x14ac:dyDescent="0.25">
      <c r="A140" t="s">
        <v>7426</v>
      </c>
      <c r="B140" t="str">
        <f>HYPERLINK("http://amigo.geneontology.org/cgi-bin/amigo/term-details.cgi?term=GO:0010506","GO:0010506")</f>
        <v>GO:0010506</v>
      </c>
      <c r="C140" t="s">
        <v>13227</v>
      </c>
      <c r="D140">
        <v>10</v>
      </c>
      <c r="E140">
        <v>1</v>
      </c>
      <c r="F140">
        <v>4.5862828803424599E-2</v>
      </c>
      <c r="G140">
        <v>1</v>
      </c>
      <c r="H140" t="s">
        <v>6888</v>
      </c>
    </row>
    <row r="141" spans="1:8" x14ac:dyDescent="0.25">
      <c r="A141" t="s">
        <v>7431</v>
      </c>
      <c r="B141" t="str">
        <f>HYPERLINK("http://amigo.geneontology.org/cgi-bin/amigo/term-details.cgi?term=GO:0031331","GO:0031331")</f>
        <v>GO:0031331</v>
      </c>
      <c r="C141" t="s">
        <v>9060</v>
      </c>
      <c r="D141">
        <v>10</v>
      </c>
      <c r="E141">
        <v>1</v>
      </c>
      <c r="F141">
        <v>4.5862828803424599E-2</v>
      </c>
      <c r="G141">
        <v>1</v>
      </c>
      <c r="H141" t="s">
        <v>6888</v>
      </c>
    </row>
    <row r="142" spans="1:8" x14ac:dyDescent="0.25">
      <c r="A142" t="s">
        <v>8340</v>
      </c>
      <c r="B142" t="str">
        <f>HYPERLINK("http://amigo.geneontology.org/cgi-bin/amigo/term-details.cgi?term=GO:0010508","GO:0010508")</f>
        <v>GO:0010508</v>
      </c>
      <c r="C142" t="s">
        <v>13228</v>
      </c>
      <c r="D142">
        <v>10</v>
      </c>
      <c r="E142">
        <v>1</v>
      </c>
      <c r="F142">
        <v>4.5862828803424599E-2</v>
      </c>
      <c r="G142">
        <v>1</v>
      </c>
      <c r="H142" t="s">
        <v>6888</v>
      </c>
    </row>
    <row r="143" spans="1:8" x14ac:dyDescent="0.25">
      <c r="A143" t="s">
        <v>10158</v>
      </c>
      <c r="B143" t="str">
        <f>HYPERLINK("http://amigo.geneontology.org/cgi-bin/amigo/term-details.cgi?term=GO:0006435","GO:0006435")</f>
        <v>GO:0006435</v>
      </c>
      <c r="C143" t="s">
        <v>13229</v>
      </c>
      <c r="D143">
        <v>10</v>
      </c>
      <c r="E143">
        <v>1</v>
      </c>
      <c r="F143">
        <v>4.5862828803424599E-2</v>
      </c>
      <c r="G143">
        <v>1</v>
      </c>
      <c r="H143" t="s">
        <v>8177</v>
      </c>
    </row>
    <row r="144" spans="1:8" x14ac:dyDescent="0.25">
      <c r="A144" t="s">
        <v>7436</v>
      </c>
      <c r="B144" t="str">
        <f>HYPERLINK("http://amigo.geneontology.org/cgi-bin/amigo/term-details.cgi?term=GO:0045493","GO:0045493")</f>
        <v>GO:0045493</v>
      </c>
      <c r="C144" t="s">
        <v>7309</v>
      </c>
      <c r="D144">
        <v>10</v>
      </c>
      <c r="E144">
        <v>1</v>
      </c>
      <c r="F144">
        <v>4.5862828803424599E-2</v>
      </c>
      <c r="G144">
        <v>1</v>
      </c>
      <c r="H144" t="s">
        <v>10197</v>
      </c>
    </row>
    <row r="145" spans="1:8" x14ac:dyDescent="0.25">
      <c r="A145" t="s">
        <v>7438</v>
      </c>
      <c r="B145" t="str">
        <f>HYPERLINK("http://amigo.geneontology.org/cgi-bin/amigo/term-details.cgi?term=GO:0031326","GO:0031326")</f>
        <v>GO:0031326</v>
      </c>
      <c r="C145" t="s">
        <v>6833</v>
      </c>
      <c r="D145">
        <v>4442</v>
      </c>
      <c r="E145">
        <v>29</v>
      </c>
      <c r="F145">
        <v>4.58879280636149E-2</v>
      </c>
      <c r="G145">
        <v>1</v>
      </c>
      <c r="H145" t="s">
        <v>13219</v>
      </c>
    </row>
    <row r="146" spans="1:8" x14ac:dyDescent="0.25">
      <c r="A146" t="s">
        <v>10163</v>
      </c>
    </row>
    <row r="147" spans="1:8" x14ac:dyDescent="0.25">
      <c r="A147" t="s">
        <v>10165</v>
      </c>
    </row>
    <row r="148" spans="1:8" x14ac:dyDescent="0.25">
      <c r="A148" t="s">
        <v>10168</v>
      </c>
    </row>
    <row r="149" spans="1:8" x14ac:dyDescent="0.25">
      <c r="A149" t="s">
        <v>10170</v>
      </c>
    </row>
    <row r="150" spans="1:8" x14ac:dyDescent="0.25">
      <c r="A150" t="s">
        <v>10172</v>
      </c>
    </row>
    <row r="151" spans="1:8" x14ac:dyDescent="0.25">
      <c r="A151" t="s">
        <v>10176</v>
      </c>
    </row>
    <row r="152" spans="1:8" x14ac:dyDescent="0.25">
      <c r="A152" t="s">
        <v>7464</v>
      </c>
    </row>
    <row r="153" spans="1:8" x14ac:dyDescent="0.25">
      <c r="A153" t="s">
        <v>9223</v>
      </c>
    </row>
    <row r="154" spans="1:8" x14ac:dyDescent="0.25">
      <c r="A154" t="s">
        <v>10179</v>
      </c>
    </row>
    <row r="155" spans="1:8" x14ac:dyDescent="0.25">
      <c r="A155" t="s">
        <v>10181</v>
      </c>
    </row>
    <row r="156" spans="1:8" x14ac:dyDescent="0.25">
      <c r="A156" t="s">
        <v>10183</v>
      </c>
    </row>
    <row r="157" spans="1:8" x14ac:dyDescent="0.25">
      <c r="A157" t="s">
        <v>9229</v>
      </c>
    </row>
    <row r="158" spans="1:8" x14ac:dyDescent="0.25">
      <c r="A158" t="s">
        <v>8358</v>
      </c>
    </row>
    <row r="159" spans="1:8" x14ac:dyDescent="0.25">
      <c r="A159" t="s">
        <v>7503</v>
      </c>
    </row>
    <row r="160" spans="1:8" x14ac:dyDescent="0.25">
      <c r="A160" t="s">
        <v>10188</v>
      </c>
    </row>
    <row r="161" spans="1:1" x14ac:dyDescent="0.25">
      <c r="A161" t="s">
        <v>7509</v>
      </c>
    </row>
    <row r="162" spans="1:1" x14ac:dyDescent="0.25">
      <c r="A162" t="s">
        <v>7511</v>
      </c>
    </row>
    <row r="163" spans="1:1" x14ac:dyDescent="0.25">
      <c r="A163" t="s">
        <v>10192</v>
      </c>
    </row>
    <row r="164" spans="1:1" x14ac:dyDescent="0.25">
      <c r="A164" t="s">
        <v>7519</v>
      </c>
    </row>
    <row r="165" spans="1:1" x14ac:dyDescent="0.25">
      <c r="A165" t="s">
        <v>10196</v>
      </c>
    </row>
    <row r="166" spans="1:1" x14ac:dyDescent="0.25">
      <c r="A166" t="s">
        <v>10197</v>
      </c>
    </row>
    <row r="167" spans="1:1" x14ac:dyDescent="0.25">
      <c r="A167" t="s">
        <v>8372</v>
      </c>
    </row>
    <row r="168" spans="1:1" x14ac:dyDescent="0.25">
      <c r="A168" t="s">
        <v>10201</v>
      </c>
    </row>
    <row r="169" spans="1:1" x14ac:dyDescent="0.25">
      <c r="A169" t="s">
        <v>10202</v>
      </c>
    </row>
    <row r="170" spans="1:1" x14ac:dyDescent="0.25">
      <c r="A170" t="s">
        <v>7556</v>
      </c>
    </row>
    <row r="171" spans="1:1" x14ac:dyDescent="0.25">
      <c r="A171" t="s">
        <v>7559</v>
      </c>
    </row>
    <row r="172" spans="1:1" x14ac:dyDescent="0.25">
      <c r="A172" t="s">
        <v>10206</v>
      </c>
    </row>
    <row r="173" spans="1:1" x14ac:dyDescent="0.25">
      <c r="A173" t="s">
        <v>7578</v>
      </c>
    </row>
    <row r="174" spans="1:1" x14ac:dyDescent="0.25">
      <c r="A174" t="s">
        <v>7580</v>
      </c>
    </row>
    <row r="175" spans="1:1" x14ac:dyDescent="0.25">
      <c r="A175" t="s">
        <v>8389</v>
      </c>
    </row>
    <row r="176" spans="1:1" x14ac:dyDescent="0.25">
      <c r="A176" t="s">
        <v>7590</v>
      </c>
    </row>
    <row r="177" spans="1:1" x14ac:dyDescent="0.25">
      <c r="A177" t="s">
        <v>10211</v>
      </c>
    </row>
    <row r="178" spans="1:1" x14ac:dyDescent="0.25">
      <c r="A178" t="s">
        <v>10214</v>
      </c>
    </row>
    <row r="179" spans="1:1" x14ac:dyDescent="0.25">
      <c r="A179" t="s">
        <v>7606</v>
      </c>
    </row>
    <row r="180" spans="1:1" x14ac:dyDescent="0.25">
      <c r="A180" t="s">
        <v>9271</v>
      </c>
    </row>
    <row r="181" spans="1:1" x14ac:dyDescent="0.25">
      <c r="A181" t="s">
        <v>7617</v>
      </c>
    </row>
    <row r="182" spans="1:1" x14ac:dyDescent="0.25">
      <c r="A182" t="s">
        <v>7624</v>
      </c>
    </row>
    <row r="183" spans="1:1" x14ac:dyDescent="0.25">
      <c r="A183" t="s">
        <v>10224</v>
      </c>
    </row>
    <row r="184" spans="1:1" x14ac:dyDescent="0.25">
      <c r="A184" t="s">
        <v>7626</v>
      </c>
    </row>
    <row r="185" spans="1:1" x14ac:dyDescent="0.25">
      <c r="A185" t="s">
        <v>8412</v>
      </c>
    </row>
    <row r="186" spans="1:1" x14ac:dyDescent="0.25">
      <c r="A186" t="s">
        <v>10229</v>
      </c>
    </row>
    <row r="187" spans="1:1" x14ac:dyDescent="0.25">
      <c r="A187" t="s">
        <v>10230</v>
      </c>
    </row>
    <row r="188" spans="1:1" x14ac:dyDescent="0.25">
      <c r="A188" t="s">
        <v>7632</v>
      </c>
    </row>
    <row r="189" spans="1:1" x14ac:dyDescent="0.25">
      <c r="A189" t="s">
        <v>10234</v>
      </c>
    </row>
    <row r="190" spans="1:1" x14ac:dyDescent="0.25">
      <c r="A190" t="s">
        <v>9292</v>
      </c>
    </row>
    <row r="191" spans="1:1" x14ac:dyDescent="0.25">
      <c r="A191" t="s">
        <v>8417</v>
      </c>
    </row>
    <row r="192" spans="1:1" x14ac:dyDescent="0.25">
      <c r="A192" t="s">
        <v>9299</v>
      </c>
    </row>
    <row r="193" spans="1:1" x14ac:dyDescent="0.25">
      <c r="A193" t="s">
        <v>10239</v>
      </c>
    </row>
    <row r="194" spans="1:1" x14ac:dyDescent="0.25">
      <c r="A194" t="s">
        <v>8425</v>
      </c>
    </row>
    <row r="195" spans="1:1" x14ac:dyDescent="0.25">
      <c r="A195" t="s">
        <v>7650</v>
      </c>
    </row>
    <row r="196" spans="1:1" x14ac:dyDescent="0.25">
      <c r="A196" t="s">
        <v>10246</v>
      </c>
    </row>
    <row r="197" spans="1:1" x14ac:dyDescent="0.25">
      <c r="A197" t="s">
        <v>10248</v>
      </c>
    </row>
    <row r="198" spans="1:1" x14ac:dyDescent="0.25">
      <c r="A198" t="s">
        <v>10249</v>
      </c>
    </row>
    <row r="199" spans="1:1" x14ac:dyDescent="0.25">
      <c r="A199" t="s">
        <v>8430</v>
      </c>
    </row>
    <row r="200" spans="1:1" x14ac:dyDescent="0.25">
      <c r="A200" t="s">
        <v>10251</v>
      </c>
    </row>
    <row r="201" spans="1:1" x14ac:dyDescent="0.25">
      <c r="A201" t="s">
        <v>10254</v>
      </c>
    </row>
    <row r="202" spans="1:1" x14ac:dyDescent="0.25">
      <c r="A202" t="s">
        <v>7659</v>
      </c>
    </row>
    <row r="203" spans="1:1" x14ac:dyDescent="0.25">
      <c r="A203" t="s">
        <v>7662</v>
      </c>
    </row>
    <row r="204" spans="1:1" x14ac:dyDescent="0.25">
      <c r="A204" t="s">
        <v>7663</v>
      </c>
    </row>
    <row r="205" spans="1:1" x14ac:dyDescent="0.25">
      <c r="A205" t="s">
        <v>8433</v>
      </c>
    </row>
    <row r="206" spans="1:1" x14ac:dyDescent="0.25">
      <c r="A206" t="s">
        <v>7665</v>
      </c>
    </row>
    <row r="207" spans="1:1" x14ac:dyDescent="0.25">
      <c r="A207" t="s">
        <v>10260</v>
      </c>
    </row>
    <row r="208" spans="1:1" x14ac:dyDescent="0.25">
      <c r="A208" t="s">
        <v>10261</v>
      </c>
    </row>
    <row r="209" spans="1:1" x14ac:dyDescent="0.25">
      <c r="A209" t="s">
        <v>7668</v>
      </c>
    </row>
    <row r="210" spans="1:1" x14ac:dyDescent="0.25">
      <c r="A210" t="s">
        <v>7670</v>
      </c>
    </row>
    <row r="211" spans="1:1" x14ac:dyDescent="0.25">
      <c r="A211" t="s">
        <v>7677</v>
      </c>
    </row>
    <row r="212" spans="1:1" x14ac:dyDescent="0.25">
      <c r="A212" t="s">
        <v>7683</v>
      </c>
    </row>
    <row r="213" spans="1:1" x14ac:dyDescent="0.25">
      <c r="A213" t="s">
        <v>9693</v>
      </c>
    </row>
    <row r="214" spans="1:1" x14ac:dyDescent="0.25">
      <c r="A214" t="s">
        <v>7688</v>
      </c>
    </row>
    <row r="215" spans="1:1" x14ac:dyDescent="0.25">
      <c r="A215" t="s">
        <v>10264</v>
      </c>
    </row>
    <row r="216" spans="1:1" x14ac:dyDescent="0.25">
      <c r="A216" t="s">
        <v>7698</v>
      </c>
    </row>
    <row r="217" spans="1:1" x14ac:dyDescent="0.25">
      <c r="A217" t="s">
        <v>7701</v>
      </c>
    </row>
    <row r="218" spans="1:1" x14ac:dyDescent="0.25">
      <c r="A218" t="s">
        <v>9332</v>
      </c>
    </row>
    <row r="219" spans="1:1" x14ac:dyDescent="0.25">
      <c r="A219" t="s">
        <v>10267</v>
      </c>
    </row>
    <row r="220" spans="1:1" x14ac:dyDescent="0.25">
      <c r="A220" t="s">
        <v>10268</v>
      </c>
    </row>
    <row r="221" spans="1:1" x14ac:dyDescent="0.25">
      <c r="A221" t="s">
        <v>7714</v>
      </c>
    </row>
    <row r="222" spans="1:1" x14ac:dyDescent="0.25">
      <c r="A222" t="s">
        <v>7717</v>
      </c>
    </row>
    <row r="223" spans="1:1" x14ac:dyDescent="0.25">
      <c r="A223" t="s">
        <v>9340</v>
      </c>
    </row>
    <row r="224" spans="1:1" x14ac:dyDescent="0.25">
      <c r="A224" t="s">
        <v>7719</v>
      </c>
    </row>
    <row r="225" spans="1:1" x14ac:dyDescent="0.25">
      <c r="A225" t="s">
        <v>7721</v>
      </c>
    </row>
    <row r="226" spans="1:1" x14ac:dyDescent="0.25">
      <c r="A226" t="s">
        <v>10269</v>
      </c>
    </row>
    <row r="227" spans="1:1" x14ac:dyDescent="0.25">
      <c r="A227" t="s">
        <v>9342</v>
      </c>
    </row>
    <row r="228" spans="1:1" x14ac:dyDescent="0.25">
      <c r="A228" t="s">
        <v>7723</v>
      </c>
    </row>
    <row r="229" spans="1:1" x14ac:dyDescent="0.25">
      <c r="A229" t="s">
        <v>10270</v>
      </c>
    </row>
    <row r="230" spans="1:1" x14ac:dyDescent="0.25">
      <c r="A230" t="s">
        <v>9343</v>
      </c>
    </row>
    <row r="231" spans="1:1" x14ac:dyDescent="0.25">
      <c r="A231" t="s">
        <v>10271</v>
      </c>
    </row>
    <row r="232" spans="1:1" x14ac:dyDescent="0.25">
      <c r="A232" t="s">
        <v>7730</v>
      </c>
    </row>
    <row r="233" spans="1:1" x14ac:dyDescent="0.25">
      <c r="A233" t="s">
        <v>10272</v>
      </c>
    </row>
    <row r="234" spans="1:1" x14ac:dyDescent="0.25">
      <c r="A234" t="s">
        <v>10273</v>
      </c>
    </row>
    <row r="235" spans="1:1" x14ac:dyDescent="0.25">
      <c r="A235" t="s">
        <v>8466</v>
      </c>
    </row>
    <row r="236" spans="1:1" x14ac:dyDescent="0.25">
      <c r="A236" t="s">
        <v>10274</v>
      </c>
    </row>
    <row r="237" spans="1:1" x14ac:dyDescent="0.25">
      <c r="A237" t="s">
        <v>10275</v>
      </c>
    </row>
    <row r="238" spans="1:1" x14ac:dyDescent="0.25">
      <c r="A238" t="s">
        <v>7746</v>
      </c>
    </row>
    <row r="239" spans="1:1" x14ac:dyDescent="0.25">
      <c r="A239" t="s">
        <v>10276</v>
      </c>
    </row>
    <row r="240" spans="1:1" x14ac:dyDescent="0.25">
      <c r="A240" t="s">
        <v>7748</v>
      </c>
    </row>
    <row r="241" spans="1:1" x14ac:dyDescent="0.25">
      <c r="A241" t="s">
        <v>9360</v>
      </c>
    </row>
    <row r="242" spans="1:1" x14ac:dyDescent="0.25">
      <c r="A242" t="s">
        <v>7753</v>
      </c>
    </row>
    <row r="243" spans="1:1" x14ac:dyDescent="0.25">
      <c r="A243" t="s">
        <v>10277</v>
      </c>
    </row>
    <row r="244" spans="1:1" x14ac:dyDescent="0.25">
      <c r="A244" t="s">
        <v>10278</v>
      </c>
    </row>
    <row r="245" spans="1:1" x14ac:dyDescent="0.25">
      <c r="A245" t="s">
        <v>7755</v>
      </c>
    </row>
    <row r="246" spans="1:1" x14ac:dyDescent="0.25">
      <c r="A246" t="s">
        <v>7757</v>
      </c>
    </row>
    <row r="247" spans="1:1" x14ac:dyDescent="0.25">
      <c r="A247" t="s">
        <v>10279</v>
      </c>
    </row>
    <row r="248" spans="1:1" x14ac:dyDescent="0.25">
      <c r="A248" t="s">
        <v>10280</v>
      </c>
    </row>
    <row r="249" spans="1:1" x14ac:dyDescent="0.25">
      <c r="A249" t="s">
        <v>7767</v>
      </c>
    </row>
    <row r="250" spans="1:1" x14ac:dyDescent="0.25">
      <c r="A250" t="s">
        <v>9365</v>
      </c>
    </row>
    <row r="251" spans="1:1" x14ac:dyDescent="0.25">
      <c r="A251" t="s">
        <v>10281</v>
      </c>
    </row>
    <row r="252" spans="1:1" x14ac:dyDescent="0.25">
      <c r="A252" t="s">
        <v>7772</v>
      </c>
    </row>
    <row r="253" spans="1:1" x14ac:dyDescent="0.25">
      <c r="A253" t="s">
        <v>9366</v>
      </c>
    </row>
    <row r="254" spans="1:1" x14ac:dyDescent="0.25">
      <c r="A254" t="s">
        <v>10282</v>
      </c>
    </row>
    <row r="255" spans="1:1" x14ac:dyDescent="0.25">
      <c r="A255" t="s">
        <v>9367</v>
      </c>
    </row>
    <row r="256" spans="1:1" x14ac:dyDescent="0.25">
      <c r="A256" t="s">
        <v>7775</v>
      </c>
    </row>
    <row r="257" spans="1:1" x14ac:dyDescent="0.25">
      <c r="A257" t="s">
        <v>10283</v>
      </c>
    </row>
    <row r="258" spans="1:1" x14ac:dyDescent="0.25">
      <c r="A258" t="s">
        <v>7778</v>
      </c>
    </row>
    <row r="259" spans="1:1" x14ac:dyDescent="0.25">
      <c r="A259" t="s">
        <v>10285</v>
      </c>
    </row>
    <row r="260" spans="1:1" x14ac:dyDescent="0.25">
      <c r="A260" t="s">
        <v>7781</v>
      </c>
    </row>
    <row r="261" spans="1:1" x14ac:dyDescent="0.25">
      <c r="A261" t="s">
        <v>10286</v>
      </c>
    </row>
    <row r="262" spans="1:1" x14ac:dyDescent="0.25">
      <c r="A262" t="s">
        <v>10287</v>
      </c>
    </row>
    <row r="263" spans="1:1" x14ac:dyDescent="0.25">
      <c r="A263" t="s">
        <v>9373</v>
      </c>
    </row>
    <row r="264" spans="1:1" x14ac:dyDescent="0.25">
      <c r="A264" t="s">
        <v>10288</v>
      </c>
    </row>
    <row r="265" spans="1:1" x14ac:dyDescent="0.25">
      <c r="A265" t="s">
        <v>10289</v>
      </c>
    </row>
    <row r="266" spans="1:1" x14ac:dyDescent="0.25">
      <c r="A266" t="s">
        <v>10290</v>
      </c>
    </row>
    <row r="267" spans="1:1" x14ac:dyDescent="0.25">
      <c r="A267" t="s">
        <v>10291</v>
      </c>
    </row>
    <row r="268" spans="1:1" x14ac:dyDescent="0.25">
      <c r="A268" t="s">
        <v>8491</v>
      </c>
    </row>
    <row r="269" spans="1:1" x14ac:dyDescent="0.25">
      <c r="A269" t="s">
        <v>10292</v>
      </c>
    </row>
    <row r="270" spans="1:1" x14ac:dyDescent="0.25">
      <c r="A270" t="s">
        <v>10294</v>
      </c>
    </row>
    <row r="271" spans="1:1" x14ac:dyDescent="0.25">
      <c r="A271" t="s">
        <v>8493</v>
      </c>
    </row>
    <row r="272" spans="1:1" x14ac:dyDescent="0.25">
      <c r="A272" t="s">
        <v>7797</v>
      </c>
    </row>
    <row r="273" spans="1:1" x14ac:dyDescent="0.25">
      <c r="A273" t="s">
        <v>7806</v>
      </c>
    </row>
    <row r="274" spans="1:1" x14ac:dyDescent="0.25">
      <c r="A274" t="s">
        <v>10295</v>
      </c>
    </row>
    <row r="275" spans="1:1" x14ac:dyDescent="0.25">
      <c r="A275" t="s">
        <v>10296</v>
      </c>
    </row>
    <row r="276" spans="1:1" x14ac:dyDescent="0.25">
      <c r="A276" t="s">
        <v>7812</v>
      </c>
    </row>
    <row r="277" spans="1:1" x14ac:dyDescent="0.25">
      <c r="A277" t="s">
        <v>10297</v>
      </c>
    </row>
    <row r="278" spans="1:1" x14ac:dyDescent="0.25">
      <c r="A278" t="s">
        <v>10298</v>
      </c>
    </row>
    <row r="279" spans="1:1" x14ac:dyDescent="0.25">
      <c r="A279" t="s">
        <v>7815</v>
      </c>
    </row>
    <row r="280" spans="1:1" x14ac:dyDescent="0.25">
      <c r="A280" t="s">
        <v>10299</v>
      </c>
    </row>
    <row r="281" spans="1:1" x14ac:dyDescent="0.25">
      <c r="A281" t="s">
        <v>10300</v>
      </c>
    </row>
    <row r="282" spans="1:1" x14ac:dyDescent="0.25">
      <c r="A282" t="s">
        <v>7818</v>
      </c>
    </row>
    <row r="283" spans="1:1" x14ac:dyDescent="0.25">
      <c r="A283" t="s">
        <v>8512</v>
      </c>
    </row>
    <row r="284" spans="1:1" x14ac:dyDescent="0.25">
      <c r="A284" t="s">
        <v>10301</v>
      </c>
    </row>
    <row r="285" spans="1:1" x14ac:dyDescent="0.25">
      <c r="A285" t="s">
        <v>10302</v>
      </c>
    </row>
    <row r="286" spans="1:1" x14ac:dyDescent="0.25">
      <c r="A286" t="s">
        <v>7824</v>
      </c>
    </row>
    <row r="287" spans="1:1" x14ac:dyDescent="0.25">
      <c r="A287" t="s">
        <v>9396</v>
      </c>
    </row>
    <row r="288" spans="1:1" x14ac:dyDescent="0.25">
      <c r="A288" t="s">
        <v>10303</v>
      </c>
    </row>
    <row r="289" spans="1:1" x14ac:dyDescent="0.25">
      <c r="A289" t="s">
        <v>10304</v>
      </c>
    </row>
    <row r="290" spans="1:1" x14ac:dyDescent="0.25">
      <c r="A290" t="s">
        <v>10305</v>
      </c>
    </row>
    <row r="291" spans="1:1" x14ac:dyDescent="0.25">
      <c r="A291" t="s">
        <v>7831</v>
      </c>
    </row>
    <row r="292" spans="1:1" x14ac:dyDescent="0.25">
      <c r="A292" t="s">
        <v>8520</v>
      </c>
    </row>
    <row r="293" spans="1:1" x14ac:dyDescent="0.25">
      <c r="A293" t="s">
        <v>9726</v>
      </c>
    </row>
    <row r="294" spans="1:1" x14ac:dyDescent="0.25">
      <c r="A294" t="s">
        <v>10306</v>
      </c>
    </row>
    <row r="295" spans="1:1" x14ac:dyDescent="0.25">
      <c r="A295" t="s">
        <v>9406</v>
      </c>
    </row>
    <row r="296" spans="1:1" x14ac:dyDescent="0.25">
      <c r="A296" t="s">
        <v>10307</v>
      </c>
    </row>
    <row r="297" spans="1:1" x14ac:dyDescent="0.25">
      <c r="A297" t="s">
        <v>10308</v>
      </c>
    </row>
    <row r="298" spans="1:1" x14ac:dyDescent="0.25">
      <c r="A298" t="s">
        <v>7852</v>
      </c>
    </row>
    <row r="299" spans="1:1" x14ac:dyDescent="0.25">
      <c r="A299" t="s">
        <v>7854</v>
      </c>
    </row>
    <row r="300" spans="1:1" x14ac:dyDescent="0.25">
      <c r="A300" t="s">
        <v>10309</v>
      </c>
    </row>
    <row r="301" spans="1:1" x14ac:dyDescent="0.25">
      <c r="A301" t="s">
        <v>7864</v>
      </c>
    </row>
    <row r="302" spans="1:1" x14ac:dyDescent="0.25">
      <c r="A302" t="s">
        <v>10310</v>
      </c>
    </row>
    <row r="303" spans="1:1" x14ac:dyDescent="0.25">
      <c r="A303" t="s">
        <v>7865</v>
      </c>
    </row>
    <row r="304" spans="1:1" x14ac:dyDescent="0.25">
      <c r="A304" t="s">
        <v>9420</v>
      </c>
    </row>
    <row r="305" spans="1:1" x14ac:dyDescent="0.25">
      <c r="A305" t="s">
        <v>8545</v>
      </c>
    </row>
    <row r="306" spans="1:1" x14ac:dyDescent="0.25">
      <c r="A306" t="s">
        <v>10311</v>
      </c>
    </row>
    <row r="307" spans="1:1" x14ac:dyDescent="0.25">
      <c r="A307" t="s">
        <v>10312</v>
      </c>
    </row>
    <row r="308" spans="1:1" x14ac:dyDescent="0.25">
      <c r="A308" t="s">
        <v>7875</v>
      </c>
    </row>
    <row r="309" spans="1:1" x14ac:dyDescent="0.25">
      <c r="A309" t="s">
        <v>10313</v>
      </c>
    </row>
    <row r="310" spans="1:1" x14ac:dyDescent="0.25">
      <c r="A310" t="s">
        <v>7877</v>
      </c>
    </row>
    <row r="311" spans="1:1" x14ac:dyDescent="0.25">
      <c r="A311" t="s">
        <v>10315</v>
      </c>
    </row>
    <row r="312" spans="1:1" x14ac:dyDescent="0.25">
      <c r="A312" t="s">
        <v>9432</v>
      </c>
    </row>
    <row r="313" spans="1:1" x14ac:dyDescent="0.25">
      <c r="A313" t="s">
        <v>9433</v>
      </c>
    </row>
    <row r="314" spans="1:1" x14ac:dyDescent="0.25">
      <c r="A314" t="s">
        <v>10316</v>
      </c>
    </row>
    <row r="315" spans="1:1" x14ac:dyDescent="0.25">
      <c r="A315" t="s">
        <v>10317</v>
      </c>
    </row>
    <row r="316" spans="1:1" x14ac:dyDescent="0.25">
      <c r="A316" t="s">
        <v>7893</v>
      </c>
    </row>
    <row r="317" spans="1:1" x14ac:dyDescent="0.25">
      <c r="A317" t="s">
        <v>10318</v>
      </c>
    </row>
    <row r="318" spans="1:1" x14ac:dyDescent="0.25">
      <c r="A318" t="s">
        <v>7894</v>
      </c>
    </row>
    <row r="319" spans="1:1" x14ac:dyDescent="0.25">
      <c r="A319" t="s">
        <v>7895</v>
      </c>
    </row>
    <row r="320" spans="1:1" x14ac:dyDescent="0.25">
      <c r="A320" t="s">
        <v>9436</v>
      </c>
    </row>
    <row r="321" spans="1:1" x14ac:dyDescent="0.25">
      <c r="A321" t="s">
        <v>10319</v>
      </c>
    </row>
    <row r="322" spans="1:1" x14ac:dyDescent="0.25">
      <c r="A322" t="s">
        <v>10320</v>
      </c>
    </row>
    <row r="323" spans="1:1" x14ac:dyDescent="0.25">
      <c r="A323" t="s">
        <v>9659</v>
      </c>
    </row>
    <row r="324" spans="1:1" x14ac:dyDescent="0.25">
      <c r="A324" t="s">
        <v>10321</v>
      </c>
    </row>
    <row r="325" spans="1:1" x14ac:dyDescent="0.25">
      <c r="A325" t="s">
        <v>10322</v>
      </c>
    </row>
    <row r="326" spans="1:1" x14ac:dyDescent="0.25">
      <c r="A326" t="s">
        <v>8559</v>
      </c>
    </row>
    <row r="327" spans="1:1" x14ac:dyDescent="0.25">
      <c r="A327" t="s">
        <v>10324</v>
      </c>
    </row>
    <row r="328" spans="1:1" x14ac:dyDescent="0.25">
      <c r="A328" t="s">
        <v>9450</v>
      </c>
    </row>
    <row r="329" spans="1:1" x14ac:dyDescent="0.25">
      <c r="A329" t="s">
        <v>10325</v>
      </c>
    </row>
    <row r="330" spans="1:1" x14ac:dyDescent="0.25">
      <c r="A330" t="s">
        <v>10326</v>
      </c>
    </row>
    <row r="331" spans="1:1" x14ac:dyDescent="0.25">
      <c r="A331" t="s">
        <v>7916</v>
      </c>
    </row>
    <row r="332" spans="1:1" x14ac:dyDescent="0.25">
      <c r="A332" t="s">
        <v>9452</v>
      </c>
    </row>
    <row r="333" spans="1:1" x14ac:dyDescent="0.25">
      <c r="A333" t="s">
        <v>7917</v>
      </c>
    </row>
    <row r="334" spans="1:1" x14ac:dyDescent="0.25">
      <c r="A334" t="s">
        <v>8572</v>
      </c>
    </row>
    <row r="335" spans="1:1" x14ac:dyDescent="0.25">
      <c r="A335" t="s">
        <v>10328</v>
      </c>
    </row>
    <row r="336" spans="1:1" x14ac:dyDescent="0.25">
      <c r="A336" t="s">
        <v>7919</v>
      </c>
    </row>
    <row r="337" spans="1:1" x14ac:dyDescent="0.25">
      <c r="A337" t="s">
        <v>9454</v>
      </c>
    </row>
    <row r="338" spans="1:1" x14ac:dyDescent="0.25">
      <c r="A338" t="s">
        <v>10329</v>
      </c>
    </row>
    <row r="339" spans="1:1" x14ac:dyDescent="0.25">
      <c r="A339" t="s">
        <v>10330</v>
      </c>
    </row>
    <row r="340" spans="1:1" x14ac:dyDescent="0.25">
      <c r="A340" t="s">
        <v>10331</v>
      </c>
    </row>
    <row r="341" spans="1:1" x14ac:dyDescent="0.25">
      <c r="A341" t="s">
        <v>10332</v>
      </c>
    </row>
    <row r="342" spans="1:1" x14ac:dyDescent="0.25">
      <c r="A342" t="s">
        <v>8576</v>
      </c>
    </row>
    <row r="343" spans="1:1" x14ac:dyDescent="0.25">
      <c r="A343" t="s">
        <v>8577</v>
      </c>
    </row>
    <row r="344" spans="1:1" x14ac:dyDescent="0.25">
      <c r="A344" t="s">
        <v>10333</v>
      </c>
    </row>
    <row r="345" spans="1:1" x14ac:dyDescent="0.25">
      <c r="A345" t="s">
        <v>10334</v>
      </c>
    </row>
    <row r="346" spans="1:1" x14ac:dyDescent="0.25">
      <c r="A346" t="s">
        <v>8583</v>
      </c>
    </row>
    <row r="347" spans="1:1" x14ac:dyDescent="0.25">
      <c r="A347" t="s">
        <v>10335</v>
      </c>
    </row>
    <row r="348" spans="1:1" x14ac:dyDescent="0.25">
      <c r="A348" t="s">
        <v>8025</v>
      </c>
    </row>
    <row r="349" spans="1:1" x14ac:dyDescent="0.25">
      <c r="A349" t="s">
        <v>9469</v>
      </c>
    </row>
    <row r="350" spans="1:1" x14ac:dyDescent="0.25">
      <c r="A350" t="s">
        <v>10336</v>
      </c>
    </row>
    <row r="351" spans="1:1" x14ac:dyDescent="0.25">
      <c r="A351" t="s">
        <v>10337</v>
      </c>
    </row>
    <row r="352" spans="1:1" x14ac:dyDescent="0.25">
      <c r="A352" t="s">
        <v>10338</v>
      </c>
    </row>
    <row r="353" spans="1:1" x14ac:dyDescent="0.25">
      <c r="A353" t="s">
        <v>8034</v>
      </c>
    </row>
    <row r="354" spans="1:1" x14ac:dyDescent="0.25">
      <c r="A354" t="s">
        <v>10339</v>
      </c>
    </row>
    <row r="355" spans="1:1" x14ac:dyDescent="0.25">
      <c r="A355" t="s">
        <v>8035</v>
      </c>
    </row>
    <row r="356" spans="1:1" x14ac:dyDescent="0.25">
      <c r="A356" t="s">
        <v>10340</v>
      </c>
    </row>
    <row r="357" spans="1:1" x14ac:dyDescent="0.25">
      <c r="A357" t="s">
        <v>10341</v>
      </c>
    </row>
    <row r="358" spans="1:1" x14ac:dyDescent="0.25">
      <c r="A358" t="s">
        <v>10342</v>
      </c>
    </row>
    <row r="359" spans="1:1" x14ac:dyDescent="0.25">
      <c r="A359" t="s">
        <v>10343</v>
      </c>
    </row>
    <row r="360" spans="1:1" x14ac:dyDescent="0.25">
      <c r="A360" t="s">
        <v>10344</v>
      </c>
    </row>
    <row r="361" spans="1:1" x14ac:dyDescent="0.25">
      <c r="A361" t="s">
        <v>10345</v>
      </c>
    </row>
    <row r="362" spans="1:1" x14ac:dyDescent="0.25">
      <c r="A362" t="s">
        <v>9471</v>
      </c>
    </row>
    <row r="363" spans="1:1" x14ac:dyDescent="0.25">
      <c r="A363" t="s">
        <v>10346</v>
      </c>
    </row>
    <row r="364" spans="1:1" x14ac:dyDescent="0.25">
      <c r="A364" t="s">
        <v>10347</v>
      </c>
    </row>
    <row r="365" spans="1:1" x14ac:dyDescent="0.25">
      <c r="A365" t="s">
        <v>10348</v>
      </c>
    </row>
    <row r="366" spans="1:1" x14ac:dyDescent="0.25">
      <c r="A366" t="s">
        <v>8038</v>
      </c>
    </row>
    <row r="367" spans="1:1" x14ac:dyDescent="0.25">
      <c r="A367" t="s">
        <v>10349</v>
      </c>
    </row>
    <row r="368" spans="1:1" x14ac:dyDescent="0.25">
      <c r="A368" t="s">
        <v>10350</v>
      </c>
    </row>
    <row r="369" spans="1:1" x14ac:dyDescent="0.25">
      <c r="A369" t="s">
        <v>8040</v>
      </c>
    </row>
    <row r="370" spans="1:1" x14ac:dyDescent="0.25">
      <c r="A370" t="s">
        <v>9479</v>
      </c>
    </row>
    <row r="371" spans="1:1" x14ac:dyDescent="0.25">
      <c r="A371" t="s">
        <v>10351</v>
      </c>
    </row>
    <row r="372" spans="1:1" x14ac:dyDescent="0.25">
      <c r="A372" t="s">
        <v>10352</v>
      </c>
    </row>
    <row r="373" spans="1:1" x14ac:dyDescent="0.25">
      <c r="A373" t="s">
        <v>8052</v>
      </c>
    </row>
    <row r="374" spans="1:1" x14ac:dyDescent="0.25">
      <c r="A374" t="s">
        <v>10353</v>
      </c>
    </row>
    <row r="375" spans="1:1" x14ac:dyDescent="0.25">
      <c r="A375" t="s">
        <v>10354</v>
      </c>
    </row>
    <row r="376" spans="1:1" x14ac:dyDescent="0.25">
      <c r="A376" t="s">
        <v>10355</v>
      </c>
    </row>
    <row r="377" spans="1:1" x14ac:dyDescent="0.25">
      <c r="A377" t="s">
        <v>8613</v>
      </c>
    </row>
    <row r="378" spans="1:1" x14ac:dyDescent="0.25">
      <c r="A378" t="s">
        <v>10356</v>
      </c>
    </row>
    <row r="379" spans="1:1" x14ac:dyDescent="0.25">
      <c r="A379" t="s">
        <v>8614</v>
      </c>
    </row>
    <row r="380" spans="1:1" x14ac:dyDescent="0.25">
      <c r="A380" t="s">
        <v>8060</v>
      </c>
    </row>
    <row r="381" spans="1:1" x14ac:dyDescent="0.25">
      <c r="A381" t="s">
        <v>8062</v>
      </c>
    </row>
    <row r="382" spans="1:1" x14ac:dyDescent="0.25">
      <c r="A382" t="s">
        <v>10357</v>
      </c>
    </row>
    <row r="383" spans="1:1" x14ac:dyDescent="0.25">
      <c r="A383" t="s">
        <v>10358</v>
      </c>
    </row>
    <row r="384" spans="1:1" x14ac:dyDescent="0.25">
      <c r="A384" t="s">
        <v>10359</v>
      </c>
    </row>
    <row r="385" spans="1:1" x14ac:dyDescent="0.25">
      <c r="A385" t="s">
        <v>8069</v>
      </c>
    </row>
    <row r="386" spans="1:1" x14ac:dyDescent="0.25">
      <c r="A386" t="s">
        <v>10360</v>
      </c>
    </row>
    <row r="387" spans="1:1" x14ac:dyDescent="0.25">
      <c r="A387" t="s">
        <v>10361</v>
      </c>
    </row>
    <row r="388" spans="1:1" x14ac:dyDescent="0.25">
      <c r="A388" t="s">
        <v>10362</v>
      </c>
    </row>
    <row r="389" spans="1:1" x14ac:dyDescent="0.25">
      <c r="A389" t="s">
        <v>10363</v>
      </c>
    </row>
    <row r="390" spans="1:1" x14ac:dyDescent="0.25">
      <c r="A390" t="s">
        <v>8081</v>
      </c>
    </row>
    <row r="391" spans="1:1" x14ac:dyDescent="0.25">
      <c r="A391" t="s">
        <v>9505</v>
      </c>
    </row>
    <row r="392" spans="1:1" x14ac:dyDescent="0.25">
      <c r="A392" t="s">
        <v>8085</v>
      </c>
    </row>
    <row r="393" spans="1:1" x14ac:dyDescent="0.25">
      <c r="A393" t="s">
        <v>10365</v>
      </c>
    </row>
    <row r="394" spans="1:1" x14ac:dyDescent="0.25">
      <c r="A394" t="s">
        <v>8089</v>
      </c>
    </row>
    <row r="395" spans="1:1" x14ac:dyDescent="0.25">
      <c r="A395" t="s">
        <v>9507</v>
      </c>
    </row>
    <row r="396" spans="1:1" x14ac:dyDescent="0.25">
      <c r="A396" t="s">
        <v>8635</v>
      </c>
    </row>
    <row r="397" spans="1:1" x14ac:dyDescent="0.25">
      <c r="A397" t="s">
        <v>10366</v>
      </c>
    </row>
    <row r="398" spans="1:1" x14ac:dyDescent="0.25">
      <c r="A398" t="s">
        <v>10367</v>
      </c>
    </row>
    <row r="399" spans="1:1" x14ac:dyDescent="0.25">
      <c r="A399" t="s">
        <v>8637</v>
      </c>
    </row>
    <row r="400" spans="1:1" x14ac:dyDescent="0.25">
      <c r="A400" t="s">
        <v>10368</v>
      </c>
    </row>
    <row r="401" spans="1:1" x14ac:dyDescent="0.25">
      <c r="A401" t="s">
        <v>8092</v>
      </c>
    </row>
    <row r="402" spans="1:1" x14ac:dyDescent="0.25">
      <c r="A402" t="s">
        <v>10369</v>
      </c>
    </row>
    <row r="403" spans="1:1" x14ac:dyDescent="0.25">
      <c r="A403" t="s">
        <v>10370</v>
      </c>
    </row>
    <row r="404" spans="1:1" x14ac:dyDescent="0.25">
      <c r="A404" t="s">
        <v>8639</v>
      </c>
    </row>
    <row r="405" spans="1:1" x14ac:dyDescent="0.25">
      <c r="A405" t="s">
        <v>8098</v>
      </c>
    </row>
    <row r="406" spans="1:1" x14ac:dyDescent="0.25">
      <c r="A406" t="s">
        <v>8099</v>
      </c>
    </row>
    <row r="407" spans="1:1" x14ac:dyDescent="0.25">
      <c r="A407" t="s">
        <v>8102</v>
      </c>
    </row>
    <row r="408" spans="1:1" x14ac:dyDescent="0.25">
      <c r="A408" t="s">
        <v>10371</v>
      </c>
    </row>
    <row r="409" spans="1:1" x14ac:dyDescent="0.25">
      <c r="A409" t="s">
        <v>8105</v>
      </c>
    </row>
    <row r="410" spans="1:1" x14ac:dyDescent="0.25">
      <c r="A410" t="s">
        <v>10372</v>
      </c>
    </row>
    <row r="411" spans="1:1" x14ac:dyDescent="0.25">
      <c r="A411" t="s">
        <v>10373</v>
      </c>
    </row>
    <row r="412" spans="1:1" x14ac:dyDescent="0.25">
      <c r="A412" t="s">
        <v>8109</v>
      </c>
    </row>
    <row r="413" spans="1:1" x14ac:dyDescent="0.25">
      <c r="A413" t="s">
        <v>8111</v>
      </c>
    </row>
    <row r="414" spans="1:1" x14ac:dyDescent="0.25">
      <c r="A414" t="s">
        <v>9521</v>
      </c>
    </row>
    <row r="415" spans="1:1" x14ac:dyDescent="0.25">
      <c r="A415" t="s">
        <v>10375</v>
      </c>
    </row>
    <row r="416" spans="1:1" x14ac:dyDescent="0.25">
      <c r="A416" t="s">
        <v>9526</v>
      </c>
    </row>
    <row r="417" spans="1:1" x14ac:dyDescent="0.25">
      <c r="A417" t="s">
        <v>8649</v>
      </c>
    </row>
    <row r="418" spans="1:1" x14ac:dyDescent="0.25">
      <c r="A418" t="s">
        <v>10376</v>
      </c>
    </row>
    <row r="419" spans="1:1" x14ac:dyDescent="0.25">
      <c r="A419" t="s">
        <v>10377</v>
      </c>
    </row>
    <row r="420" spans="1:1" x14ac:dyDescent="0.25">
      <c r="A420" t="s">
        <v>10378</v>
      </c>
    </row>
    <row r="421" spans="1:1" x14ac:dyDescent="0.25">
      <c r="A421" t="s">
        <v>8121</v>
      </c>
    </row>
    <row r="422" spans="1:1" x14ac:dyDescent="0.25">
      <c r="A422" t="s">
        <v>8122</v>
      </c>
    </row>
    <row r="423" spans="1:1" x14ac:dyDescent="0.25">
      <c r="A423" t="s">
        <v>8127</v>
      </c>
    </row>
    <row r="424" spans="1:1" x14ac:dyDescent="0.25">
      <c r="A424" t="s">
        <v>10379</v>
      </c>
    </row>
    <row r="425" spans="1:1" x14ac:dyDescent="0.25">
      <c r="A425" t="s">
        <v>10380</v>
      </c>
    </row>
    <row r="426" spans="1:1" x14ac:dyDescent="0.25">
      <c r="A426" t="s">
        <v>9529</v>
      </c>
    </row>
    <row r="427" spans="1:1" x14ac:dyDescent="0.25">
      <c r="A427" t="s">
        <v>10381</v>
      </c>
    </row>
    <row r="428" spans="1:1" x14ac:dyDescent="0.25">
      <c r="A428" t="s">
        <v>10382</v>
      </c>
    </row>
    <row r="429" spans="1:1" x14ac:dyDescent="0.25">
      <c r="A429" t="s">
        <v>8659</v>
      </c>
    </row>
    <row r="430" spans="1:1" x14ac:dyDescent="0.25">
      <c r="A430" t="s">
        <v>10383</v>
      </c>
    </row>
    <row r="431" spans="1:1" x14ac:dyDescent="0.25">
      <c r="A431" t="s">
        <v>8660</v>
      </c>
    </row>
    <row r="432" spans="1:1" x14ac:dyDescent="0.25">
      <c r="A432" t="s">
        <v>10384</v>
      </c>
    </row>
    <row r="433" spans="1:1" x14ac:dyDescent="0.25">
      <c r="A433" t="s">
        <v>8664</v>
      </c>
    </row>
    <row r="434" spans="1:1" x14ac:dyDescent="0.25">
      <c r="A434" t="s">
        <v>10385</v>
      </c>
    </row>
    <row r="435" spans="1:1" x14ac:dyDescent="0.25">
      <c r="A435" t="s">
        <v>10386</v>
      </c>
    </row>
    <row r="436" spans="1:1" x14ac:dyDescent="0.25">
      <c r="A436" t="s">
        <v>8143</v>
      </c>
    </row>
    <row r="437" spans="1:1" x14ac:dyDescent="0.25">
      <c r="A437" t="s">
        <v>10387</v>
      </c>
    </row>
    <row r="438" spans="1:1" x14ac:dyDescent="0.25">
      <c r="A438" t="s">
        <v>10388</v>
      </c>
    </row>
    <row r="439" spans="1:1" x14ac:dyDescent="0.25">
      <c r="A439" t="s">
        <v>10389</v>
      </c>
    </row>
    <row r="440" spans="1:1" x14ac:dyDescent="0.25">
      <c r="A440" t="s">
        <v>8150</v>
      </c>
    </row>
    <row r="441" spans="1:1" x14ac:dyDescent="0.25">
      <c r="A441" t="s">
        <v>8674</v>
      </c>
    </row>
    <row r="442" spans="1:1" x14ac:dyDescent="0.25">
      <c r="A442" t="s">
        <v>8154</v>
      </c>
    </row>
    <row r="443" spans="1:1" x14ac:dyDescent="0.25">
      <c r="A443" t="s">
        <v>10390</v>
      </c>
    </row>
    <row r="444" spans="1:1" x14ac:dyDescent="0.25">
      <c r="A444" t="s">
        <v>8159</v>
      </c>
    </row>
    <row r="445" spans="1:1" x14ac:dyDescent="0.25">
      <c r="A445" t="s">
        <v>8681</v>
      </c>
    </row>
    <row r="446" spans="1:1" x14ac:dyDescent="0.25">
      <c r="A446" t="s">
        <v>8164</v>
      </c>
    </row>
    <row r="447" spans="1:1" x14ac:dyDescent="0.25">
      <c r="A447" t="s">
        <v>8168</v>
      </c>
    </row>
  </sheetData>
  <pageMargins left="0.7" right="0.7" top="0.75" bottom="0.75" header="0.3" footer="0.3"/>
  <pageSetup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workbookViewId="0">
      <pane xSplit="6" ySplit="11" topLeftCell="G12" activePane="bottomRight" state="frozen"/>
      <selection pane="topRight" activeCell="G1" sqref="G1"/>
      <selection pane="bottomLeft" activeCell="A11" sqref="A11"/>
      <selection pane="bottomRight"/>
    </sheetView>
  </sheetViews>
  <sheetFormatPr defaultRowHeight="15" x14ac:dyDescent="0.25"/>
  <cols>
    <col min="1" max="1" width="23.85546875" customWidth="1"/>
    <col min="2" max="2" width="16.140625" customWidth="1"/>
    <col min="3" max="3" width="43.140625" customWidth="1"/>
  </cols>
  <sheetData>
    <row r="1" spans="1:8" ht="20.25" x14ac:dyDescent="0.3">
      <c r="A1" s="12" t="s">
        <v>13259</v>
      </c>
    </row>
    <row r="2" spans="1:8" x14ac:dyDescent="0.25">
      <c r="A2" t="s">
        <v>13278</v>
      </c>
      <c r="B2" t="s">
        <v>2</v>
      </c>
      <c r="C2">
        <v>493</v>
      </c>
    </row>
    <row r="3" spans="1:8" x14ac:dyDescent="0.25">
      <c r="A3" t="s">
        <v>10398</v>
      </c>
      <c r="B3" t="s">
        <v>4</v>
      </c>
      <c r="C3">
        <v>77079</v>
      </c>
    </row>
    <row r="4" spans="1:8" x14ac:dyDescent="0.25">
      <c r="A4" t="s">
        <v>10399</v>
      </c>
      <c r="B4" t="s">
        <v>6</v>
      </c>
      <c r="C4" t="s">
        <v>7</v>
      </c>
    </row>
    <row r="5" spans="1:8" x14ac:dyDescent="0.25">
      <c r="A5" t="s">
        <v>10400</v>
      </c>
      <c r="B5" t="s">
        <v>9</v>
      </c>
      <c r="C5" t="s">
        <v>10</v>
      </c>
    </row>
    <row r="6" spans="1:8" x14ac:dyDescent="0.25">
      <c r="A6" t="s">
        <v>8171</v>
      </c>
      <c r="B6" t="s">
        <v>12</v>
      </c>
      <c r="C6" t="s">
        <v>13144</v>
      </c>
    </row>
    <row r="7" spans="1:8" x14ac:dyDescent="0.25">
      <c r="A7" t="s">
        <v>10428</v>
      </c>
      <c r="B7" t="s">
        <v>15</v>
      </c>
      <c r="C7" t="s">
        <v>16</v>
      </c>
    </row>
    <row r="8" spans="1:8" x14ac:dyDescent="0.25">
      <c r="A8" t="s">
        <v>10432</v>
      </c>
      <c r="B8" t="s">
        <v>18</v>
      </c>
      <c r="C8">
        <v>3</v>
      </c>
    </row>
    <row r="9" spans="1:8" x14ac:dyDescent="0.25">
      <c r="A9" t="s">
        <v>10451</v>
      </c>
      <c r="B9" t="s">
        <v>21</v>
      </c>
      <c r="C9" t="s">
        <v>19</v>
      </c>
    </row>
    <row r="10" spans="1:8" x14ac:dyDescent="0.25">
      <c r="A10" t="s">
        <v>9559</v>
      </c>
    </row>
    <row r="11" spans="1:8" x14ac:dyDescent="0.25">
      <c r="A11" t="s">
        <v>9560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</row>
    <row r="12" spans="1:8" x14ac:dyDescent="0.25">
      <c r="A12" t="s">
        <v>10455</v>
      </c>
      <c r="B12" t="str">
        <f>HYPERLINK("http://amigo.geneontology.org/cgi-bin/amigo/term-details.cgi?term=GO:0008152","GO:0008152")</f>
        <v>GO:0008152</v>
      </c>
      <c r="C12" t="s">
        <v>13192</v>
      </c>
      <c r="D12">
        <v>17150</v>
      </c>
      <c r="E12">
        <v>158</v>
      </c>
      <c r="F12" s="4">
        <v>3.1441857602023302E-7</v>
      </c>
      <c r="G12">
        <v>1.41959987073135E-3</v>
      </c>
      <c r="H12" t="s">
        <v>13279</v>
      </c>
    </row>
    <row r="13" spans="1:8" x14ac:dyDescent="0.25">
      <c r="A13" t="s">
        <v>10456</v>
      </c>
      <c r="B13" t="str">
        <f>HYPERLINK("http://amigo.geneontology.org/cgi-bin/amigo/term-details.cgi?term=GO:0010143","GO:0010143")</f>
        <v>GO:0010143</v>
      </c>
      <c r="C13" t="s">
        <v>9666</v>
      </c>
      <c r="D13">
        <v>10</v>
      </c>
      <c r="E13">
        <v>4</v>
      </c>
      <c r="F13" s="4">
        <v>3.36779524956702E-7</v>
      </c>
      <c r="G13" s="4">
        <v>7.6011138782727697E-4</v>
      </c>
      <c r="H13" t="s">
        <v>10498</v>
      </c>
    </row>
    <row r="14" spans="1:8" x14ac:dyDescent="0.25">
      <c r="A14" t="s">
        <v>10457</v>
      </c>
      <c r="B14" t="str">
        <f>HYPERLINK("http://amigo.geneontology.org/cgi-bin/amigo/term-details.cgi?term=GO:0043062","GO:0043062")</f>
        <v>GO:0043062</v>
      </c>
      <c r="C14" t="s">
        <v>6351</v>
      </c>
      <c r="D14">
        <v>38</v>
      </c>
      <c r="E14">
        <v>5</v>
      </c>
      <c r="F14" s="4">
        <v>4.42366355578313E-6</v>
      </c>
      <c r="G14">
        <v>2.8532629934801199E-3</v>
      </c>
      <c r="H14" t="s">
        <v>13280</v>
      </c>
    </row>
    <row r="15" spans="1:8" x14ac:dyDescent="0.25">
      <c r="A15" t="s">
        <v>10459</v>
      </c>
      <c r="B15" t="str">
        <f>HYPERLINK("http://amigo.geneontology.org/cgi-bin/amigo/term-details.cgi?term=GO:0030198","GO:0030198")</f>
        <v>GO:0030198</v>
      </c>
      <c r="C15" t="s">
        <v>6353</v>
      </c>
      <c r="D15">
        <v>38</v>
      </c>
      <c r="E15">
        <v>5</v>
      </c>
      <c r="F15" s="4">
        <v>4.42366355578313E-6</v>
      </c>
      <c r="G15">
        <v>3.3265949939489101E-3</v>
      </c>
      <c r="H15" t="s">
        <v>13280</v>
      </c>
    </row>
    <row r="16" spans="1:8" x14ac:dyDescent="0.25">
      <c r="A16" t="s">
        <v>10460</v>
      </c>
      <c r="B16" t="str">
        <f>HYPERLINK("http://amigo.geneontology.org/cgi-bin/amigo/term-details.cgi?term=GO:0070726","GO:0070726")</f>
        <v>GO:0070726</v>
      </c>
      <c r="C16" t="s">
        <v>6355</v>
      </c>
      <c r="D16">
        <v>38</v>
      </c>
      <c r="E16">
        <v>5</v>
      </c>
      <c r="F16" s="4">
        <v>4.42366355578313E-6</v>
      </c>
      <c r="G16">
        <v>3.9945681908721701E-3</v>
      </c>
      <c r="H16" t="s">
        <v>13280</v>
      </c>
    </row>
    <row r="17" spans="1:8" x14ac:dyDescent="0.25">
      <c r="A17" t="s">
        <v>10466</v>
      </c>
      <c r="B17" t="str">
        <f>HYPERLINK("http://amigo.geneontology.org/cgi-bin/amigo/term-details.cgi?term=GO:0071668","GO:0071668")</f>
        <v>GO:0071668</v>
      </c>
      <c r="C17" t="s">
        <v>6357</v>
      </c>
      <c r="D17">
        <v>38</v>
      </c>
      <c r="E17">
        <v>5</v>
      </c>
      <c r="F17" s="4">
        <v>4.42366355578313E-6</v>
      </c>
      <c r="G17">
        <v>4.9898924909233698E-3</v>
      </c>
      <c r="H17" t="s">
        <v>13280</v>
      </c>
    </row>
    <row r="18" spans="1:8" x14ac:dyDescent="0.25">
      <c r="A18" t="s">
        <v>10469</v>
      </c>
      <c r="B18" t="str">
        <f>HYPERLINK("http://amigo.geneontology.org/cgi-bin/amigo/term-details.cgi?term=GO:0010215","GO:0010215")</f>
        <v>GO:0010215</v>
      </c>
      <c r="C18" t="s">
        <v>6358</v>
      </c>
      <c r="D18">
        <v>38</v>
      </c>
      <c r="E18">
        <v>5</v>
      </c>
      <c r="F18" s="4">
        <v>4.42366355578313E-6</v>
      </c>
      <c r="G18">
        <v>6.6576136514536104E-3</v>
      </c>
      <c r="H18" t="s">
        <v>13280</v>
      </c>
    </row>
    <row r="19" spans="1:8" x14ac:dyDescent="0.25">
      <c r="A19" t="s">
        <v>10477</v>
      </c>
      <c r="B19" t="str">
        <f>HYPERLINK("http://amigo.geneontology.org/cgi-bin/amigo/term-details.cgi?term=GO:0010214","GO:0010214")</f>
        <v>GO:0010214</v>
      </c>
      <c r="C19" t="s">
        <v>9982</v>
      </c>
      <c r="D19">
        <v>20</v>
      </c>
      <c r="E19">
        <v>4</v>
      </c>
      <c r="F19" s="4">
        <v>7.3853030213315203E-6</v>
      </c>
      <c r="G19">
        <v>4.1653109040309796E-3</v>
      </c>
      <c r="H19" t="s">
        <v>10553</v>
      </c>
    </row>
    <row r="20" spans="1:8" x14ac:dyDescent="0.25">
      <c r="A20" t="s">
        <v>10482</v>
      </c>
      <c r="B20" t="str">
        <f>HYPERLINK("http://amigo.geneontology.org/cgi-bin/amigo/term-details.cgi?term=GO:0071704","GO:0071704")</f>
        <v>GO:0071704</v>
      </c>
      <c r="C20" t="s">
        <v>472</v>
      </c>
      <c r="D20">
        <v>3829</v>
      </c>
      <c r="E20">
        <v>48</v>
      </c>
      <c r="F20" s="4">
        <v>8.7698604227273195E-6</v>
      </c>
      <c r="G20">
        <v>4.3937000717863897E-3</v>
      </c>
      <c r="H20" t="s">
        <v>13281</v>
      </c>
    </row>
    <row r="21" spans="1:8" x14ac:dyDescent="0.25">
      <c r="A21" t="s">
        <v>10501</v>
      </c>
      <c r="B21" t="str">
        <f>HYPERLINK("http://amigo.geneontology.org/cgi-bin/amigo/term-details.cgi?term=GO:0005975","GO:0005975")</f>
        <v>GO:0005975</v>
      </c>
      <c r="C21" t="s">
        <v>171</v>
      </c>
      <c r="D21">
        <v>2055</v>
      </c>
      <c r="E21">
        <v>31</v>
      </c>
      <c r="F21" s="4">
        <v>1.27068424391792E-5</v>
      </c>
      <c r="G21">
        <v>5.7307859400698297E-3</v>
      </c>
      <c r="H21" t="s">
        <v>13282</v>
      </c>
    </row>
    <row r="22" spans="1:8" x14ac:dyDescent="0.25">
      <c r="A22" t="s">
        <v>10505</v>
      </c>
      <c r="B22" t="str">
        <f>HYPERLINK("http://amigo.geneontology.org/cgi-bin/amigo/term-details.cgi?term=GO:0009957","GO:0009957")</f>
        <v>GO:0009957</v>
      </c>
      <c r="C22" t="s">
        <v>10557</v>
      </c>
      <c r="D22">
        <v>10</v>
      </c>
      <c r="E22">
        <v>3</v>
      </c>
      <c r="F22" s="4">
        <v>3.0183335668053099E-5</v>
      </c>
      <c r="G22">
        <v>1.2375167623901701E-2</v>
      </c>
      <c r="H22" t="s">
        <v>10558</v>
      </c>
    </row>
    <row r="23" spans="1:8" x14ac:dyDescent="0.25">
      <c r="A23" t="s">
        <v>10508</v>
      </c>
      <c r="B23" t="str">
        <f>HYPERLINK("http://amigo.geneontology.org/cgi-bin/amigo/term-details.cgi?term=GO:0030855","GO:0030855")</f>
        <v>GO:0030855</v>
      </c>
      <c r="C23" t="s">
        <v>10570</v>
      </c>
      <c r="D23">
        <v>12</v>
      </c>
      <c r="E23">
        <v>3</v>
      </c>
      <c r="F23" s="4">
        <v>5.4810907644233297E-5</v>
      </c>
      <c r="G23">
        <v>1.9019384952548901E-2</v>
      </c>
      <c r="H23" t="s">
        <v>10558</v>
      </c>
    </row>
    <row r="24" spans="1:8" x14ac:dyDescent="0.25">
      <c r="A24" t="s">
        <v>10510</v>
      </c>
      <c r="B24" t="str">
        <f>HYPERLINK("http://amigo.geneontology.org/cgi-bin/amigo/term-details.cgi?term=GO:0009913","GO:0009913")</f>
        <v>GO:0009913</v>
      </c>
      <c r="C24" t="s">
        <v>10572</v>
      </c>
      <c r="D24">
        <v>12</v>
      </c>
      <c r="E24">
        <v>3</v>
      </c>
      <c r="F24" s="4">
        <v>5.4810907644233297E-5</v>
      </c>
      <c r="G24">
        <v>2.0608901274231699E-2</v>
      </c>
      <c r="H24" t="s">
        <v>10558</v>
      </c>
    </row>
    <row r="25" spans="1:8" x14ac:dyDescent="0.25">
      <c r="A25" t="s">
        <v>10513</v>
      </c>
      <c r="B25" t="str">
        <f>HYPERLINK("http://amigo.geneontology.org/cgi-bin/amigo/term-details.cgi?term=GO:0008544","GO:0008544")</f>
        <v>GO:0008544</v>
      </c>
      <c r="C25" t="s">
        <v>10585</v>
      </c>
      <c r="D25">
        <v>13</v>
      </c>
      <c r="E25">
        <v>3</v>
      </c>
      <c r="F25" s="4">
        <v>7.0915387754763703E-5</v>
      </c>
      <c r="G25">
        <v>1.9998139346843299E-2</v>
      </c>
      <c r="H25" t="s">
        <v>10558</v>
      </c>
    </row>
    <row r="26" spans="1:8" x14ac:dyDescent="0.25">
      <c r="A26" t="s">
        <v>10519</v>
      </c>
      <c r="B26" t="str">
        <f>HYPERLINK("http://amigo.geneontology.org/cgi-bin/amigo/term-details.cgi?term=GO:0010166","GO:0010166")</f>
        <v>GO:0010166</v>
      </c>
      <c r="C26" t="s">
        <v>6788</v>
      </c>
      <c r="D26">
        <v>13</v>
      </c>
      <c r="E26">
        <v>3</v>
      </c>
      <c r="F26" s="4">
        <v>7.0915387754763703E-5</v>
      </c>
      <c r="G26">
        <v>2.13455317141838E-2</v>
      </c>
      <c r="H26" t="s">
        <v>10507</v>
      </c>
    </row>
    <row r="27" spans="1:8" x14ac:dyDescent="0.25">
      <c r="A27" t="s">
        <v>10525</v>
      </c>
      <c r="B27" t="str">
        <f>HYPERLINK("http://amigo.geneontology.org/cgi-bin/amigo/term-details.cgi?term=GO:0010025","GO:0010025")</f>
        <v>GO:0010025</v>
      </c>
      <c r="C27" t="s">
        <v>6790</v>
      </c>
      <c r="D27">
        <v>13</v>
      </c>
      <c r="E27">
        <v>3</v>
      </c>
      <c r="F27" s="4">
        <v>7.0915387754763703E-5</v>
      </c>
      <c r="G27">
        <v>2.2834754857033901E-2</v>
      </c>
      <c r="H27" t="s">
        <v>10507</v>
      </c>
    </row>
    <row r="28" spans="1:8" x14ac:dyDescent="0.25">
      <c r="A28" t="s">
        <v>8694</v>
      </c>
      <c r="B28" t="str">
        <f>HYPERLINK("http://amigo.geneontology.org/cgi-bin/amigo/term-details.cgi?term=GO:0009832","GO:0009832")</f>
        <v>GO:0009832</v>
      </c>
      <c r="C28" t="s">
        <v>10526</v>
      </c>
      <c r="D28">
        <v>109</v>
      </c>
      <c r="E28">
        <v>6</v>
      </c>
      <c r="F28" s="4">
        <v>7.7109390498139504E-5</v>
      </c>
      <c r="G28">
        <v>2.04339884820069E-2</v>
      </c>
      <c r="H28" t="s">
        <v>13283</v>
      </c>
    </row>
    <row r="29" spans="1:8" x14ac:dyDescent="0.25">
      <c r="A29" t="s">
        <v>10538</v>
      </c>
      <c r="B29" t="str">
        <f>HYPERLINK("http://amigo.geneontology.org/cgi-bin/amigo/term-details.cgi?term=GO:0045165","GO:0045165")</f>
        <v>GO:0045165</v>
      </c>
      <c r="C29" t="s">
        <v>10683</v>
      </c>
      <c r="D29">
        <v>37</v>
      </c>
      <c r="E29">
        <v>4</v>
      </c>
      <c r="F29" s="4">
        <v>9.2370031062566295E-5</v>
      </c>
      <c r="G29">
        <v>2.30925077656415E-2</v>
      </c>
      <c r="H29" t="s">
        <v>10684</v>
      </c>
    </row>
    <row r="30" spans="1:8" x14ac:dyDescent="0.25">
      <c r="A30" t="s">
        <v>10542</v>
      </c>
      <c r="B30" t="str">
        <f>HYPERLINK("http://amigo.geneontology.org/cgi-bin/amigo/term-details.cgi?term=GO:0001676","GO:0001676")</f>
        <v>GO:0001676</v>
      </c>
      <c r="C30" t="s">
        <v>10614</v>
      </c>
      <c r="D30">
        <v>16</v>
      </c>
      <c r="E30">
        <v>3</v>
      </c>
      <c r="F30" s="4">
        <v>1.3688529105475799E-4</v>
      </c>
      <c r="G30">
        <v>3.0799190487320601E-2</v>
      </c>
      <c r="H30" t="s">
        <v>10507</v>
      </c>
    </row>
    <row r="31" spans="1:8" x14ac:dyDescent="0.25">
      <c r="A31" t="s">
        <v>10577</v>
      </c>
      <c r="B31" t="str">
        <f>HYPERLINK("http://amigo.geneontology.org/cgi-bin/amigo/term-details.cgi?term=GO:1901568","GO:1901568")</f>
        <v>GO:1901568</v>
      </c>
      <c r="C31" t="s">
        <v>10638</v>
      </c>
      <c r="D31">
        <v>16</v>
      </c>
      <c r="E31">
        <v>3</v>
      </c>
      <c r="F31" s="4">
        <v>1.3688529105475799E-4</v>
      </c>
      <c r="G31">
        <v>3.2441813979977703E-2</v>
      </c>
      <c r="H31" t="s">
        <v>10507</v>
      </c>
    </row>
    <row r="32" spans="1:8" x14ac:dyDescent="0.25">
      <c r="A32" t="s">
        <v>10615</v>
      </c>
      <c r="B32" t="str">
        <f>HYPERLINK("http://amigo.geneontology.org/cgi-bin/amigo/term-details.cgi?term=GO:0002213","GO:0002213")</f>
        <v>GO:0002213</v>
      </c>
      <c r="C32" t="s">
        <v>7422</v>
      </c>
      <c r="D32">
        <v>17</v>
      </c>
      <c r="E32">
        <v>3</v>
      </c>
      <c r="F32" s="4">
        <v>1.65428529049529E-4</v>
      </c>
      <c r="G32">
        <v>3.5567133745648703E-2</v>
      </c>
      <c r="H32" t="s">
        <v>10507</v>
      </c>
    </row>
    <row r="33" spans="1:8" x14ac:dyDescent="0.25">
      <c r="A33" t="s">
        <v>10617</v>
      </c>
      <c r="B33" t="str">
        <f>HYPERLINK("http://amigo.geneontology.org/cgi-bin/amigo/term-details.cgi?term=GO:0006855","GO:0006855")</f>
        <v>GO:0006855</v>
      </c>
      <c r="C33" t="s">
        <v>8990</v>
      </c>
      <c r="D33">
        <v>242</v>
      </c>
      <c r="E33">
        <v>8</v>
      </c>
      <c r="F33" s="4">
        <v>1.86680070597261E-4</v>
      </c>
      <c r="G33">
        <v>3.8269414472438701E-2</v>
      </c>
      <c r="H33" t="s">
        <v>13284</v>
      </c>
    </row>
    <row r="34" spans="1:8" x14ac:dyDescent="0.25">
      <c r="A34" t="s">
        <v>10618</v>
      </c>
      <c r="B34" t="str">
        <f>HYPERLINK("http://amigo.geneontology.org/cgi-bin/amigo/term-details.cgi?term=GO:1901570","GO:1901570")</f>
        <v>GO:1901570</v>
      </c>
      <c r="C34" t="s">
        <v>10640</v>
      </c>
      <c r="D34">
        <v>18</v>
      </c>
      <c r="E34">
        <v>3</v>
      </c>
      <c r="F34" s="4">
        <v>1.9757184042413199E-4</v>
      </c>
      <c r="G34">
        <v>3.8724080723129897E-2</v>
      </c>
      <c r="H34" t="s">
        <v>10507</v>
      </c>
    </row>
    <row r="35" spans="1:8" x14ac:dyDescent="0.25">
      <c r="A35" t="s">
        <v>10639</v>
      </c>
      <c r="B35" t="str">
        <f>HYPERLINK("http://amigo.geneontology.org/cgi-bin/amigo/term-details.cgi?term=GO:0040007","GO:0040007")</f>
        <v>GO:0040007</v>
      </c>
      <c r="C35" t="s">
        <v>13285</v>
      </c>
      <c r="D35">
        <v>189</v>
      </c>
      <c r="E35">
        <v>7</v>
      </c>
      <c r="F35" s="4">
        <v>2.3595658048633299E-4</v>
      </c>
      <c r="G35">
        <v>4.4359837131430699E-2</v>
      </c>
      <c r="H35" t="s">
        <v>13286</v>
      </c>
    </row>
    <row r="36" spans="1:8" x14ac:dyDescent="0.25">
      <c r="A36" t="s">
        <v>8194</v>
      </c>
      <c r="B36" t="str">
        <f>HYPERLINK("http://amigo.geneontology.org/cgi-bin/amigo/term-details.cgi?term=GO:0008150","GO:0008150")</f>
        <v>GO:0008150</v>
      </c>
      <c r="C36" t="s">
        <v>13144</v>
      </c>
      <c r="D36">
        <v>19286</v>
      </c>
      <c r="E36">
        <v>158</v>
      </c>
      <c r="F36" s="4">
        <v>2.5550275530983302E-4</v>
      </c>
      <c r="G36">
        <v>4.5990495955769997E-2</v>
      </c>
      <c r="H36" t="s">
        <v>13287</v>
      </c>
    </row>
    <row r="37" spans="1:8" x14ac:dyDescent="0.25">
      <c r="A37" t="s">
        <v>10660</v>
      </c>
      <c r="B37" t="str">
        <f>HYPERLINK("http://amigo.geneontology.org/cgi-bin/amigo/term-details.cgi?term=GO:0015893","GO:0015893")</f>
        <v>GO:0015893</v>
      </c>
      <c r="C37" t="s">
        <v>7563</v>
      </c>
      <c r="D37">
        <v>264</v>
      </c>
      <c r="E37">
        <v>8</v>
      </c>
      <c r="F37" s="4">
        <v>3.34943451880496E-4</v>
      </c>
      <c r="G37">
        <v>5.79452171753259E-2</v>
      </c>
      <c r="H37" t="s">
        <v>13284</v>
      </c>
    </row>
    <row r="38" spans="1:8" x14ac:dyDescent="0.25">
      <c r="A38" t="s">
        <v>10664</v>
      </c>
      <c r="B38" t="str">
        <f>HYPERLINK("http://amigo.geneontology.org/cgi-bin/amigo/term-details.cgi?term=GO:0010311","GO:0010311")</f>
        <v>GO:0010311</v>
      </c>
      <c r="C38" t="s">
        <v>10690</v>
      </c>
      <c r="D38">
        <v>22</v>
      </c>
      <c r="E38">
        <v>3</v>
      </c>
      <c r="F38" s="4">
        <v>3.6584381171234098E-4</v>
      </c>
      <c r="G38">
        <v>6.1095916555961E-2</v>
      </c>
      <c r="H38" t="s">
        <v>10507</v>
      </c>
    </row>
    <row r="39" spans="1:8" x14ac:dyDescent="0.25">
      <c r="A39" t="s">
        <v>10678</v>
      </c>
      <c r="B39" t="str">
        <f>HYPERLINK("http://amigo.geneontology.org/cgi-bin/amigo/term-details.cgi?term=GO:0080190","GO:0080190")</f>
        <v>GO:0080190</v>
      </c>
      <c r="C39" t="s">
        <v>10621</v>
      </c>
      <c r="D39">
        <v>6</v>
      </c>
      <c r="E39">
        <v>2</v>
      </c>
      <c r="F39" s="4">
        <v>6.0207330812198903E-4</v>
      </c>
      <c r="G39">
        <v>9.3321362758908399E-2</v>
      </c>
      <c r="H39" t="s">
        <v>10622</v>
      </c>
    </row>
    <row r="40" spans="1:8" x14ac:dyDescent="0.25">
      <c r="A40" t="s">
        <v>10681</v>
      </c>
      <c r="B40" t="str">
        <f>HYPERLINK("http://amigo.geneontology.org/cgi-bin/amigo/term-details.cgi?term=GO:0080117","GO:0080117")</f>
        <v>GO:0080117</v>
      </c>
      <c r="C40" t="s">
        <v>10624</v>
      </c>
      <c r="D40">
        <v>6</v>
      </c>
      <c r="E40">
        <v>2</v>
      </c>
      <c r="F40" s="4">
        <v>6.0207330812198903E-4</v>
      </c>
      <c r="G40">
        <v>9.6933802607640299E-2</v>
      </c>
      <c r="H40" t="s">
        <v>10622</v>
      </c>
    </row>
    <row r="41" spans="1:8" x14ac:dyDescent="0.25">
      <c r="A41" t="s">
        <v>10682</v>
      </c>
      <c r="B41" t="str">
        <f>HYPERLINK("http://amigo.geneontology.org/cgi-bin/amigo/term-details.cgi?term=GO:0010101","GO:0010101")</f>
        <v>GO:0010101</v>
      </c>
      <c r="C41" t="s">
        <v>10733</v>
      </c>
      <c r="D41">
        <v>26</v>
      </c>
      <c r="E41">
        <v>3</v>
      </c>
      <c r="F41" s="4">
        <v>6.06036730906202E-4</v>
      </c>
      <c r="G41">
        <v>8.7875325981399299E-2</v>
      </c>
      <c r="H41" t="s">
        <v>10507</v>
      </c>
    </row>
    <row r="42" spans="1:8" x14ac:dyDescent="0.25">
      <c r="A42" t="s">
        <v>10685</v>
      </c>
      <c r="B42" t="str">
        <f>HYPERLINK("http://amigo.geneontology.org/cgi-bin/amigo/term-details.cgi?term=GO:0010102","GO:0010102")</f>
        <v>GO:0010102</v>
      </c>
      <c r="C42" t="s">
        <v>10735</v>
      </c>
      <c r="D42">
        <v>26</v>
      </c>
      <c r="E42">
        <v>3</v>
      </c>
      <c r="F42" s="4">
        <v>6.06036730906202E-4</v>
      </c>
      <c r="G42">
        <v>9.0905509635930304E-2</v>
      </c>
      <c r="H42" t="s">
        <v>10507</v>
      </c>
    </row>
    <row r="43" spans="1:8" x14ac:dyDescent="0.25">
      <c r="A43" t="s">
        <v>10686</v>
      </c>
      <c r="B43" t="str">
        <f>HYPERLINK("http://amigo.geneontology.org/cgi-bin/amigo/term-details.cgi?term=GO:0001708","GO:0001708")</f>
        <v>GO:0001708</v>
      </c>
      <c r="C43" t="s">
        <v>10772</v>
      </c>
      <c r="D43">
        <v>31</v>
      </c>
      <c r="E43">
        <v>3</v>
      </c>
      <c r="F43">
        <v>1.0231949590352701E-3</v>
      </c>
      <c r="G43">
        <v>0.14427048922397401</v>
      </c>
      <c r="H43" t="s">
        <v>10558</v>
      </c>
    </row>
    <row r="44" spans="1:8" x14ac:dyDescent="0.25">
      <c r="A44" t="s">
        <v>9566</v>
      </c>
      <c r="B44" t="str">
        <f>HYPERLINK("http://amigo.geneontology.org/cgi-bin/amigo/term-details.cgi?term=GO:0035556","GO:0035556")</f>
        <v>GO:0035556</v>
      </c>
      <c r="C44" t="s">
        <v>10407</v>
      </c>
      <c r="D44">
        <v>742</v>
      </c>
      <c r="E44">
        <v>13</v>
      </c>
      <c r="F44">
        <v>1.15543057398448E-3</v>
      </c>
      <c r="G44">
        <v>0.15713855806189</v>
      </c>
      <c r="H44" t="s">
        <v>13288</v>
      </c>
    </row>
    <row r="45" spans="1:8" x14ac:dyDescent="0.25">
      <c r="A45" t="s">
        <v>8921</v>
      </c>
      <c r="B45" t="str">
        <f>HYPERLINK("http://amigo.geneontology.org/cgi-bin/amigo/term-details.cgi?term=GO:0044238","GO:0044238")</f>
        <v>GO:0044238</v>
      </c>
      <c r="C45" t="s">
        <v>612</v>
      </c>
      <c r="D45">
        <v>5792</v>
      </c>
      <c r="E45">
        <v>56</v>
      </c>
      <c r="F45">
        <v>1.4156432889287701E-3</v>
      </c>
      <c r="G45">
        <v>0.18686491413859799</v>
      </c>
      <c r="H45" t="s">
        <v>13289</v>
      </c>
    </row>
    <row r="46" spans="1:8" x14ac:dyDescent="0.25">
      <c r="A46" t="s">
        <v>10709</v>
      </c>
      <c r="B46" t="str">
        <f>HYPERLINK("http://amigo.geneontology.org/cgi-bin/amigo/term-details.cgi?term=GO:0006869","GO:0006869")</f>
        <v>GO:0006869</v>
      </c>
      <c r="C46" t="s">
        <v>6672</v>
      </c>
      <c r="D46">
        <v>257</v>
      </c>
      <c r="E46">
        <v>7</v>
      </c>
      <c r="F46">
        <v>1.44488029406926E-3</v>
      </c>
      <c r="G46">
        <v>0.186389557934935</v>
      </c>
      <c r="H46" t="s">
        <v>13290</v>
      </c>
    </row>
    <row r="47" spans="1:8" x14ac:dyDescent="0.25">
      <c r="A47" t="s">
        <v>10720</v>
      </c>
      <c r="B47" t="str">
        <f>HYPERLINK("http://amigo.geneontology.org/cgi-bin/amigo/term-details.cgi?term=GO:0033036","GO:0033036")</f>
        <v>GO:0033036</v>
      </c>
      <c r="C47" t="s">
        <v>6692</v>
      </c>
      <c r="D47">
        <v>269</v>
      </c>
      <c r="E47">
        <v>7</v>
      </c>
      <c r="F47">
        <v>1.8706727966484699E-3</v>
      </c>
      <c r="G47">
        <v>0.233834099581059</v>
      </c>
      <c r="H47" t="s">
        <v>13290</v>
      </c>
    </row>
    <row r="48" spans="1:8" x14ac:dyDescent="0.25">
      <c r="A48" t="s">
        <v>10728</v>
      </c>
      <c r="B48" t="str">
        <f>HYPERLINK("http://amigo.geneontology.org/cgi-bin/amigo/term-details.cgi?term=GO:0010023","GO:0010023")</f>
        <v>GO:0010023</v>
      </c>
      <c r="C48" t="s">
        <v>10737</v>
      </c>
      <c r="D48">
        <v>11</v>
      </c>
      <c r="E48">
        <v>2</v>
      </c>
      <c r="F48">
        <v>2.16126706636464E-3</v>
      </c>
      <c r="G48">
        <v>0.26367458209648598</v>
      </c>
      <c r="H48" t="s">
        <v>10738</v>
      </c>
    </row>
    <row r="49" spans="1:8" x14ac:dyDescent="0.25">
      <c r="A49" t="s">
        <v>10732</v>
      </c>
      <c r="B49" t="str">
        <f>HYPERLINK("http://amigo.geneontology.org/cgi-bin/amigo/term-details.cgi?term=GO:0055114","GO:0055114")</f>
        <v>GO:0055114</v>
      </c>
      <c r="C49" t="s">
        <v>454</v>
      </c>
      <c r="D49">
        <v>6432</v>
      </c>
      <c r="E49">
        <v>60</v>
      </c>
      <c r="F49">
        <v>2.1857614540897702E-3</v>
      </c>
      <c r="G49">
        <v>0.25791985158259301</v>
      </c>
      <c r="H49" t="s">
        <v>13291</v>
      </c>
    </row>
    <row r="50" spans="1:8" x14ac:dyDescent="0.25">
      <c r="A50" t="s">
        <v>10739</v>
      </c>
      <c r="B50" t="str">
        <f>HYPERLINK("http://amigo.geneontology.org/cgi-bin/amigo/term-details.cgi?term=GO:0051716","GO:0051716")</f>
        <v>GO:0051716</v>
      </c>
      <c r="C50" t="s">
        <v>6687</v>
      </c>
      <c r="D50">
        <v>1023</v>
      </c>
      <c r="E50">
        <v>15</v>
      </c>
      <c r="F50">
        <v>2.82981135160898E-3</v>
      </c>
      <c r="G50">
        <v>0.32542830543503298</v>
      </c>
      <c r="H50" t="s">
        <v>13292</v>
      </c>
    </row>
    <row r="51" spans="1:8" x14ac:dyDescent="0.25">
      <c r="A51" t="s">
        <v>10745</v>
      </c>
      <c r="B51" t="str">
        <f>HYPERLINK("http://amigo.geneontology.org/cgi-bin/amigo/term-details.cgi?term=GO:0016049","GO:0016049")</f>
        <v>GO:0016049</v>
      </c>
      <c r="C51" t="s">
        <v>772</v>
      </c>
      <c r="D51">
        <v>217</v>
      </c>
      <c r="E51">
        <v>6</v>
      </c>
      <c r="F51">
        <v>2.8946660640066599E-3</v>
      </c>
      <c r="G51">
        <v>0.324202599168746</v>
      </c>
      <c r="H51" t="s">
        <v>13293</v>
      </c>
    </row>
    <row r="52" spans="1:8" x14ac:dyDescent="0.25">
      <c r="A52" t="s">
        <v>10747</v>
      </c>
      <c r="B52" t="str">
        <f>HYPERLINK("http://amigo.geneontology.org/cgi-bin/amigo/term-details.cgi?term=GO:0048527","GO:0048527")</f>
        <v>GO:0048527</v>
      </c>
      <c r="C52" t="s">
        <v>13294</v>
      </c>
      <c r="D52">
        <v>46</v>
      </c>
      <c r="E52">
        <v>3</v>
      </c>
      <c r="F52">
        <v>3.2189154745958298E-3</v>
      </c>
      <c r="G52">
        <v>0.354080702205541</v>
      </c>
      <c r="H52" t="s">
        <v>10507</v>
      </c>
    </row>
    <row r="53" spans="1:8" x14ac:dyDescent="0.25">
      <c r="A53" t="s">
        <v>10754</v>
      </c>
      <c r="B53" t="str">
        <f>HYPERLINK("http://amigo.geneontology.org/cgi-bin/amigo/term-details.cgi?term=GO:0015772","GO:0015772")</f>
        <v>GO:0015772</v>
      </c>
      <c r="C53" t="s">
        <v>13295</v>
      </c>
      <c r="D53">
        <v>14</v>
      </c>
      <c r="E53">
        <v>2</v>
      </c>
      <c r="F53">
        <v>3.5307862624714501E-3</v>
      </c>
      <c r="G53">
        <v>0.37779413008444501</v>
      </c>
      <c r="H53" t="s">
        <v>13296</v>
      </c>
    </row>
    <row r="54" spans="1:8" x14ac:dyDescent="0.25">
      <c r="A54" t="s">
        <v>10758</v>
      </c>
      <c r="B54" t="str">
        <f>HYPERLINK("http://amigo.geneontology.org/cgi-bin/amigo/term-details.cgi?term=GO:0009698","GO:0009698")</f>
        <v>GO:0009698</v>
      </c>
      <c r="C54" t="s">
        <v>5618</v>
      </c>
      <c r="D54">
        <v>157</v>
      </c>
      <c r="E54">
        <v>5</v>
      </c>
      <c r="F54">
        <v>3.5308490578564501E-3</v>
      </c>
      <c r="G54">
        <v>0.370739151074927</v>
      </c>
      <c r="H54" t="s">
        <v>13297</v>
      </c>
    </row>
    <row r="55" spans="1:8" x14ac:dyDescent="0.25">
      <c r="A55" t="s">
        <v>10761</v>
      </c>
      <c r="B55" t="str">
        <f>HYPERLINK("http://amigo.geneontology.org/cgi-bin/amigo/term-details.cgi?term=GO:0009664","GO:0009664")</f>
        <v>GO:0009664</v>
      </c>
      <c r="C55" t="s">
        <v>538</v>
      </c>
      <c r="D55">
        <v>227</v>
      </c>
      <c r="E55">
        <v>6</v>
      </c>
      <c r="F55">
        <v>3.6086599190808602E-3</v>
      </c>
      <c r="G55">
        <v>0.36808331174624798</v>
      </c>
      <c r="H55" t="s">
        <v>13293</v>
      </c>
    </row>
    <row r="56" spans="1:8" x14ac:dyDescent="0.25">
      <c r="A56" t="s">
        <v>10762</v>
      </c>
      <c r="B56" t="str">
        <f>HYPERLINK("http://amigo.geneontology.org/cgi-bin/amigo/term-details.cgi?term=GO:0009765","GO:0009765")</f>
        <v>GO:0009765</v>
      </c>
      <c r="C56" t="s">
        <v>5979</v>
      </c>
      <c r="D56">
        <v>100</v>
      </c>
      <c r="E56">
        <v>4</v>
      </c>
      <c r="F56">
        <v>3.9972969788519804E-3</v>
      </c>
      <c r="G56">
        <v>0.39972969788519802</v>
      </c>
      <c r="H56" t="s">
        <v>13298</v>
      </c>
    </row>
    <row r="57" spans="1:8" x14ac:dyDescent="0.25">
      <c r="A57" t="s">
        <v>10765</v>
      </c>
      <c r="B57" t="str">
        <f>HYPERLINK("http://amigo.geneontology.org/cgi-bin/amigo/term-details.cgi?term=GO:0010876","GO:0010876")</f>
        <v>GO:0010876</v>
      </c>
      <c r="C57" t="s">
        <v>6676</v>
      </c>
      <c r="D57">
        <v>313</v>
      </c>
      <c r="E57">
        <v>7</v>
      </c>
      <c r="F57">
        <v>4.3089562617986497E-3</v>
      </c>
      <c r="G57">
        <v>0.42227771365626798</v>
      </c>
      <c r="H57" t="s">
        <v>13290</v>
      </c>
    </row>
    <row r="58" spans="1:8" x14ac:dyDescent="0.25">
      <c r="A58" t="s">
        <v>10768</v>
      </c>
      <c r="B58" t="str">
        <f>HYPERLINK("http://amigo.geneontology.org/cgi-bin/amigo/term-details.cgi?term=GO:0023052","GO:0023052")</f>
        <v>GO:0023052</v>
      </c>
      <c r="C58" t="s">
        <v>13299</v>
      </c>
      <c r="D58">
        <v>783</v>
      </c>
      <c r="E58">
        <v>12</v>
      </c>
      <c r="F58">
        <v>5.1162520004116299E-3</v>
      </c>
      <c r="G58">
        <v>0.491160192039517</v>
      </c>
      <c r="H58" t="s">
        <v>13300</v>
      </c>
    </row>
    <row r="59" spans="1:8" x14ac:dyDescent="0.25">
      <c r="A59" t="s">
        <v>10769</v>
      </c>
      <c r="B59" t="str">
        <f>HYPERLINK("http://amigo.geneontology.org/cgi-bin/amigo/term-details.cgi?term=GO:0050789","GO:0050789")</f>
        <v>GO:0050789</v>
      </c>
      <c r="C59" t="s">
        <v>6858</v>
      </c>
      <c r="D59">
        <v>1649</v>
      </c>
      <c r="E59">
        <v>20</v>
      </c>
      <c r="F59">
        <v>5.3890422636628799E-3</v>
      </c>
      <c r="G59">
        <v>0.50656997278431004</v>
      </c>
      <c r="H59" t="s">
        <v>13301</v>
      </c>
    </row>
    <row r="60" spans="1:8" x14ac:dyDescent="0.25">
      <c r="A60" t="s">
        <v>10786</v>
      </c>
      <c r="B60" t="str">
        <f>HYPERLINK("http://amigo.geneontology.org/cgi-bin/amigo/term-details.cgi?term=GO:0009813","GO:0009813")</f>
        <v>GO:0009813</v>
      </c>
      <c r="C60" t="s">
        <v>13302</v>
      </c>
      <c r="D60">
        <v>57</v>
      </c>
      <c r="E60">
        <v>3</v>
      </c>
      <c r="F60">
        <v>5.8915339715560101E-3</v>
      </c>
      <c r="G60">
        <v>0.54202112538315295</v>
      </c>
      <c r="H60" t="s">
        <v>13303</v>
      </c>
    </row>
    <row r="61" spans="1:8" x14ac:dyDescent="0.25">
      <c r="A61" t="s">
        <v>10819</v>
      </c>
      <c r="B61" t="str">
        <f>HYPERLINK("http://amigo.geneontology.org/cgi-bin/amigo/term-details.cgi?term=GO:0009145","GO:0009145")</f>
        <v>GO:0009145</v>
      </c>
      <c r="C61" t="s">
        <v>1359</v>
      </c>
      <c r="D61">
        <v>58</v>
      </c>
      <c r="E61">
        <v>3</v>
      </c>
      <c r="F61">
        <v>6.18377661844614E-3</v>
      </c>
      <c r="G61">
        <v>0.54417234242325996</v>
      </c>
      <c r="H61" t="s">
        <v>13304</v>
      </c>
    </row>
    <row r="62" spans="1:8" x14ac:dyDescent="0.25">
      <c r="A62" t="s">
        <v>10835</v>
      </c>
      <c r="B62" t="str">
        <f>HYPERLINK("http://amigo.geneontology.org/cgi-bin/amigo/term-details.cgi?term=GO:0009201","GO:0009201")</f>
        <v>GO:0009201</v>
      </c>
      <c r="C62" t="s">
        <v>1515</v>
      </c>
      <c r="D62">
        <v>58</v>
      </c>
      <c r="E62">
        <v>3</v>
      </c>
      <c r="F62">
        <v>6.18377661844614E-3</v>
      </c>
      <c r="G62">
        <v>0.55653989566015305</v>
      </c>
      <c r="H62" t="s">
        <v>13304</v>
      </c>
    </row>
    <row r="63" spans="1:8" x14ac:dyDescent="0.25">
      <c r="A63" t="s">
        <v>8212</v>
      </c>
      <c r="B63" t="str">
        <f>HYPERLINK("http://amigo.geneontology.org/cgi-bin/amigo/term-details.cgi?term=GO:0034975","GO:0034975")</f>
        <v>GO:0034975</v>
      </c>
      <c r="C63" t="s">
        <v>10713</v>
      </c>
      <c r="D63">
        <v>1</v>
      </c>
      <c r="E63">
        <v>1</v>
      </c>
      <c r="F63">
        <v>6.3960352365619397E-3</v>
      </c>
      <c r="G63">
        <v>0.50528678368839297</v>
      </c>
      <c r="H63" t="s">
        <v>10714</v>
      </c>
    </row>
    <row r="64" spans="1:8" x14ac:dyDescent="0.25">
      <c r="A64" t="s">
        <v>10837</v>
      </c>
      <c r="B64" t="str">
        <f>HYPERLINK("http://amigo.geneontology.org/cgi-bin/amigo/term-details.cgi?term=GO:0010654","GO:0010654")</f>
        <v>GO:0010654</v>
      </c>
      <c r="C64" t="s">
        <v>10721</v>
      </c>
      <c r="D64">
        <v>1</v>
      </c>
      <c r="E64">
        <v>1</v>
      </c>
      <c r="F64">
        <v>6.3960352365619397E-3</v>
      </c>
      <c r="G64">
        <v>0.51168281892495504</v>
      </c>
      <c r="H64" t="s">
        <v>10722</v>
      </c>
    </row>
    <row r="65" spans="1:8" x14ac:dyDescent="0.25">
      <c r="A65" t="s">
        <v>8957</v>
      </c>
      <c r="B65" t="str">
        <f>HYPERLINK("http://amigo.geneontology.org/cgi-bin/amigo/term-details.cgi?term=GO:0090451","GO:0090451")</f>
        <v>GO:0090451</v>
      </c>
      <c r="C65" t="s">
        <v>10724</v>
      </c>
      <c r="D65">
        <v>1</v>
      </c>
      <c r="E65">
        <v>1</v>
      </c>
      <c r="F65">
        <v>6.3960352365619397E-3</v>
      </c>
      <c r="G65">
        <v>0.52447488939807896</v>
      </c>
      <c r="H65" t="s">
        <v>10722</v>
      </c>
    </row>
    <row r="66" spans="1:8" x14ac:dyDescent="0.25">
      <c r="A66" t="s">
        <v>8219</v>
      </c>
      <c r="B66" t="str">
        <f>HYPERLINK("http://amigo.geneontology.org/cgi-bin/amigo/term-details.cgi?term=GO:0060148","GO:0060148")</f>
        <v>GO:0060148</v>
      </c>
      <c r="C66" t="s">
        <v>13305</v>
      </c>
      <c r="D66">
        <v>1</v>
      </c>
      <c r="E66">
        <v>1</v>
      </c>
      <c r="F66">
        <v>6.3960352365619397E-3</v>
      </c>
      <c r="G66">
        <v>0.53087092463464103</v>
      </c>
      <c r="H66" t="s">
        <v>10727</v>
      </c>
    </row>
    <row r="67" spans="1:8" x14ac:dyDescent="0.25">
      <c r="A67" t="s">
        <v>10853</v>
      </c>
      <c r="B67" t="str">
        <f>HYPERLINK("http://amigo.geneontology.org/cgi-bin/amigo/term-details.cgi?term=GO:1900370","GO:1900370")</f>
        <v>GO:1900370</v>
      </c>
      <c r="C67" t="s">
        <v>10726</v>
      </c>
      <c r="D67">
        <v>1</v>
      </c>
      <c r="E67">
        <v>1</v>
      </c>
      <c r="F67">
        <v>6.3960352365619397E-3</v>
      </c>
      <c r="G67">
        <v>0.54366299510776495</v>
      </c>
      <c r="H67" t="s">
        <v>10727</v>
      </c>
    </row>
    <row r="68" spans="1:8" x14ac:dyDescent="0.25">
      <c r="A68" t="s">
        <v>8971</v>
      </c>
      <c r="B68" t="str">
        <f>HYPERLINK("http://amigo.geneontology.org/cgi-bin/amigo/term-details.cgi?term=GO:1903705","GO:1903705")</f>
        <v>GO:1903705</v>
      </c>
      <c r="C68" t="s">
        <v>10729</v>
      </c>
      <c r="D68">
        <v>1</v>
      </c>
      <c r="E68">
        <v>1</v>
      </c>
      <c r="F68">
        <v>6.3960352365619397E-3</v>
      </c>
      <c r="G68">
        <v>0.55005903034432702</v>
      </c>
      <c r="H68" t="s">
        <v>10727</v>
      </c>
    </row>
    <row r="69" spans="1:8" x14ac:dyDescent="0.25">
      <c r="A69" t="s">
        <v>10858</v>
      </c>
      <c r="B69" t="str">
        <f>HYPERLINK("http://amigo.geneontology.org/cgi-bin/amigo/term-details.cgi?term=GO:0015766","GO:0015766")</f>
        <v>GO:0015766</v>
      </c>
      <c r="C69" t="s">
        <v>13306</v>
      </c>
      <c r="D69">
        <v>19</v>
      </c>
      <c r="E69">
        <v>2</v>
      </c>
      <c r="F69">
        <v>6.4961028046168602E-3</v>
      </c>
      <c r="G69">
        <v>0.49370381315088102</v>
      </c>
      <c r="H69" t="s">
        <v>13296</v>
      </c>
    </row>
    <row r="70" spans="1:8" x14ac:dyDescent="0.25">
      <c r="A70" t="s">
        <v>10859</v>
      </c>
      <c r="B70" t="str">
        <f>HYPERLINK("http://amigo.geneontology.org/cgi-bin/amigo/term-details.cgi?term=GO:0015770","GO:0015770")</f>
        <v>GO:0015770</v>
      </c>
      <c r="C70" t="s">
        <v>13307</v>
      </c>
      <c r="D70">
        <v>19</v>
      </c>
      <c r="E70">
        <v>2</v>
      </c>
      <c r="F70">
        <v>6.4961028046168602E-3</v>
      </c>
      <c r="G70">
        <v>0.50019991595549795</v>
      </c>
      <c r="H70" t="s">
        <v>13296</v>
      </c>
    </row>
    <row r="71" spans="1:8" x14ac:dyDescent="0.25">
      <c r="A71" t="s">
        <v>10863</v>
      </c>
      <c r="B71" t="str">
        <f>HYPERLINK("http://amigo.geneontology.org/cgi-bin/amigo/term-details.cgi?term=GO:0009812","GO:0009812")</f>
        <v>GO:0009812</v>
      </c>
      <c r="C71" t="s">
        <v>13308</v>
      </c>
      <c r="D71">
        <v>61</v>
      </c>
      <c r="E71">
        <v>3</v>
      </c>
      <c r="F71">
        <v>7.1118145312379999E-3</v>
      </c>
      <c r="G71">
        <v>0.53338608984284996</v>
      </c>
      <c r="H71" t="s">
        <v>13303</v>
      </c>
    </row>
    <row r="72" spans="1:8" x14ac:dyDescent="0.25">
      <c r="A72" t="s">
        <v>9570</v>
      </c>
      <c r="B72" t="str">
        <f>HYPERLINK("http://amigo.geneontology.org/cgi-bin/amigo/term-details.cgi?term=GO:0000160","GO:0000160")</f>
        <v>GO:0000160</v>
      </c>
      <c r="C72" t="s">
        <v>10404</v>
      </c>
      <c r="D72">
        <v>346</v>
      </c>
      <c r="E72">
        <v>7</v>
      </c>
      <c r="F72">
        <v>7.3279787538969802E-3</v>
      </c>
      <c r="G72">
        <v>0.54227042778837597</v>
      </c>
      <c r="H72" t="s">
        <v>13309</v>
      </c>
    </row>
    <row r="73" spans="1:8" x14ac:dyDescent="0.25">
      <c r="A73" t="s">
        <v>10865</v>
      </c>
      <c r="B73" t="str">
        <f>HYPERLINK("http://amigo.geneontology.org/cgi-bin/amigo/term-details.cgi?term=GO:0042493","GO:0042493")</f>
        <v>GO:0042493</v>
      </c>
      <c r="C73" t="s">
        <v>9018</v>
      </c>
      <c r="D73">
        <v>435</v>
      </c>
      <c r="E73">
        <v>8</v>
      </c>
      <c r="F73">
        <v>7.4489818151375897E-3</v>
      </c>
      <c r="G73">
        <v>0.53632669068990602</v>
      </c>
      <c r="H73" t="s">
        <v>13284</v>
      </c>
    </row>
    <row r="74" spans="1:8" x14ac:dyDescent="0.25">
      <c r="A74" t="s">
        <v>10866</v>
      </c>
      <c r="B74" t="str">
        <f>HYPERLINK("http://amigo.geneontology.org/cgi-bin/amigo/term-details.cgi?term=GO:0009718","GO:0009718")</f>
        <v>GO:0009718</v>
      </c>
      <c r="C74" t="s">
        <v>13310</v>
      </c>
      <c r="D74">
        <v>21</v>
      </c>
      <c r="E74">
        <v>2</v>
      </c>
      <c r="F74">
        <v>7.9106769346624396E-3</v>
      </c>
      <c r="G74">
        <v>0.54583670849170796</v>
      </c>
      <c r="H74" t="s">
        <v>13311</v>
      </c>
    </row>
    <row r="75" spans="1:8" x14ac:dyDescent="0.25">
      <c r="A75" t="s">
        <v>10868</v>
      </c>
      <c r="B75" t="str">
        <f>HYPERLINK("http://amigo.geneontology.org/cgi-bin/amigo/term-details.cgi?term=GO:0071368","GO:0071368")</f>
        <v>GO:0071368</v>
      </c>
      <c r="C75" t="s">
        <v>13312</v>
      </c>
      <c r="D75">
        <v>21</v>
      </c>
      <c r="E75">
        <v>2</v>
      </c>
      <c r="F75">
        <v>7.9106769346624396E-3</v>
      </c>
      <c r="G75">
        <v>0.55374738542637103</v>
      </c>
      <c r="H75" t="s">
        <v>13313</v>
      </c>
    </row>
    <row r="76" spans="1:8" x14ac:dyDescent="0.25">
      <c r="A76" t="s">
        <v>10869</v>
      </c>
      <c r="B76" t="str">
        <f>HYPERLINK("http://amigo.geneontology.org/cgi-bin/amigo/term-details.cgi?term=GO:0009736","GO:0009736")</f>
        <v>GO:0009736</v>
      </c>
      <c r="C76" t="s">
        <v>13314</v>
      </c>
      <c r="D76">
        <v>21</v>
      </c>
      <c r="E76">
        <v>2</v>
      </c>
      <c r="F76">
        <v>7.9106769346624396E-3</v>
      </c>
      <c r="G76">
        <v>0.56165806236103299</v>
      </c>
      <c r="H76" t="s">
        <v>13313</v>
      </c>
    </row>
    <row r="77" spans="1:8" x14ac:dyDescent="0.25">
      <c r="A77" t="s">
        <v>10872</v>
      </c>
      <c r="B77" t="str">
        <f>HYPERLINK("http://amigo.geneontology.org/cgi-bin/amigo/term-details.cgi?term=GO:0009127","GO:0009127")</f>
        <v>GO:0009127</v>
      </c>
      <c r="C77" t="s">
        <v>13315</v>
      </c>
      <c r="D77">
        <v>65</v>
      </c>
      <c r="E77">
        <v>3</v>
      </c>
      <c r="F77">
        <v>8.4710389682376899E-3</v>
      </c>
      <c r="G77">
        <v>0.57603064984016294</v>
      </c>
      <c r="H77" t="s">
        <v>13304</v>
      </c>
    </row>
    <row r="78" spans="1:8" x14ac:dyDescent="0.25">
      <c r="A78" t="s">
        <v>10877</v>
      </c>
      <c r="B78" t="str">
        <f>HYPERLINK("http://amigo.geneontology.org/cgi-bin/amigo/term-details.cgi?term=GO:0050832","GO:0050832")</f>
        <v>GO:0050832</v>
      </c>
      <c r="C78" t="s">
        <v>6776</v>
      </c>
      <c r="D78">
        <v>202</v>
      </c>
      <c r="E78">
        <v>5</v>
      </c>
      <c r="F78">
        <v>1.0019133856420399E-2</v>
      </c>
      <c r="G78">
        <v>0.67128196838016896</v>
      </c>
      <c r="H78" t="s">
        <v>13316</v>
      </c>
    </row>
    <row r="79" spans="1:8" x14ac:dyDescent="0.25">
      <c r="A79" t="s">
        <v>7134</v>
      </c>
      <c r="B79" t="str">
        <f>HYPERLINK("http://amigo.geneontology.org/cgi-bin/amigo/term-details.cgi?term=GO:0050794","GO:0050794")</f>
        <v>GO:0050794</v>
      </c>
      <c r="C79" t="s">
        <v>6855</v>
      </c>
      <c r="D79">
        <v>1764</v>
      </c>
      <c r="E79">
        <v>20</v>
      </c>
      <c r="F79">
        <v>1.0784853516610101E-2</v>
      </c>
      <c r="G79">
        <v>0.71180033209626703</v>
      </c>
      <c r="H79" t="s">
        <v>13317</v>
      </c>
    </row>
    <row r="80" spans="1:8" x14ac:dyDescent="0.25">
      <c r="A80" t="s">
        <v>10885</v>
      </c>
      <c r="B80" t="str">
        <f>HYPERLINK("http://amigo.geneontology.org/cgi-bin/amigo/term-details.cgi?term=GO:0046148","GO:0046148")</f>
        <v>GO:0046148</v>
      </c>
      <c r="C80" t="s">
        <v>13318</v>
      </c>
      <c r="D80">
        <v>291</v>
      </c>
      <c r="E80">
        <v>6</v>
      </c>
      <c r="F80">
        <v>1.1602296726612501E-2</v>
      </c>
      <c r="G80">
        <v>0.754149287229814</v>
      </c>
      <c r="H80" t="s">
        <v>13319</v>
      </c>
    </row>
    <row r="81" spans="1:8" x14ac:dyDescent="0.25">
      <c r="A81" t="s">
        <v>10886</v>
      </c>
      <c r="B81" t="str">
        <f>HYPERLINK("http://amigo.geneontology.org/cgi-bin/amigo/term-details.cgi?term=GO:0016110","GO:0016110")</f>
        <v>GO:0016110</v>
      </c>
      <c r="C81" t="s">
        <v>10787</v>
      </c>
      <c r="D81">
        <v>2</v>
      </c>
      <c r="E81">
        <v>1</v>
      </c>
      <c r="F81">
        <v>1.27512436571594E-2</v>
      </c>
      <c r="G81">
        <v>0.75232337577240604</v>
      </c>
      <c r="H81" t="s">
        <v>10717</v>
      </c>
    </row>
    <row r="82" spans="1:8" x14ac:dyDescent="0.25">
      <c r="A82" t="s">
        <v>10888</v>
      </c>
      <c r="B82" t="str">
        <f>HYPERLINK("http://amigo.geneontology.org/cgi-bin/amigo/term-details.cgi?term=GO:0016118","GO:0016118")</f>
        <v>GO:0016118</v>
      </c>
      <c r="C82" t="s">
        <v>10789</v>
      </c>
      <c r="D82">
        <v>2</v>
      </c>
      <c r="E82">
        <v>1</v>
      </c>
      <c r="F82">
        <v>1.27512436571594E-2</v>
      </c>
      <c r="G82">
        <v>0.76507461942956601</v>
      </c>
      <c r="H82" t="s">
        <v>10717</v>
      </c>
    </row>
    <row r="83" spans="1:8" x14ac:dyDescent="0.25">
      <c r="A83" t="s">
        <v>10897</v>
      </c>
      <c r="B83" t="str">
        <f>HYPERLINK("http://amigo.geneontology.org/cgi-bin/amigo/term-details.cgi?term=GO:0016124","GO:0016124")</f>
        <v>GO:0016124</v>
      </c>
      <c r="C83" t="s">
        <v>10791</v>
      </c>
      <c r="D83">
        <v>2</v>
      </c>
      <c r="E83">
        <v>1</v>
      </c>
      <c r="F83">
        <v>1.27512436571594E-2</v>
      </c>
      <c r="G83">
        <v>0.77782586308672497</v>
      </c>
      <c r="H83" t="s">
        <v>10717</v>
      </c>
    </row>
    <row r="84" spans="1:8" x14ac:dyDescent="0.25">
      <c r="A84" t="s">
        <v>8696</v>
      </c>
      <c r="B84" t="str">
        <f>HYPERLINK("http://amigo.geneontology.org/cgi-bin/amigo/term-details.cgi?term=GO:0060964","GO:0060964")</f>
        <v>GO:0060964</v>
      </c>
      <c r="C84" t="s">
        <v>13320</v>
      </c>
      <c r="D84">
        <v>2</v>
      </c>
      <c r="E84">
        <v>1</v>
      </c>
      <c r="F84">
        <v>1.27512436571594E-2</v>
      </c>
      <c r="G84">
        <v>0.77782586308672497</v>
      </c>
      <c r="H84" t="s">
        <v>10727</v>
      </c>
    </row>
    <row r="85" spans="1:8" x14ac:dyDescent="0.25">
      <c r="A85" t="s">
        <v>10912</v>
      </c>
      <c r="B85" t="str">
        <f>HYPERLINK("http://amigo.geneontology.org/cgi-bin/amigo/term-details.cgi?term=GO:0071076","GO:0071076")</f>
        <v>GO:0071076</v>
      </c>
      <c r="C85" t="s">
        <v>10804</v>
      </c>
      <c r="D85">
        <v>2</v>
      </c>
      <c r="E85">
        <v>1</v>
      </c>
      <c r="F85">
        <v>1.27512436571594E-2</v>
      </c>
      <c r="G85">
        <v>0.79057710674388404</v>
      </c>
      <c r="H85" t="s">
        <v>10727</v>
      </c>
    </row>
    <row r="86" spans="1:8" x14ac:dyDescent="0.25">
      <c r="A86" t="s">
        <v>10918</v>
      </c>
      <c r="B86" t="str">
        <f>HYPERLINK("http://amigo.geneontology.org/cgi-bin/amigo/term-details.cgi?term=GO:1900368","GO:1900368")</f>
        <v>GO:1900368</v>
      </c>
      <c r="C86" t="s">
        <v>10806</v>
      </c>
      <c r="D86">
        <v>2</v>
      </c>
      <c r="E86">
        <v>1</v>
      </c>
      <c r="F86">
        <v>1.27512436571594E-2</v>
      </c>
      <c r="G86">
        <v>0.803328350401044</v>
      </c>
      <c r="H86" t="s">
        <v>10727</v>
      </c>
    </row>
    <row r="87" spans="1:8" x14ac:dyDescent="0.25">
      <c r="A87" t="s">
        <v>7166</v>
      </c>
      <c r="B87" t="str">
        <f>HYPERLINK("http://amigo.geneontology.org/cgi-bin/amigo/term-details.cgi?term=GO:0090065","GO:0090065")</f>
        <v>GO:0090065</v>
      </c>
      <c r="C87" t="s">
        <v>10808</v>
      </c>
      <c r="D87">
        <v>2</v>
      </c>
      <c r="E87">
        <v>1</v>
      </c>
      <c r="F87">
        <v>1.27512436571594E-2</v>
      </c>
      <c r="G87">
        <v>0.81607959405820296</v>
      </c>
      <c r="H87" t="s">
        <v>10727</v>
      </c>
    </row>
    <row r="88" spans="1:8" x14ac:dyDescent="0.25">
      <c r="A88" t="s">
        <v>10932</v>
      </c>
      <c r="B88" t="str">
        <f>HYPERLINK("http://amigo.geneontology.org/cgi-bin/amigo/term-details.cgi?term=GO:0046283","GO:0046283")</f>
        <v>GO:0046283</v>
      </c>
      <c r="C88" t="s">
        <v>13321</v>
      </c>
      <c r="D88">
        <v>27</v>
      </c>
      <c r="E88">
        <v>2</v>
      </c>
      <c r="F88">
        <v>1.28925215567419E-2</v>
      </c>
      <c r="G88">
        <v>0.74776625029103105</v>
      </c>
      <c r="H88" t="s">
        <v>13311</v>
      </c>
    </row>
    <row r="89" spans="1:8" x14ac:dyDescent="0.25">
      <c r="A89" t="s">
        <v>10934</v>
      </c>
      <c r="B89" t="str">
        <f>HYPERLINK("http://amigo.geneontology.org/cgi-bin/amigo/term-details.cgi?term=GO:0009156","GO:0009156")</f>
        <v>GO:0009156</v>
      </c>
      <c r="C89" t="s">
        <v>13322</v>
      </c>
      <c r="D89">
        <v>77</v>
      </c>
      <c r="E89">
        <v>3</v>
      </c>
      <c r="F89">
        <v>1.3412232022510099E-2</v>
      </c>
      <c r="G89">
        <v>0.76449722528307795</v>
      </c>
      <c r="H89" t="s">
        <v>13304</v>
      </c>
    </row>
    <row r="90" spans="1:8" x14ac:dyDescent="0.25">
      <c r="A90" t="s">
        <v>10936</v>
      </c>
      <c r="B90" t="str">
        <f>HYPERLINK("http://amigo.geneontology.org/cgi-bin/amigo/term-details.cgi?term=GO:0090502","GO:0090502")</f>
        <v>GO:0090502</v>
      </c>
      <c r="C90" t="s">
        <v>9647</v>
      </c>
      <c r="D90">
        <v>78</v>
      </c>
      <c r="E90">
        <v>3</v>
      </c>
      <c r="F90">
        <v>1.38837984415527E-2</v>
      </c>
      <c r="G90">
        <v>0.79137651116850605</v>
      </c>
      <c r="H90" t="s">
        <v>13323</v>
      </c>
    </row>
    <row r="91" spans="1:8" x14ac:dyDescent="0.25">
      <c r="A91" t="s">
        <v>10938</v>
      </c>
      <c r="B91" t="str">
        <f>HYPERLINK("http://amigo.geneontology.org/cgi-bin/amigo/term-details.cgi?term=GO:0009607","GO:0009607")</f>
        <v>GO:0009607</v>
      </c>
      <c r="C91" t="s">
        <v>157</v>
      </c>
      <c r="D91">
        <v>144</v>
      </c>
      <c r="E91">
        <v>4</v>
      </c>
      <c r="F91">
        <v>1.4079369016952401E-2</v>
      </c>
      <c r="G91">
        <v>0.78844466494933496</v>
      </c>
      <c r="H91" t="s">
        <v>13324</v>
      </c>
    </row>
    <row r="92" spans="1:8" x14ac:dyDescent="0.25">
      <c r="A92" t="s">
        <v>10943</v>
      </c>
      <c r="B92" t="str">
        <f>HYPERLINK("http://amigo.geneontology.org/cgi-bin/amigo/term-details.cgi?term=GO:0048316","GO:0048316")</f>
        <v>GO:0048316</v>
      </c>
      <c r="C92" t="s">
        <v>13325</v>
      </c>
      <c r="D92">
        <v>395</v>
      </c>
      <c r="E92">
        <v>7</v>
      </c>
      <c r="F92">
        <v>1.4363576507501001E-2</v>
      </c>
      <c r="G92">
        <v>0.78999670791255805</v>
      </c>
      <c r="H92" t="s">
        <v>13326</v>
      </c>
    </row>
    <row r="93" spans="1:8" x14ac:dyDescent="0.25">
      <c r="A93" t="s">
        <v>10947</v>
      </c>
      <c r="B93" t="str">
        <f>HYPERLINK("http://amigo.geneontology.org/cgi-bin/amigo/term-details.cgi?term=GO:0017144","GO:0017144")</f>
        <v>GO:0017144</v>
      </c>
      <c r="C93" t="s">
        <v>4310</v>
      </c>
      <c r="D93">
        <v>903</v>
      </c>
      <c r="E93">
        <v>12</v>
      </c>
      <c r="F93">
        <v>1.4626114051762E-2</v>
      </c>
      <c r="G93">
        <v>0.80443627284691299</v>
      </c>
      <c r="H93" t="s">
        <v>13327</v>
      </c>
    </row>
    <row r="94" spans="1:8" x14ac:dyDescent="0.25">
      <c r="A94" t="s">
        <v>9020</v>
      </c>
      <c r="B94" t="str">
        <f>HYPERLINK("http://amigo.geneontology.org/cgi-bin/amigo/term-details.cgi?term=GO:0006344","GO:0006344")</f>
        <v>GO:0006344</v>
      </c>
      <c r="C94" t="s">
        <v>13328</v>
      </c>
      <c r="D94">
        <v>3</v>
      </c>
      <c r="E94">
        <v>1</v>
      </c>
      <c r="F94">
        <v>1.9065885338810599E-2</v>
      </c>
      <c r="G94">
        <v>0.93422838160172395</v>
      </c>
      <c r="H94" t="s">
        <v>11668</v>
      </c>
    </row>
    <row r="95" spans="1:8" x14ac:dyDescent="0.25">
      <c r="A95" t="s">
        <v>9591</v>
      </c>
      <c r="B95" t="str">
        <f>HYPERLINK("http://amigo.geneontology.org/cgi-bin/amigo/term-details.cgi?term=GO:0032197","GO:0032197")</f>
        <v>GO:0032197</v>
      </c>
      <c r="C95" t="s">
        <v>13329</v>
      </c>
      <c r="D95">
        <v>3</v>
      </c>
      <c r="E95">
        <v>1</v>
      </c>
      <c r="F95">
        <v>1.9065885338810599E-2</v>
      </c>
      <c r="G95">
        <v>0.93422838160172395</v>
      </c>
      <c r="H95" t="s">
        <v>11668</v>
      </c>
    </row>
    <row r="96" spans="1:8" x14ac:dyDescent="0.25">
      <c r="A96" t="s">
        <v>10954</v>
      </c>
      <c r="B96" t="str">
        <f>HYPERLINK("http://amigo.geneontology.org/cgi-bin/amigo/term-details.cgi?term=GO:0090239","GO:0090239")</f>
        <v>GO:0090239</v>
      </c>
      <c r="C96" t="s">
        <v>13330</v>
      </c>
      <c r="D96">
        <v>3</v>
      </c>
      <c r="E96">
        <v>1</v>
      </c>
      <c r="F96">
        <v>1.9065885338810599E-2</v>
      </c>
      <c r="G96">
        <v>0.95329426694053399</v>
      </c>
      <c r="H96" t="s">
        <v>11668</v>
      </c>
    </row>
    <row r="97" spans="1:8" x14ac:dyDescent="0.25">
      <c r="A97" t="s">
        <v>10959</v>
      </c>
      <c r="B97" t="str">
        <f>HYPERLINK("http://amigo.geneontology.org/cgi-bin/amigo/term-details.cgi?term=GO:0090241","GO:0090241")</f>
        <v>GO:0090241</v>
      </c>
      <c r="C97" t="s">
        <v>13331</v>
      </c>
      <c r="D97">
        <v>3</v>
      </c>
      <c r="E97">
        <v>1</v>
      </c>
      <c r="F97">
        <v>1.9065885338810599E-2</v>
      </c>
      <c r="G97">
        <v>0.95329426694053399</v>
      </c>
      <c r="H97" t="s">
        <v>11668</v>
      </c>
    </row>
    <row r="98" spans="1:8" x14ac:dyDescent="0.25">
      <c r="A98" t="s">
        <v>10960</v>
      </c>
      <c r="B98" t="str">
        <f>HYPERLINK("http://amigo.geneontology.org/cgi-bin/amigo/term-details.cgi?term=GO:0045851","GO:0045851")</f>
        <v>GO:0045851</v>
      </c>
      <c r="C98" t="s">
        <v>13332</v>
      </c>
      <c r="D98">
        <v>3</v>
      </c>
      <c r="E98">
        <v>1</v>
      </c>
      <c r="F98">
        <v>1.9065885338810599E-2</v>
      </c>
      <c r="G98">
        <v>0.97236015227934502</v>
      </c>
      <c r="H98" t="s">
        <v>11846</v>
      </c>
    </row>
    <row r="99" spans="1:8" x14ac:dyDescent="0.25">
      <c r="A99" t="s">
        <v>9592</v>
      </c>
      <c r="B99" t="str">
        <f>HYPERLINK("http://amigo.geneontology.org/cgi-bin/amigo/term-details.cgi?term=GO:0051452","GO:0051452")</f>
        <v>GO:0051452</v>
      </c>
      <c r="C99" t="s">
        <v>13333</v>
      </c>
      <c r="D99">
        <v>3</v>
      </c>
      <c r="E99">
        <v>1</v>
      </c>
      <c r="F99">
        <v>1.9065885338810599E-2</v>
      </c>
      <c r="G99">
        <v>0.97236015227934502</v>
      </c>
      <c r="H99" t="s">
        <v>11846</v>
      </c>
    </row>
    <row r="100" spans="1:8" x14ac:dyDescent="0.25">
      <c r="A100" t="s">
        <v>10964</v>
      </c>
      <c r="B100" t="str">
        <f>HYPERLINK("http://amigo.geneontology.org/cgi-bin/amigo/term-details.cgi?term=GO:0007035","GO:0007035")</f>
        <v>GO:0007035</v>
      </c>
      <c r="C100" t="s">
        <v>13334</v>
      </c>
      <c r="D100">
        <v>3</v>
      </c>
      <c r="E100">
        <v>1</v>
      </c>
      <c r="F100">
        <v>1.9065885338810599E-2</v>
      </c>
      <c r="G100">
        <v>0.99142603761815595</v>
      </c>
      <c r="H100" t="s">
        <v>11846</v>
      </c>
    </row>
    <row r="101" spans="1:8" x14ac:dyDescent="0.25">
      <c r="A101" t="s">
        <v>9595</v>
      </c>
      <c r="B101" t="str">
        <f>HYPERLINK("http://amigo.geneontology.org/cgi-bin/amigo/term-details.cgi?term=GO:0046247","GO:0046247")</f>
        <v>GO:0046247</v>
      </c>
      <c r="C101" t="s">
        <v>13335</v>
      </c>
      <c r="D101">
        <v>3</v>
      </c>
      <c r="E101">
        <v>1</v>
      </c>
      <c r="F101">
        <v>1.9065885338810599E-2</v>
      </c>
      <c r="G101">
        <v>1</v>
      </c>
      <c r="H101" t="s">
        <v>10717</v>
      </c>
    </row>
    <row r="102" spans="1:8" x14ac:dyDescent="0.25">
      <c r="A102" t="s">
        <v>9597</v>
      </c>
      <c r="B102" t="str">
        <f>HYPERLINK("http://amigo.geneontology.org/cgi-bin/amigo/term-details.cgi?term=GO:0016121","GO:0016121")</f>
        <v>GO:0016121</v>
      </c>
      <c r="C102" t="s">
        <v>13336</v>
      </c>
      <c r="D102">
        <v>3</v>
      </c>
      <c r="E102">
        <v>1</v>
      </c>
      <c r="F102">
        <v>1.9065885338810599E-2</v>
      </c>
      <c r="G102">
        <v>1</v>
      </c>
      <c r="H102" t="s">
        <v>10717</v>
      </c>
    </row>
    <row r="103" spans="1:8" x14ac:dyDescent="0.25">
      <c r="A103" t="s">
        <v>10969</v>
      </c>
      <c r="B103" t="str">
        <f>HYPERLINK("http://amigo.geneontology.org/cgi-bin/amigo/term-details.cgi?term=GO:0070920","GO:0070920")</f>
        <v>GO:0070920</v>
      </c>
      <c r="C103" t="s">
        <v>13337</v>
      </c>
      <c r="D103">
        <v>3</v>
      </c>
      <c r="E103">
        <v>1</v>
      </c>
      <c r="F103">
        <v>1.9065885338810599E-2</v>
      </c>
      <c r="G103">
        <v>1</v>
      </c>
      <c r="H103" t="s">
        <v>10727</v>
      </c>
    </row>
    <row r="104" spans="1:8" x14ac:dyDescent="0.25">
      <c r="A104" t="s">
        <v>9041</v>
      </c>
      <c r="B104" t="str">
        <f>HYPERLINK("http://amigo.geneontology.org/cgi-bin/amigo/term-details.cgi?term=GO:0003333","GO:0003333")</f>
        <v>GO:0003333</v>
      </c>
      <c r="C104" t="s">
        <v>5142</v>
      </c>
      <c r="D104">
        <v>89</v>
      </c>
      <c r="E104">
        <v>3</v>
      </c>
      <c r="F104">
        <v>1.96906685733148E-2</v>
      </c>
      <c r="G104">
        <v>0.94515209151911095</v>
      </c>
      <c r="H104" t="s">
        <v>13338</v>
      </c>
    </row>
    <row r="105" spans="1:8" x14ac:dyDescent="0.25">
      <c r="A105" t="s">
        <v>10971</v>
      </c>
      <c r="B105" t="str">
        <f>HYPERLINK("http://amigo.geneontology.org/cgi-bin/amigo/term-details.cgi?term=GO:0018298","GO:0018298")</f>
        <v>GO:0018298</v>
      </c>
      <c r="C105" t="s">
        <v>1300</v>
      </c>
      <c r="D105">
        <v>90</v>
      </c>
      <c r="E105">
        <v>3</v>
      </c>
      <c r="F105">
        <v>2.0275241908754699E-2</v>
      </c>
      <c r="G105">
        <v>0.97321161162022696</v>
      </c>
      <c r="H105" t="s">
        <v>13339</v>
      </c>
    </row>
    <row r="106" spans="1:8" x14ac:dyDescent="0.25">
      <c r="A106" t="s">
        <v>10978</v>
      </c>
      <c r="B106" t="str">
        <f>HYPERLINK("http://amigo.geneontology.org/cgi-bin/amigo/term-details.cgi?term=GO:0030417","GO:0030417")</f>
        <v>GO:0030417</v>
      </c>
      <c r="C106" t="s">
        <v>10653</v>
      </c>
      <c r="D106">
        <v>35</v>
      </c>
      <c r="E106">
        <v>2</v>
      </c>
      <c r="F106">
        <v>2.1134163464432199E-2</v>
      </c>
      <c r="G106">
        <v>0.97217151936388202</v>
      </c>
      <c r="H106" t="s">
        <v>13340</v>
      </c>
    </row>
    <row r="107" spans="1:8" x14ac:dyDescent="0.25">
      <c r="A107" t="s">
        <v>10982</v>
      </c>
      <c r="B107" t="str">
        <f>HYPERLINK("http://amigo.geneontology.org/cgi-bin/amigo/term-details.cgi?term=GO:0072351","GO:0072351")</f>
        <v>GO:0072351</v>
      </c>
      <c r="C107" t="s">
        <v>10655</v>
      </c>
      <c r="D107">
        <v>35</v>
      </c>
      <c r="E107">
        <v>2</v>
      </c>
      <c r="F107">
        <v>2.1134163464432199E-2</v>
      </c>
      <c r="G107">
        <v>0.993305682828314</v>
      </c>
      <c r="H107" t="s">
        <v>13340</v>
      </c>
    </row>
    <row r="108" spans="1:8" x14ac:dyDescent="0.25">
      <c r="A108" t="s">
        <v>10983</v>
      </c>
      <c r="B108" t="str">
        <f>HYPERLINK("http://amigo.geneontology.org/cgi-bin/amigo/term-details.cgi?term=GO:0030418","GO:0030418")</f>
        <v>GO:0030418</v>
      </c>
      <c r="C108" t="s">
        <v>10656</v>
      </c>
      <c r="D108">
        <v>35</v>
      </c>
      <c r="E108">
        <v>2</v>
      </c>
      <c r="F108">
        <v>2.1134163464432199E-2</v>
      </c>
      <c r="G108">
        <v>0.993305682828314</v>
      </c>
      <c r="H108" t="s">
        <v>13340</v>
      </c>
    </row>
    <row r="109" spans="1:8" x14ac:dyDescent="0.25">
      <c r="A109" t="s">
        <v>10985</v>
      </c>
      <c r="B109" t="str">
        <f>HYPERLINK("http://amigo.geneontology.org/cgi-bin/amigo/term-details.cgi?term=GO:0009987","GO:0009987")</f>
        <v>GO:0009987</v>
      </c>
      <c r="C109" t="s">
        <v>13341</v>
      </c>
      <c r="D109">
        <v>5436</v>
      </c>
      <c r="E109">
        <v>47</v>
      </c>
      <c r="F109">
        <v>2.2755531951432099E-2</v>
      </c>
      <c r="G109">
        <v>1</v>
      </c>
      <c r="H109" t="s">
        <v>13342</v>
      </c>
    </row>
    <row r="110" spans="1:8" x14ac:dyDescent="0.25">
      <c r="A110" t="s">
        <v>10987</v>
      </c>
      <c r="B110" t="str">
        <f>HYPERLINK("http://amigo.geneontology.org/cgi-bin/amigo/term-details.cgi?term=GO:1903825","GO:1903825")</f>
        <v>GO:1903825</v>
      </c>
      <c r="C110" t="s">
        <v>5180</v>
      </c>
      <c r="D110">
        <v>98</v>
      </c>
      <c r="E110">
        <v>3</v>
      </c>
      <c r="F110">
        <v>2.52932132112819E-2</v>
      </c>
      <c r="G110">
        <v>1</v>
      </c>
      <c r="H110" t="s">
        <v>13338</v>
      </c>
    </row>
    <row r="111" spans="1:8" x14ac:dyDescent="0.25">
      <c r="A111" t="s">
        <v>10990</v>
      </c>
      <c r="B111" t="str">
        <f>HYPERLINK("http://amigo.geneontology.org/cgi-bin/amigo/term-details.cgi?term=GO:0031058","GO:0031058")</f>
        <v>GO:0031058</v>
      </c>
      <c r="C111" t="s">
        <v>13343</v>
      </c>
      <c r="D111">
        <v>4</v>
      </c>
      <c r="E111">
        <v>1</v>
      </c>
      <c r="F111">
        <v>2.5340218705224699E-2</v>
      </c>
      <c r="G111">
        <v>1</v>
      </c>
      <c r="H111" t="s">
        <v>11668</v>
      </c>
    </row>
    <row r="112" spans="1:8" x14ac:dyDescent="0.25">
      <c r="A112" t="s">
        <v>10995</v>
      </c>
      <c r="B112" t="str">
        <f>HYPERLINK("http://amigo.geneontology.org/cgi-bin/amigo/term-details.cgi?term=GO:0016115","GO:0016115")</f>
        <v>GO:0016115</v>
      </c>
      <c r="C112" t="s">
        <v>13344</v>
      </c>
      <c r="D112">
        <v>4</v>
      </c>
      <c r="E112">
        <v>1</v>
      </c>
      <c r="F112">
        <v>2.5340218705224699E-2</v>
      </c>
      <c r="G112">
        <v>1</v>
      </c>
      <c r="H112" t="s">
        <v>10717</v>
      </c>
    </row>
    <row r="113" spans="1:8" x14ac:dyDescent="0.25">
      <c r="A113" t="s">
        <v>11002</v>
      </c>
      <c r="B113" t="str">
        <f>HYPERLINK("http://amigo.geneontology.org/cgi-bin/amigo/term-details.cgi?term=GO:0008300","GO:0008300")</f>
        <v>GO:0008300</v>
      </c>
      <c r="C113" t="s">
        <v>13345</v>
      </c>
      <c r="D113">
        <v>4</v>
      </c>
      <c r="E113">
        <v>1</v>
      </c>
      <c r="F113">
        <v>2.5340218705224699E-2</v>
      </c>
      <c r="G113">
        <v>1</v>
      </c>
      <c r="H113" t="s">
        <v>10717</v>
      </c>
    </row>
    <row r="114" spans="1:8" x14ac:dyDescent="0.25">
      <c r="A114" t="s">
        <v>11003</v>
      </c>
      <c r="B114" t="str">
        <f>HYPERLINK("http://amigo.geneontology.org/cgi-bin/amigo/term-details.cgi?term=GO:0015942","GO:0015942")</f>
        <v>GO:0015942</v>
      </c>
      <c r="C114" t="s">
        <v>10578</v>
      </c>
      <c r="D114">
        <v>4</v>
      </c>
      <c r="E114">
        <v>1</v>
      </c>
      <c r="F114">
        <v>2.5340218705224699E-2</v>
      </c>
      <c r="G114">
        <v>1</v>
      </c>
      <c r="H114" t="s">
        <v>12675</v>
      </c>
    </row>
    <row r="115" spans="1:8" x14ac:dyDescent="0.25">
      <c r="A115" t="s">
        <v>11018</v>
      </c>
      <c r="B115" t="str">
        <f>HYPERLINK("http://amigo.geneontology.org/cgi-bin/amigo/term-details.cgi?term=GO:0042183","GO:0042183")</f>
        <v>GO:0042183</v>
      </c>
      <c r="C115" t="s">
        <v>10581</v>
      </c>
      <c r="D115">
        <v>4</v>
      </c>
      <c r="E115">
        <v>1</v>
      </c>
      <c r="F115">
        <v>2.5340218705224699E-2</v>
      </c>
      <c r="G115">
        <v>1</v>
      </c>
      <c r="H115" t="s">
        <v>12675</v>
      </c>
    </row>
    <row r="116" spans="1:8" x14ac:dyDescent="0.25">
      <c r="A116" t="s">
        <v>11021</v>
      </c>
      <c r="B116" t="str">
        <f>HYPERLINK("http://amigo.geneontology.org/cgi-bin/amigo/term-details.cgi?term=GO:0060147","GO:0060147")</f>
        <v>GO:0060147</v>
      </c>
      <c r="C116" t="s">
        <v>13346</v>
      </c>
      <c r="D116">
        <v>4</v>
      </c>
      <c r="E116">
        <v>1</v>
      </c>
      <c r="F116">
        <v>2.5340218705224699E-2</v>
      </c>
      <c r="G116">
        <v>1</v>
      </c>
      <c r="H116" t="s">
        <v>10727</v>
      </c>
    </row>
    <row r="117" spans="1:8" x14ac:dyDescent="0.25">
      <c r="A117" t="s">
        <v>11030</v>
      </c>
      <c r="B117" t="str">
        <f>HYPERLINK("http://amigo.geneontology.org/cgi-bin/amigo/term-details.cgi?term=GO:0060966","GO:0060966")</f>
        <v>GO:0060966</v>
      </c>
      <c r="C117" t="s">
        <v>13347</v>
      </c>
      <c r="D117">
        <v>4</v>
      </c>
      <c r="E117">
        <v>1</v>
      </c>
      <c r="F117">
        <v>2.5340218705224699E-2</v>
      </c>
      <c r="G117">
        <v>1</v>
      </c>
      <c r="H117" t="s">
        <v>10727</v>
      </c>
    </row>
    <row r="118" spans="1:8" x14ac:dyDescent="0.25">
      <c r="A118" t="s">
        <v>11036</v>
      </c>
      <c r="B118" t="str">
        <f>HYPERLINK("http://amigo.geneontology.org/cgi-bin/amigo/term-details.cgi?term=GO:0051254","GO:0051254")</f>
        <v>GO:0051254</v>
      </c>
      <c r="C118" t="s">
        <v>111</v>
      </c>
      <c r="D118">
        <v>4</v>
      </c>
      <c r="E118">
        <v>1</v>
      </c>
      <c r="F118">
        <v>2.5340218705224699E-2</v>
      </c>
      <c r="G118">
        <v>1</v>
      </c>
      <c r="H118" t="s">
        <v>10727</v>
      </c>
    </row>
    <row r="119" spans="1:8" x14ac:dyDescent="0.25">
      <c r="A119" t="s">
        <v>8711</v>
      </c>
      <c r="B119" t="str">
        <f>HYPERLINK("http://amigo.geneontology.org/cgi-bin/amigo/term-details.cgi?term=GO:0007165","GO:0007165")</f>
        <v>GO:0007165</v>
      </c>
      <c r="C119" t="s">
        <v>5347</v>
      </c>
      <c r="D119">
        <v>1452</v>
      </c>
      <c r="E119">
        <v>16</v>
      </c>
      <c r="F119">
        <v>2.6495515894966501E-2</v>
      </c>
      <c r="G119">
        <v>1</v>
      </c>
      <c r="H119" t="s">
        <v>13348</v>
      </c>
    </row>
    <row r="120" spans="1:8" x14ac:dyDescent="0.25">
      <c r="A120" t="s">
        <v>11043</v>
      </c>
      <c r="B120" t="str">
        <f>HYPERLINK("http://amigo.geneontology.org/cgi-bin/amigo/term-details.cgi?term=GO:0009620","GO:0009620")</f>
        <v>GO:0009620</v>
      </c>
      <c r="C120" t="s">
        <v>9055</v>
      </c>
      <c r="D120">
        <v>260</v>
      </c>
      <c r="E120">
        <v>5</v>
      </c>
      <c r="F120">
        <v>2.6631106171594001E-2</v>
      </c>
      <c r="G120">
        <v>1</v>
      </c>
      <c r="H120" t="s">
        <v>13316</v>
      </c>
    </row>
    <row r="121" spans="1:8" x14ac:dyDescent="0.25">
      <c r="A121" t="s">
        <v>11044</v>
      </c>
      <c r="B121" t="str">
        <f>HYPERLINK("http://amigo.geneontology.org/cgi-bin/amigo/term-details.cgi?term=GO:0010468","GO:0010468")</f>
        <v>GO:0010468</v>
      </c>
      <c r="C121" t="s">
        <v>6837</v>
      </c>
      <c r="D121">
        <v>4821</v>
      </c>
      <c r="E121">
        <v>42</v>
      </c>
      <c r="F121">
        <v>2.72948869463094E-2</v>
      </c>
      <c r="G121">
        <v>1</v>
      </c>
      <c r="H121" t="s">
        <v>13349</v>
      </c>
    </row>
    <row r="122" spans="1:8" x14ac:dyDescent="0.25">
      <c r="A122" t="s">
        <v>8785</v>
      </c>
      <c r="B122" t="str">
        <f>HYPERLINK("http://amigo.geneontology.org/cgi-bin/amigo/term-details.cgi?term=GO:0042440","GO:0042440")</f>
        <v>GO:0042440</v>
      </c>
      <c r="C122" t="s">
        <v>13350</v>
      </c>
      <c r="D122">
        <v>363</v>
      </c>
      <c r="E122">
        <v>6</v>
      </c>
      <c r="F122">
        <v>3.0342508071383199E-2</v>
      </c>
      <c r="G122">
        <v>1</v>
      </c>
      <c r="H122" t="s">
        <v>13319</v>
      </c>
    </row>
    <row r="123" spans="1:8" x14ac:dyDescent="0.25">
      <c r="A123" t="s">
        <v>11054</v>
      </c>
      <c r="B123" t="str">
        <f>HYPERLINK("http://amigo.geneontology.org/cgi-bin/amigo/term-details.cgi?term=GO:0090501","GO:0090501")</f>
        <v>GO:0090501</v>
      </c>
      <c r="C123" t="s">
        <v>9661</v>
      </c>
      <c r="D123">
        <v>106</v>
      </c>
      <c r="E123">
        <v>3</v>
      </c>
      <c r="F123">
        <v>3.0916703136051601E-2</v>
      </c>
      <c r="G123">
        <v>1</v>
      </c>
      <c r="H123" t="s">
        <v>13323</v>
      </c>
    </row>
    <row r="124" spans="1:8" x14ac:dyDescent="0.25">
      <c r="A124" t="s">
        <v>11055</v>
      </c>
      <c r="B124" t="str">
        <f>HYPERLINK("http://amigo.geneontology.org/cgi-bin/amigo/term-details.cgi?term=GO:0031062","GO:0031062")</f>
        <v>GO:0031062</v>
      </c>
      <c r="C124" t="s">
        <v>13351</v>
      </c>
      <c r="D124">
        <v>5</v>
      </c>
      <c r="E124">
        <v>1</v>
      </c>
      <c r="F124">
        <v>3.1574500537253899E-2</v>
      </c>
      <c r="G124">
        <v>1</v>
      </c>
      <c r="H124" t="s">
        <v>11668</v>
      </c>
    </row>
    <row r="125" spans="1:8" x14ac:dyDescent="0.25">
      <c r="A125" t="s">
        <v>11060</v>
      </c>
      <c r="B125" t="str">
        <f>HYPERLINK("http://amigo.geneontology.org/cgi-bin/amigo/term-details.cgi?term=GO:0051574","GO:0051574")</f>
        <v>GO:0051574</v>
      </c>
      <c r="C125" t="s">
        <v>13352</v>
      </c>
      <c r="D125">
        <v>5</v>
      </c>
      <c r="E125">
        <v>1</v>
      </c>
      <c r="F125">
        <v>3.1574500537253899E-2</v>
      </c>
      <c r="G125">
        <v>1</v>
      </c>
      <c r="H125" t="s">
        <v>11668</v>
      </c>
    </row>
    <row r="126" spans="1:8" x14ac:dyDescent="0.25">
      <c r="A126" t="s">
        <v>11064</v>
      </c>
      <c r="B126" t="str">
        <f>HYPERLINK("http://amigo.geneontology.org/cgi-bin/amigo/term-details.cgi?term=GO:0051453","GO:0051453")</f>
        <v>GO:0051453</v>
      </c>
      <c r="C126" t="s">
        <v>13353</v>
      </c>
      <c r="D126">
        <v>5</v>
      </c>
      <c r="E126">
        <v>1</v>
      </c>
      <c r="F126">
        <v>3.1574500537253899E-2</v>
      </c>
      <c r="G126">
        <v>1</v>
      </c>
      <c r="H126" t="s">
        <v>11846</v>
      </c>
    </row>
    <row r="127" spans="1:8" x14ac:dyDescent="0.25">
      <c r="A127" t="s">
        <v>8289</v>
      </c>
      <c r="B127" t="str">
        <f>HYPERLINK("http://amigo.geneontology.org/cgi-bin/amigo/term-details.cgi?term=GO:0010115","GO:0010115")</f>
        <v>GO:0010115</v>
      </c>
      <c r="C127" t="s">
        <v>1128</v>
      </c>
      <c r="D127">
        <v>5</v>
      </c>
      <c r="E127">
        <v>1</v>
      </c>
      <c r="F127">
        <v>3.1574500537253899E-2</v>
      </c>
      <c r="G127">
        <v>1</v>
      </c>
      <c r="H127" t="s">
        <v>10794</v>
      </c>
    </row>
    <row r="128" spans="1:8" x14ac:dyDescent="0.25">
      <c r="A128" t="s">
        <v>11072</v>
      </c>
      <c r="B128" t="str">
        <f>HYPERLINK("http://amigo.geneontology.org/cgi-bin/amigo/term-details.cgi?term=GO:0009942","GO:0009942")</f>
        <v>GO:0009942</v>
      </c>
      <c r="C128" t="s">
        <v>13163</v>
      </c>
      <c r="D128">
        <v>5</v>
      </c>
      <c r="E128">
        <v>1</v>
      </c>
      <c r="F128">
        <v>3.1574500537253899E-2</v>
      </c>
      <c r="G128">
        <v>1</v>
      </c>
      <c r="H128" t="s">
        <v>10722</v>
      </c>
    </row>
    <row r="129" spans="1:8" x14ac:dyDescent="0.25">
      <c r="A129" t="s">
        <v>8716</v>
      </c>
      <c r="B129" t="str">
        <f>HYPERLINK("http://amigo.geneontology.org/cgi-bin/amigo/term-details.cgi?term=GO:0010154","GO:0010154")</f>
        <v>GO:0010154</v>
      </c>
      <c r="C129" t="s">
        <v>13354</v>
      </c>
      <c r="D129">
        <v>368</v>
      </c>
      <c r="E129">
        <v>6</v>
      </c>
      <c r="F129">
        <v>3.2113599120889402E-2</v>
      </c>
      <c r="G129">
        <v>1</v>
      </c>
      <c r="H129" t="s">
        <v>13355</v>
      </c>
    </row>
    <row r="130" spans="1:8" x14ac:dyDescent="0.25">
      <c r="A130" t="s">
        <v>7315</v>
      </c>
      <c r="B130" t="str">
        <f>HYPERLINK("http://amigo.geneontology.org/cgi-bin/amigo/term-details.cgi?term=GO:0009205","GO:0009205")</f>
        <v>GO:0009205</v>
      </c>
      <c r="C130" t="s">
        <v>4419</v>
      </c>
      <c r="D130">
        <v>109</v>
      </c>
      <c r="E130">
        <v>3</v>
      </c>
      <c r="F130">
        <v>3.3180595717299602E-2</v>
      </c>
      <c r="G130">
        <v>1</v>
      </c>
      <c r="H130" t="s">
        <v>13304</v>
      </c>
    </row>
    <row r="131" spans="1:8" x14ac:dyDescent="0.25">
      <c r="A131" t="s">
        <v>11075</v>
      </c>
      <c r="B131" t="str">
        <f>HYPERLINK("http://amigo.geneontology.org/cgi-bin/amigo/term-details.cgi?term=GO:0050896","GO:0050896")</f>
        <v>GO:0050896</v>
      </c>
      <c r="C131" t="s">
        <v>13356</v>
      </c>
      <c r="D131">
        <v>3546</v>
      </c>
      <c r="E131">
        <v>32</v>
      </c>
      <c r="F131">
        <v>3.34954553192355E-2</v>
      </c>
      <c r="G131">
        <v>1</v>
      </c>
      <c r="H131" t="s">
        <v>13357</v>
      </c>
    </row>
    <row r="132" spans="1:8" x14ac:dyDescent="0.25">
      <c r="A132" t="s">
        <v>11076</v>
      </c>
      <c r="B132" t="str">
        <f>HYPERLINK("http://amigo.geneontology.org/cgi-bin/amigo/term-details.cgi?term=GO:0009167","GO:0009167")</f>
        <v>GO:0009167</v>
      </c>
      <c r="C132" t="s">
        <v>13358</v>
      </c>
      <c r="D132">
        <v>113</v>
      </c>
      <c r="E132">
        <v>3</v>
      </c>
      <c r="F132">
        <v>3.6329575207174197E-2</v>
      </c>
      <c r="G132">
        <v>1</v>
      </c>
      <c r="H132" t="s">
        <v>13304</v>
      </c>
    </row>
    <row r="133" spans="1:8" x14ac:dyDescent="0.25">
      <c r="A133" t="s">
        <v>11081</v>
      </c>
      <c r="B133" t="str">
        <f>HYPERLINK("http://amigo.geneontology.org/cgi-bin/amigo/term-details.cgi?term=GO:0080154","GO:0080154")</f>
        <v>GO:0080154</v>
      </c>
      <c r="C133" t="s">
        <v>13359</v>
      </c>
      <c r="D133">
        <v>6</v>
      </c>
      <c r="E133">
        <v>1</v>
      </c>
      <c r="F133">
        <v>3.77689859831686E-2</v>
      </c>
      <c r="G133">
        <v>1</v>
      </c>
      <c r="H133" t="s">
        <v>10720</v>
      </c>
    </row>
    <row r="134" spans="1:8" x14ac:dyDescent="0.25">
      <c r="A134" t="s">
        <v>11082</v>
      </c>
      <c r="B134" t="str">
        <f>HYPERLINK("http://amigo.geneontology.org/cgi-bin/amigo/term-details.cgi?term=GO:0080155","GO:0080155")</f>
        <v>GO:0080155</v>
      </c>
      <c r="C134" t="s">
        <v>13360</v>
      </c>
      <c r="D134">
        <v>6</v>
      </c>
      <c r="E134">
        <v>1</v>
      </c>
      <c r="F134">
        <v>3.77689859831686E-2</v>
      </c>
      <c r="G134">
        <v>1</v>
      </c>
      <c r="H134" t="s">
        <v>10720</v>
      </c>
    </row>
    <row r="135" spans="1:8" x14ac:dyDescent="0.25">
      <c r="A135" t="s">
        <v>11085</v>
      </c>
      <c r="B135" t="str">
        <f>HYPERLINK("http://amigo.geneontology.org/cgi-bin/amigo/term-details.cgi?term=GO:0009439","GO:0009439")</f>
        <v>GO:0009439</v>
      </c>
      <c r="C135" t="s">
        <v>13361</v>
      </c>
      <c r="D135">
        <v>6</v>
      </c>
      <c r="E135">
        <v>1</v>
      </c>
      <c r="F135">
        <v>3.77689859831686E-2</v>
      </c>
      <c r="G135">
        <v>1</v>
      </c>
      <c r="H135" t="s">
        <v>11599</v>
      </c>
    </row>
    <row r="136" spans="1:8" x14ac:dyDescent="0.25">
      <c r="A136" t="s">
        <v>11088</v>
      </c>
      <c r="B136" t="str">
        <f>HYPERLINK("http://amigo.geneontology.org/cgi-bin/amigo/term-details.cgi?term=GO:0000578","GO:0000578")</f>
        <v>GO:0000578</v>
      </c>
      <c r="C136" t="s">
        <v>13164</v>
      </c>
      <c r="D136">
        <v>6</v>
      </c>
      <c r="E136">
        <v>1</v>
      </c>
      <c r="F136">
        <v>3.77689859831686E-2</v>
      </c>
      <c r="G136">
        <v>1</v>
      </c>
      <c r="H136" t="s">
        <v>10722</v>
      </c>
    </row>
    <row r="137" spans="1:8" x14ac:dyDescent="0.25">
      <c r="A137" t="s">
        <v>8299</v>
      </c>
      <c r="B137" t="str">
        <f>HYPERLINK("http://amigo.geneontology.org/cgi-bin/amigo/term-details.cgi?term=GO:0010224","GO:0010224")</f>
        <v>GO:0010224</v>
      </c>
      <c r="C137" t="s">
        <v>13362</v>
      </c>
      <c r="D137">
        <v>48</v>
      </c>
      <c r="E137">
        <v>2</v>
      </c>
      <c r="F137">
        <v>3.7953266606954902E-2</v>
      </c>
      <c r="G137">
        <v>1</v>
      </c>
      <c r="H137" t="s">
        <v>13311</v>
      </c>
    </row>
    <row r="138" spans="1:8" x14ac:dyDescent="0.25">
      <c r="A138" t="s">
        <v>11090</v>
      </c>
      <c r="B138" t="str">
        <f>HYPERLINK("http://amigo.geneontology.org/cgi-bin/amigo/term-details.cgi?term=GO:1905039","GO:1905039")</f>
        <v>GO:1905039</v>
      </c>
      <c r="C138" t="s">
        <v>5182</v>
      </c>
      <c r="D138">
        <v>115</v>
      </c>
      <c r="E138">
        <v>3</v>
      </c>
      <c r="F138">
        <v>3.79596074080936E-2</v>
      </c>
      <c r="G138">
        <v>1</v>
      </c>
      <c r="H138" t="s">
        <v>13338</v>
      </c>
    </row>
    <row r="139" spans="1:8" x14ac:dyDescent="0.25">
      <c r="A139" t="s">
        <v>9154</v>
      </c>
      <c r="B139" t="str">
        <f>HYPERLINK("http://amigo.geneontology.org/cgi-bin/amigo/term-details.cgi?term=GO:0019725","GO:0019725")</f>
        <v>GO:0019725</v>
      </c>
      <c r="C139" t="s">
        <v>13363</v>
      </c>
      <c r="D139">
        <v>489</v>
      </c>
      <c r="E139">
        <v>7</v>
      </c>
      <c r="F139">
        <v>3.9319054194662702E-2</v>
      </c>
      <c r="G139">
        <v>1</v>
      </c>
      <c r="H139" t="s">
        <v>13364</v>
      </c>
    </row>
    <row r="140" spans="1:8" x14ac:dyDescent="0.25">
      <c r="A140" t="s">
        <v>11099</v>
      </c>
      <c r="B140" t="str">
        <f>HYPERLINK("http://amigo.geneontology.org/cgi-bin/amigo/term-details.cgi?term=GO:2000112","GO:2000112")</f>
        <v>GO:2000112</v>
      </c>
      <c r="C140" t="s">
        <v>6831</v>
      </c>
      <c r="D140">
        <v>4826</v>
      </c>
      <c r="E140">
        <v>41</v>
      </c>
      <c r="F140">
        <v>4.0474578124739397E-2</v>
      </c>
      <c r="G140">
        <v>1</v>
      </c>
      <c r="H140" t="s">
        <v>13365</v>
      </c>
    </row>
    <row r="141" spans="1:8" x14ac:dyDescent="0.25">
      <c r="A141" t="s">
        <v>11101</v>
      </c>
      <c r="B141" t="str">
        <f>HYPERLINK("http://amigo.geneontology.org/cgi-bin/amigo/term-details.cgi?term=GO:2001141","GO:2001141")</f>
        <v>GO:2001141</v>
      </c>
      <c r="C141" t="s">
        <v>6826</v>
      </c>
      <c r="D141">
        <v>4285</v>
      </c>
      <c r="E141">
        <v>37</v>
      </c>
      <c r="F141">
        <v>4.1043149924476198E-2</v>
      </c>
      <c r="G141">
        <v>1</v>
      </c>
      <c r="H141" t="s">
        <v>13366</v>
      </c>
    </row>
    <row r="142" spans="1:8" x14ac:dyDescent="0.25">
      <c r="A142" t="s">
        <v>11102</v>
      </c>
      <c r="B142" t="str">
        <f>HYPERLINK("http://amigo.geneontology.org/cgi-bin/amigo/term-details.cgi?term=GO:0048646","GO:0048646")</f>
        <v>GO:0048646</v>
      </c>
      <c r="C142" t="s">
        <v>13367</v>
      </c>
      <c r="D142">
        <v>119</v>
      </c>
      <c r="E142">
        <v>3</v>
      </c>
      <c r="F142">
        <v>4.1329820422939298E-2</v>
      </c>
      <c r="G142">
        <v>1</v>
      </c>
      <c r="H142" t="s">
        <v>10507</v>
      </c>
    </row>
    <row r="143" spans="1:8" x14ac:dyDescent="0.25">
      <c r="A143" t="s">
        <v>11104</v>
      </c>
      <c r="B143" t="str">
        <f>HYPERLINK("http://amigo.geneontology.org/cgi-bin/amigo/term-details.cgi?term=GO:1903506","GO:1903506")</f>
        <v>GO:1903506</v>
      </c>
      <c r="C143" t="s">
        <v>6825</v>
      </c>
      <c r="D143">
        <v>4567</v>
      </c>
      <c r="E143">
        <v>39</v>
      </c>
      <c r="F143">
        <v>4.2131830755977401E-2</v>
      </c>
      <c r="G143">
        <v>1</v>
      </c>
      <c r="H143" t="s">
        <v>13368</v>
      </c>
    </row>
    <row r="144" spans="1:8" x14ac:dyDescent="0.25">
      <c r="A144" t="s">
        <v>11105</v>
      </c>
      <c r="B144" t="str">
        <f>HYPERLINK("http://amigo.geneontology.org/cgi-bin/amigo/term-details.cgi?term=GO:0031326","GO:0031326")</f>
        <v>GO:0031326</v>
      </c>
      <c r="C144" t="s">
        <v>6833</v>
      </c>
      <c r="D144">
        <v>4442</v>
      </c>
      <c r="E144">
        <v>38</v>
      </c>
      <c r="F144">
        <v>4.3499877874833198E-2</v>
      </c>
      <c r="G144">
        <v>1</v>
      </c>
      <c r="H144" t="s">
        <v>13369</v>
      </c>
    </row>
    <row r="145" spans="1:8" x14ac:dyDescent="0.25">
      <c r="A145" t="s">
        <v>11107</v>
      </c>
      <c r="B145" t="str">
        <f>HYPERLINK("http://amigo.geneontology.org/cgi-bin/amigo/term-details.cgi?term=GO:0051570","GO:0051570")</f>
        <v>GO:0051570</v>
      </c>
      <c r="C145" t="s">
        <v>13370</v>
      </c>
      <c r="D145">
        <v>7</v>
      </c>
      <c r="E145">
        <v>1</v>
      </c>
      <c r="F145">
        <v>4.3923928569470999E-2</v>
      </c>
      <c r="G145">
        <v>1</v>
      </c>
      <c r="H145" t="s">
        <v>11668</v>
      </c>
    </row>
    <row r="146" spans="1:8" x14ac:dyDescent="0.25">
      <c r="A146" t="s">
        <v>11110</v>
      </c>
      <c r="B146" t="str">
        <f>HYPERLINK("http://amigo.geneontology.org/cgi-bin/amigo/term-details.cgi?term=GO:0031057","GO:0031057")</f>
        <v>GO:0031057</v>
      </c>
      <c r="C146" t="s">
        <v>13371</v>
      </c>
      <c r="D146">
        <v>7</v>
      </c>
      <c r="E146">
        <v>1</v>
      </c>
      <c r="F146">
        <v>4.3923928569470999E-2</v>
      </c>
      <c r="G146">
        <v>1</v>
      </c>
      <c r="H146" t="s">
        <v>11668</v>
      </c>
    </row>
    <row r="147" spans="1:8" x14ac:dyDescent="0.25">
      <c r="A147" t="s">
        <v>11113</v>
      </c>
      <c r="B147" t="str">
        <f>HYPERLINK("http://amigo.geneontology.org/cgi-bin/amigo/term-details.cgi?term=GO:2000757","GO:2000757")</f>
        <v>GO:2000757</v>
      </c>
      <c r="C147" t="s">
        <v>13372</v>
      </c>
      <c r="D147">
        <v>7</v>
      </c>
      <c r="E147">
        <v>1</v>
      </c>
      <c r="F147">
        <v>4.3923928569470999E-2</v>
      </c>
      <c r="G147">
        <v>1</v>
      </c>
      <c r="H147" t="s">
        <v>11668</v>
      </c>
    </row>
    <row r="148" spans="1:8" x14ac:dyDescent="0.25">
      <c r="A148" t="s">
        <v>11114</v>
      </c>
      <c r="B148" t="str">
        <f>HYPERLINK("http://amigo.geneontology.org/cgi-bin/amigo/term-details.cgi?term=GO:0035067","GO:0035067")</f>
        <v>GO:0035067</v>
      </c>
      <c r="C148" t="s">
        <v>13373</v>
      </c>
      <c r="D148">
        <v>7</v>
      </c>
      <c r="E148">
        <v>1</v>
      </c>
      <c r="F148">
        <v>4.3923928569470999E-2</v>
      </c>
      <c r="G148">
        <v>1</v>
      </c>
      <c r="H148" t="s">
        <v>11668</v>
      </c>
    </row>
    <row r="149" spans="1:8" x14ac:dyDescent="0.25">
      <c r="A149" t="s">
        <v>11118</v>
      </c>
      <c r="B149" t="str">
        <f>HYPERLINK("http://amigo.geneontology.org/cgi-bin/amigo/term-details.cgi?term=GO:0006355","GO:0006355")</f>
        <v>GO:0006355</v>
      </c>
      <c r="C149" t="s">
        <v>6824</v>
      </c>
      <c r="D149">
        <v>4615</v>
      </c>
      <c r="E149">
        <v>39</v>
      </c>
      <c r="F149">
        <v>4.79496947280421E-2</v>
      </c>
      <c r="G149">
        <v>1</v>
      </c>
      <c r="H149" t="s">
        <v>13368</v>
      </c>
    </row>
    <row r="150" spans="1:8" x14ac:dyDescent="0.25">
      <c r="A150" t="s">
        <v>11119</v>
      </c>
      <c r="B150" t="str">
        <f>HYPERLINK("http://amigo.geneontology.org/cgi-bin/amigo/term-details.cgi?term=GO:0044703","GO:0044703")</f>
        <v>GO:0044703</v>
      </c>
      <c r="C150" t="s">
        <v>834</v>
      </c>
      <c r="D150">
        <v>127</v>
      </c>
      <c r="E150">
        <v>3</v>
      </c>
      <c r="F150">
        <v>4.8504739816942498E-2</v>
      </c>
      <c r="G150">
        <v>1</v>
      </c>
      <c r="H150" t="s">
        <v>13374</v>
      </c>
    </row>
    <row r="151" spans="1:8" x14ac:dyDescent="0.25">
      <c r="A151" t="s">
        <v>11121</v>
      </c>
      <c r="B151" t="str">
        <f>HYPERLINK("http://amigo.geneontology.org/cgi-bin/amigo/term-details.cgi?term=GO:0060255","GO:0060255")</f>
        <v>GO:0060255</v>
      </c>
      <c r="C151" t="s">
        <v>6847</v>
      </c>
      <c r="D151">
        <v>4490</v>
      </c>
      <c r="E151">
        <v>38</v>
      </c>
      <c r="F151">
        <v>4.9551274147095099E-2</v>
      </c>
      <c r="G151">
        <v>1</v>
      </c>
      <c r="H151" t="s">
        <v>13375</v>
      </c>
    </row>
    <row r="152" spans="1:8" x14ac:dyDescent="0.25">
      <c r="A152" t="s">
        <v>11123</v>
      </c>
    </row>
    <row r="153" spans="1:8" x14ac:dyDescent="0.25">
      <c r="A153" t="s">
        <v>11124</v>
      </c>
    </row>
    <row r="154" spans="1:8" x14ac:dyDescent="0.25">
      <c r="A154" t="s">
        <v>11131</v>
      </c>
    </row>
    <row r="155" spans="1:8" x14ac:dyDescent="0.25">
      <c r="A155" t="s">
        <v>11135</v>
      </c>
    </row>
    <row r="156" spans="1:8" x14ac:dyDescent="0.25">
      <c r="A156" t="s">
        <v>11136</v>
      </c>
    </row>
    <row r="157" spans="1:8" x14ac:dyDescent="0.25">
      <c r="A157" t="s">
        <v>7371</v>
      </c>
    </row>
    <row r="158" spans="1:8" x14ac:dyDescent="0.25">
      <c r="A158" t="s">
        <v>11138</v>
      </c>
    </row>
    <row r="159" spans="1:8" x14ac:dyDescent="0.25">
      <c r="A159" t="s">
        <v>8319</v>
      </c>
    </row>
    <row r="160" spans="1:8" x14ac:dyDescent="0.25">
      <c r="A160" t="s">
        <v>11162</v>
      </c>
    </row>
    <row r="161" spans="1:1" x14ac:dyDescent="0.25">
      <c r="A161" t="s">
        <v>11170</v>
      </c>
    </row>
    <row r="162" spans="1:1" x14ac:dyDescent="0.25">
      <c r="A162" t="s">
        <v>11172</v>
      </c>
    </row>
    <row r="163" spans="1:1" x14ac:dyDescent="0.25">
      <c r="A163" t="s">
        <v>9629</v>
      </c>
    </row>
    <row r="164" spans="1:1" x14ac:dyDescent="0.25">
      <c r="A164" t="s">
        <v>8328</v>
      </c>
    </row>
    <row r="165" spans="1:1" x14ac:dyDescent="0.25">
      <c r="A165" t="s">
        <v>9634</v>
      </c>
    </row>
    <row r="166" spans="1:1" x14ac:dyDescent="0.25">
      <c r="A166" t="s">
        <v>11186</v>
      </c>
    </row>
    <row r="167" spans="1:1" x14ac:dyDescent="0.25">
      <c r="A167" t="s">
        <v>11189</v>
      </c>
    </row>
    <row r="168" spans="1:1" x14ac:dyDescent="0.25">
      <c r="A168" t="s">
        <v>11192</v>
      </c>
    </row>
    <row r="169" spans="1:1" x14ac:dyDescent="0.25">
      <c r="A169" t="s">
        <v>11193</v>
      </c>
    </row>
    <row r="170" spans="1:1" x14ac:dyDescent="0.25">
      <c r="A170" t="s">
        <v>8786</v>
      </c>
    </row>
    <row r="171" spans="1:1" x14ac:dyDescent="0.25">
      <c r="A171" t="s">
        <v>9636</v>
      </c>
    </row>
    <row r="172" spans="1:1" x14ac:dyDescent="0.25">
      <c r="A172" t="s">
        <v>9637</v>
      </c>
    </row>
    <row r="173" spans="1:1" x14ac:dyDescent="0.25">
      <c r="A173" t="s">
        <v>9638</v>
      </c>
    </row>
    <row r="174" spans="1:1" x14ac:dyDescent="0.25">
      <c r="A174" t="s">
        <v>11205</v>
      </c>
    </row>
    <row r="175" spans="1:1" x14ac:dyDescent="0.25">
      <c r="A175" t="s">
        <v>11208</v>
      </c>
    </row>
    <row r="176" spans="1:1" x14ac:dyDescent="0.25">
      <c r="A176" t="s">
        <v>11209</v>
      </c>
    </row>
    <row r="177" spans="1:1" x14ac:dyDescent="0.25">
      <c r="A177" t="s">
        <v>11212</v>
      </c>
    </row>
    <row r="178" spans="1:1" x14ac:dyDescent="0.25">
      <c r="A178" t="s">
        <v>11213</v>
      </c>
    </row>
    <row r="179" spans="1:1" x14ac:dyDescent="0.25">
      <c r="A179" t="s">
        <v>9644</v>
      </c>
    </row>
    <row r="180" spans="1:1" x14ac:dyDescent="0.25">
      <c r="A180" t="s">
        <v>11217</v>
      </c>
    </row>
    <row r="181" spans="1:1" x14ac:dyDescent="0.25">
      <c r="A181" t="s">
        <v>11221</v>
      </c>
    </row>
    <row r="182" spans="1:1" x14ac:dyDescent="0.25">
      <c r="A182" t="s">
        <v>11222</v>
      </c>
    </row>
    <row r="183" spans="1:1" x14ac:dyDescent="0.25">
      <c r="A183" t="s">
        <v>11225</v>
      </c>
    </row>
    <row r="184" spans="1:1" x14ac:dyDescent="0.25">
      <c r="A184" t="s">
        <v>8342</v>
      </c>
    </row>
    <row r="185" spans="1:1" x14ac:dyDescent="0.25">
      <c r="A185" t="s">
        <v>11226</v>
      </c>
    </row>
    <row r="186" spans="1:1" x14ac:dyDescent="0.25">
      <c r="A186" t="s">
        <v>9650</v>
      </c>
    </row>
    <row r="187" spans="1:1" x14ac:dyDescent="0.25">
      <c r="A187" t="s">
        <v>11230</v>
      </c>
    </row>
    <row r="188" spans="1:1" x14ac:dyDescent="0.25">
      <c r="A188" t="s">
        <v>11233</v>
      </c>
    </row>
    <row r="189" spans="1:1" x14ac:dyDescent="0.25">
      <c r="A189" t="s">
        <v>11234</v>
      </c>
    </row>
    <row r="190" spans="1:1" x14ac:dyDescent="0.25">
      <c r="A190" t="s">
        <v>7468</v>
      </c>
    </row>
    <row r="191" spans="1:1" x14ac:dyDescent="0.25">
      <c r="A191" t="s">
        <v>11268</v>
      </c>
    </row>
    <row r="192" spans="1:1" x14ac:dyDescent="0.25">
      <c r="A192" t="s">
        <v>11269</v>
      </c>
    </row>
    <row r="193" spans="1:1" x14ac:dyDescent="0.25">
      <c r="A193" t="s">
        <v>11276</v>
      </c>
    </row>
    <row r="194" spans="1:1" x14ac:dyDescent="0.25">
      <c r="A194" t="s">
        <v>11277</v>
      </c>
    </row>
    <row r="195" spans="1:1" x14ac:dyDescent="0.25">
      <c r="A195" t="s">
        <v>11283</v>
      </c>
    </row>
    <row r="196" spans="1:1" x14ac:dyDescent="0.25">
      <c r="A196" t="s">
        <v>11284</v>
      </c>
    </row>
    <row r="197" spans="1:1" x14ac:dyDescent="0.25">
      <c r="A197" t="s">
        <v>11287</v>
      </c>
    </row>
    <row r="198" spans="1:1" x14ac:dyDescent="0.25">
      <c r="A198" t="s">
        <v>10711</v>
      </c>
    </row>
    <row r="199" spans="1:1" x14ac:dyDescent="0.25">
      <c r="A199" t="s">
        <v>10785</v>
      </c>
    </row>
    <row r="200" spans="1:1" x14ac:dyDescent="0.25">
      <c r="A200" t="s">
        <v>11292</v>
      </c>
    </row>
    <row r="201" spans="1:1" x14ac:dyDescent="0.25">
      <c r="A201" t="s">
        <v>11293</v>
      </c>
    </row>
    <row r="202" spans="1:1" x14ac:dyDescent="0.25">
      <c r="A202" t="s">
        <v>9657</v>
      </c>
    </row>
    <row r="203" spans="1:1" x14ac:dyDescent="0.25">
      <c r="A203" t="s">
        <v>11295</v>
      </c>
    </row>
    <row r="204" spans="1:1" x14ac:dyDescent="0.25">
      <c r="A204" t="s">
        <v>11296</v>
      </c>
    </row>
    <row r="205" spans="1:1" x14ac:dyDescent="0.25">
      <c r="A205" t="s">
        <v>8360</v>
      </c>
    </row>
    <row r="206" spans="1:1" x14ac:dyDescent="0.25">
      <c r="A206" t="s">
        <v>8361</v>
      </c>
    </row>
    <row r="207" spans="1:1" x14ac:dyDescent="0.25">
      <c r="A207" t="s">
        <v>11314</v>
      </c>
    </row>
    <row r="208" spans="1:1" x14ac:dyDescent="0.25">
      <c r="A208" t="s">
        <v>9241</v>
      </c>
    </row>
    <row r="209" spans="1:1" x14ac:dyDescent="0.25">
      <c r="A209" t="s">
        <v>11317</v>
      </c>
    </row>
    <row r="210" spans="1:1" x14ac:dyDescent="0.25">
      <c r="A210" t="s">
        <v>11318</v>
      </c>
    </row>
    <row r="211" spans="1:1" x14ac:dyDescent="0.25">
      <c r="A211" t="s">
        <v>6878</v>
      </c>
    </row>
    <row r="212" spans="1:1" x14ac:dyDescent="0.25">
      <c r="A212" t="s">
        <v>11335</v>
      </c>
    </row>
    <row r="213" spans="1:1" x14ac:dyDescent="0.25">
      <c r="A213" t="s">
        <v>11347</v>
      </c>
    </row>
    <row r="214" spans="1:1" x14ac:dyDescent="0.25">
      <c r="A214" t="s">
        <v>11348</v>
      </c>
    </row>
    <row r="215" spans="1:1" x14ac:dyDescent="0.25">
      <c r="A215" t="s">
        <v>9245</v>
      </c>
    </row>
    <row r="216" spans="1:1" x14ac:dyDescent="0.25">
      <c r="A216" t="s">
        <v>11349</v>
      </c>
    </row>
    <row r="217" spans="1:1" x14ac:dyDescent="0.25">
      <c r="A217" t="s">
        <v>11351</v>
      </c>
    </row>
    <row r="218" spans="1:1" x14ac:dyDescent="0.25">
      <c r="A218" t="s">
        <v>11365</v>
      </c>
    </row>
    <row r="219" spans="1:1" x14ac:dyDescent="0.25">
      <c r="A219" t="s">
        <v>8374</v>
      </c>
    </row>
    <row r="220" spans="1:1" x14ac:dyDescent="0.25">
      <c r="A220" t="s">
        <v>11378</v>
      </c>
    </row>
    <row r="221" spans="1:1" x14ac:dyDescent="0.25">
      <c r="A221" t="s">
        <v>11385</v>
      </c>
    </row>
    <row r="222" spans="1:1" x14ac:dyDescent="0.25">
      <c r="A222" t="s">
        <v>11398</v>
      </c>
    </row>
    <row r="223" spans="1:1" x14ac:dyDescent="0.25">
      <c r="A223" t="s">
        <v>11408</v>
      </c>
    </row>
    <row r="224" spans="1:1" x14ac:dyDescent="0.25">
      <c r="A224" t="s">
        <v>11410</v>
      </c>
    </row>
    <row r="225" spans="1:1" x14ac:dyDescent="0.25">
      <c r="A225" t="s">
        <v>11413</v>
      </c>
    </row>
    <row r="226" spans="1:1" x14ac:dyDescent="0.25">
      <c r="A226" t="s">
        <v>11414</v>
      </c>
    </row>
    <row r="227" spans="1:1" x14ac:dyDescent="0.25">
      <c r="A227" t="s">
        <v>9672</v>
      </c>
    </row>
    <row r="228" spans="1:1" x14ac:dyDescent="0.25">
      <c r="A228" t="s">
        <v>11415</v>
      </c>
    </row>
    <row r="229" spans="1:1" x14ac:dyDescent="0.25">
      <c r="A229" t="s">
        <v>11417</v>
      </c>
    </row>
    <row r="230" spans="1:1" x14ac:dyDescent="0.25">
      <c r="A230" t="s">
        <v>11421</v>
      </c>
    </row>
    <row r="231" spans="1:1" x14ac:dyDescent="0.25">
      <c r="A231" t="s">
        <v>9621</v>
      </c>
    </row>
    <row r="232" spans="1:1" x14ac:dyDescent="0.25">
      <c r="A232" t="s">
        <v>11425</v>
      </c>
    </row>
    <row r="233" spans="1:1" x14ac:dyDescent="0.25">
      <c r="A233" t="s">
        <v>9676</v>
      </c>
    </row>
    <row r="234" spans="1:1" x14ac:dyDescent="0.25">
      <c r="A234" t="s">
        <v>11430</v>
      </c>
    </row>
    <row r="235" spans="1:1" x14ac:dyDescent="0.25">
      <c r="A235" t="s">
        <v>11432</v>
      </c>
    </row>
    <row r="236" spans="1:1" x14ac:dyDescent="0.25">
      <c r="A236" t="s">
        <v>11433</v>
      </c>
    </row>
    <row r="237" spans="1:1" x14ac:dyDescent="0.25">
      <c r="A237" t="s">
        <v>11436</v>
      </c>
    </row>
    <row r="238" spans="1:1" x14ac:dyDescent="0.25">
      <c r="A238" t="s">
        <v>11446</v>
      </c>
    </row>
    <row r="239" spans="1:1" x14ac:dyDescent="0.25">
      <c r="A239" t="s">
        <v>9268</v>
      </c>
    </row>
    <row r="240" spans="1:1" x14ac:dyDescent="0.25">
      <c r="A240" t="s">
        <v>8780</v>
      </c>
    </row>
    <row r="241" spans="1:1" x14ac:dyDescent="0.25">
      <c r="A241" t="s">
        <v>8398</v>
      </c>
    </row>
    <row r="242" spans="1:1" x14ac:dyDescent="0.25">
      <c r="A242" t="s">
        <v>7607</v>
      </c>
    </row>
    <row r="243" spans="1:1" x14ac:dyDescent="0.25">
      <c r="A243" t="s">
        <v>11466</v>
      </c>
    </row>
    <row r="244" spans="1:1" x14ac:dyDescent="0.25">
      <c r="A244" t="s">
        <v>9274</v>
      </c>
    </row>
    <row r="245" spans="1:1" x14ac:dyDescent="0.25">
      <c r="A245" t="s">
        <v>9275</v>
      </c>
    </row>
    <row r="246" spans="1:1" x14ac:dyDescent="0.25">
      <c r="A246" t="s">
        <v>11476</v>
      </c>
    </row>
    <row r="247" spans="1:1" x14ac:dyDescent="0.25">
      <c r="A247" t="s">
        <v>11483</v>
      </c>
    </row>
    <row r="248" spans="1:1" x14ac:dyDescent="0.25">
      <c r="A248" t="s">
        <v>11484</v>
      </c>
    </row>
    <row r="249" spans="1:1" x14ac:dyDescent="0.25">
      <c r="A249" t="s">
        <v>11518</v>
      </c>
    </row>
    <row r="250" spans="1:1" x14ac:dyDescent="0.25">
      <c r="A250" t="s">
        <v>11519</v>
      </c>
    </row>
    <row r="251" spans="1:1" x14ac:dyDescent="0.25">
      <c r="A251" t="s">
        <v>11521</v>
      </c>
    </row>
    <row r="252" spans="1:1" x14ac:dyDescent="0.25">
      <c r="A252" t="s">
        <v>11528</v>
      </c>
    </row>
    <row r="253" spans="1:1" x14ac:dyDescent="0.25">
      <c r="A253" t="s">
        <v>8793</v>
      </c>
    </row>
    <row r="254" spans="1:1" x14ac:dyDescent="0.25">
      <c r="A254" t="s">
        <v>11532</v>
      </c>
    </row>
    <row r="255" spans="1:1" x14ac:dyDescent="0.25">
      <c r="A255" t="s">
        <v>8739</v>
      </c>
    </row>
    <row r="256" spans="1:1" x14ac:dyDescent="0.25">
      <c r="A256" t="s">
        <v>11533</v>
      </c>
    </row>
    <row r="257" spans="1:1" x14ac:dyDescent="0.25">
      <c r="A257" t="s">
        <v>11535</v>
      </c>
    </row>
    <row r="258" spans="1:1" x14ac:dyDescent="0.25">
      <c r="A258" t="s">
        <v>7636</v>
      </c>
    </row>
    <row r="259" spans="1:1" x14ac:dyDescent="0.25">
      <c r="A259" t="s">
        <v>11539</v>
      </c>
    </row>
    <row r="260" spans="1:1" x14ac:dyDescent="0.25">
      <c r="A260" t="s">
        <v>11540</v>
      </c>
    </row>
    <row r="261" spans="1:1" x14ac:dyDescent="0.25">
      <c r="A261" t="s">
        <v>11545</v>
      </c>
    </row>
    <row r="262" spans="1:1" x14ac:dyDescent="0.25">
      <c r="A262" t="s">
        <v>11548</v>
      </c>
    </row>
    <row r="263" spans="1:1" x14ac:dyDescent="0.25">
      <c r="A263" t="s">
        <v>9681</v>
      </c>
    </row>
    <row r="264" spans="1:1" x14ac:dyDescent="0.25">
      <c r="A264" t="s">
        <v>11553</v>
      </c>
    </row>
    <row r="265" spans="1:1" x14ac:dyDescent="0.25">
      <c r="A265" t="s">
        <v>11554</v>
      </c>
    </row>
    <row r="266" spans="1:1" x14ac:dyDescent="0.25">
      <c r="A266" t="s">
        <v>11556</v>
      </c>
    </row>
    <row r="267" spans="1:1" x14ac:dyDescent="0.25">
      <c r="A267" t="s">
        <v>11557</v>
      </c>
    </row>
    <row r="268" spans="1:1" x14ac:dyDescent="0.25">
      <c r="A268" t="s">
        <v>11563</v>
      </c>
    </row>
    <row r="269" spans="1:1" x14ac:dyDescent="0.25">
      <c r="A269" t="s">
        <v>11571</v>
      </c>
    </row>
    <row r="270" spans="1:1" x14ac:dyDescent="0.25">
      <c r="A270" t="s">
        <v>11572</v>
      </c>
    </row>
    <row r="271" spans="1:1" x14ac:dyDescent="0.25">
      <c r="A271" t="s">
        <v>11573</v>
      </c>
    </row>
    <row r="272" spans="1:1" x14ac:dyDescent="0.25">
      <c r="A272" t="s">
        <v>11578</v>
      </c>
    </row>
    <row r="273" spans="1:1" x14ac:dyDescent="0.25">
      <c r="A273" t="s">
        <v>11580</v>
      </c>
    </row>
    <row r="274" spans="1:1" x14ac:dyDescent="0.25">
      <c r="A274" t="s">
        <v>11586</v>
      </c>
    </row>
    <row r="275" spans="1:1" x14ac:dyDescent="0.25">
      <c r="A275" t="s">
        <v>9683</v>
      </c>
    </row>
    <row r="276" spans="1:1" x14ac:dyDescent="0.25">
      <c r="A276" t="s">
        <v>11587</v>
      </c>
    </row>
    <row r="277" spans="1:1" x14ac:dyDescent="0.25">
      <c r="A277" t="s">
        <v>11591</v>
      </c>
    </row>
    <row r="278" spans="1:1" x14ac:dyDescent="0.25">
      <c r="A278" t="s">
        <v>7654</v>
      </c>
    </row>
    <row r="279" spans="1:1" x14ac:dyDescent="0.25">
      <c r="A279" t="s">
        <v>11593</v>
      </c>
    </row>
    <row r="280" spans="1:1" x14ac:dyDescent="0.25">
      <c r="A280" t="s">
        <v>11594</v>
      </c>
    </row>
    <row r="281" spans="1:1" x14ac:dyDescent="0.25">
      <c r="A281" t="s">
        <v>11599</v>
      </c>
    </row>
    <row r="282" spans="1:1" x14ac:dyDescent="0.25">
      <c r="A282" t="s">
        <v>11600</v>
      </c>
    </row>
    <row r="283" spans="1:1" x14ac:dyDescent="0.25">
      <c r="A283" t="s">
        <v>8429</v>
      </c>
    </row>
    <row r="284" spans="1:1" x14ac:dyDescent="0.25">
      <c r="A284" t="s">
        <v>11609</v>
      </c>
    </row>
    <row r="285" spans="1:1" x14ac:dyDescent="0.25">
      <c r="A285" t="s">
        <v>11614</v>
      </c>
    </row>
    <row r="286" spans="1:1" x14ac:dyDescent="0.25">
      <c r="A286" t="s">
        <v>9306</v>
      </c>
    </row>
    <row r="287" spans="1:1" x14ac:dyDescent="0.25">
      <c r="A287" t="s">
        <v>11623</v>
      </c>
    </row>
    <row r="288" spans="1:1" x14ac:dyDescent="0.25">
      <c r="A288" t="s">
        <v>9309</v>
      </c>
    </row>
    <row r="289" spans="1:1" x14ac:dyDescent="0.25">
      <c r="A289" t="s">
        <v>11624</v>
      </c>
    </row>
    <row r="290" spans="1:1" x14ac:dyDescent="0.25">
      <c r="A290" t="s">
        <v>8796</v>
      </c>
    </row>
    <row r="291" spans="1:1" x14ac:dyDescent="0.25">
      <c r="A291" t="s">
        <v>11625</v>
      </c>
    </row>
    <row r="292" spans="1:1" x14ac:dyDescent="0.25">
      <c r="A292" t="s">
        <v>11629</v>
      </c>
    </row>
    <row r="293" spans="1:1" x14ac:dyDescent="0.25">
      <c r="A293" t="s">
        <v>11630</v>
      </c>
    </row>
    <row r="294" spans="1:1" x14ac:dyDescent="0.25">
      <c r="A294" t="s">
        <v>11635</v>
      </c>
    </row>
    <row r="295" spans="1:1" x14ac:dyDescent="0.25">
      <c r="A295" t="s">
        <v>11638</v>
      </c>
    </row>
    <row r="296" spans="1:1" x14ac:dyDescent="0.25">
      <c r="A296" t="s">
        <v>11641</v>
      </c>
    </row>
    <row r="297" spans="1:1" x14ac:dyDescent="0.25">
      <c r="A297" t="s">
        <v>7671</v>
      </c>
    </row>
    <row r="298" spans="1:1" x14ac:dyDescent="0.25">
      <c r="A298" t="s">
        <v>11643</v>
      </c>
    </row>
    <row r="299" spans="1:1" x14ac:dyDescent="0.25">
      <c r="A299" t="s">
        <v>11646</v>
      </c>
    </row>
    <row r="300" spans="1:1" x14ac:dyDescent="0.25">
      <c r="A300" t="s">
        <v>11647</v>
      </c>
    </row>
    <row r="301" spans="1:1" x14ac:dyDescent="0.25">
      <c r="A301" t="s">
        <v>11648</v>
      </c>
    </row>
    <row r="302" spans="1:1" x14ac:dyDescent="0.25">
      <c r="A302" t="s">
        <v>11661</v>
      </c>
    </row>
    <row r="303" spans="1:1" x14ac:dyDescent="0.25">
      <c r="A303" t="s">
        <v>11663</v>
      </c>
    </row>
    <row r="304" spans="1:1" x14ac:dyDescent="0.25">
      <c r="A304" t="s">
        <v>11668</v>
      </c>
    </row>
    <row r="305" spans="1:1" x14ac:dyDescent="0.25">
      <c r="A305" t="s">
        <v>8444</v>
      </c>
    </row>
    <row r="306" spans="1:1" x14ac:dyDescent="0.25">
      <c r="A306" t="s">
        <v>11672</v>
      </c>
    </row>
    <row r="307" spans="1:1" x14ac:dyDescent="0.25">
      <c r="A307" t="s">
        <v>11674</v>
      </c>
    </row>
    <row r="308" spans="1:1" x14ac:dyDescent="0.25">
      <c r="A308" t="s">
        <v>11675</v>
      </c>
    </row>
    <row r="309" spans="1:1" x14ac:dyDescent="0.25">
      <c r="A309" t="s">
        <v>11676</v>
      </c>
    </row>
    <row r="310" spans="1:1" x14ac:dyDescent="0.25">
      <c r="A310" t="s">
        <v>9329</v>
      </c>
    </row>
    <row r="311" spans="1:1" x14ac:dyDescent="0.25">
      <c r="A311" t="s">
        <v>11680</v>
      </c>
    </row>
    <row r="312" spans="1:1" x14ac:dyDescent="0.25">
      <c r="A312" t="s">
        <v>11681</v>
      </c>
    </row>
    <row r="313" spans="1:1" x14ac:dyDescent="0.25">
      <c r="A313" t="s">
        <v>8450</v>
      </c>
    </row>
    <row r="314" spans="1:1" x14ac:dyDescent="0.25">
      <c r="A314" t="s">
        <v>11715</v>
      </c>
    </row>
    <row r="315" spans="1:1" x14ac:dyDescent="0.25">
      <c r="A315" t="s">
        <v>7709</v>
      </c>
    </row>
    <row r="316" spans="1:1" x14ac:dyDescent="0.25">
      <c r="A316" t="s">
        <v>11719</v>
      </c>
    </row>
    <row r="317" spans="1:1" x14ac:dyDescent="0.25">
      <c r="A317" t="s">
        <v>11722</v>
      </c>
    </row>
    <row r="318" spans="1:1" x14ac:dyDescent="0.25">
      <c r="A318" t="s">
        <v>10714</v>
      </c>
    </row>
    <row r="319" spans="1:1" x14ac:dyDescent="0.25">
      <c r="A319" t="s">
        <v>11727</v>
      </c>
    </row>
    <row r="320" spans="1:1" x14ac:dyDescent="0.25">
      <c r="A320" t="s">
        <v>11730</v>
      </c>
    </row>
    <row r="321" spans="1:1" x14ac:dyDescent="0.25">
      <c r="A321" t="s">
        <v>11731</v>
      </c>
    </row>
    <row r="322" spans="1:1" x14ac:dyDescent="0.25">
      <c r="A322" t="s">
        <v>11732</v>
      </c>
    </row>
    <row r="323" spans="1:1" x14ac:dyDescent="0.25">
      <c r="A323" t="s">
        <v>11735</v>
      </c>
    </row>
    <row r="324" spans="1:1" x14ac:dyDescent="0.25">
      <c r="A324" t="s">
        <v>11736</v>
      </c>
    </row>
    <row r="325" spans="1:1" x14ac:dyDescent="0.25">
      <c r="A325" t="s">
        <v>11737</v>
      </c>
    </row>
    <row r="326" spans="1:1" x14ac:dyDescent="0.25">
      <c r="A326" t="s">
        <v>11738</v>
      </c>
    </row>
    <row r="327" spans="1:1" x14ac:dyDescent="0.25">
      <c r="A327" t="s">
        <v>9341</v>
      </c>
    </row>
    <row r="328" spans="1:1" x14ac:dyDescent="0.25">
      <c r="A328" t="s">
        <v>11744</v>
      </c>
    </row>
    <row r="329" spans="1:1" x14ac:dyDescent="0.25">
      <c r="A329" t="s">
        <v>11747</v>
      </c>
    </row>
    <row r="330" spans="1:1" x14ac:dyDescent="0.25">
      <c r="A330" t="s">
        <v>11749</v>
      </c>
    </row>
    <row r="331" spans="1:1" x14ac:dyDescent="0.25">
      <c r="A331" t="s">
        <v>11751</v>
      </c>
    </row>
    <row r="332" spans="1:1" x14ac:dyDescent="0.25">
      <c r="A332" t="s">
        <v>11754</v>
      </c>
    </row>
    <row r="333" spans="1:1" x14ac:dyDescent="0.25">
      <c r="A333" t="s">
        <v>11756</v>
      </c>
    </row>
    <row r="334" spans="1:1" x14ac:dyDescent="0.25">
      <c r="A334" t="s">
        <v>9699</v>
      </c>
    </row>
    <row r="335" spans="1:1" x14ac:dyDescent="0.25">
      <c r="A335" t="s">
        <v>11757</v>
      </c>
    </row>
    <row r="336" spans="1:1" x14ac:dyDescent="0.25">
      <c r="A336" t="s">
        <v>11758</v>
      </c>
    </row>
    <row r="337" spans="1:1" x14ac:dyDescent="0.25">
      <c r="A337" t="s">
        <v>11760</v>
      </c>
    </row>
    <row r="338" spans="1:1" x14ac:dyDescent="0.25">
      <c r="A338" t="s">
        <v>11765</v>
      </c>
    </row>
    <row r="339" spans="1:1" x14ac:dyDescent="0.25">
      <c r="A339" t="s">
        <v>9703</v>
      </c>
    </row>
    <row r="340" spans="1:1" x14ac:dyDescent="0.25">
      <c r="A340" t="s">
        <v>9669</v>
      </c>
    </row>
    <row r="341" spans="1:1" x14ac:dyDescent="0.25">
      <c r="A341" t="s">
        <v>11773</v>
      </c>
    </row>
    <row r="342" spans="1:1" x14ac:dyDescent="0.25">
      <c r="A342" t="s">
        <v>11783</v>
      </c>
    </row>
    <row r="343" spans="1:1" x14ac:dyDescent="0.25">
      <c r="A343" t="s">
        <v>9346</v>
      </c>
    </row>
    <row r="344" spans="1:1" x14ac:dyDescent="0.25">
      <c r="A344" t="s">
        <v>7734</v>
      </c>
    </row>
    <row r="345" spans="1:1" x14ac:dyDescent="0.25">
      <c r="A345" t="s">
        <v>11799</v>
      </c>
    </row>
    <row r="346" spans="1:1" x14ac:dyDescent="0.25">
      <c r="A346" t="s">
        <v>11800</v>
      </c>
    </row>
    <row r="347" spans="1:1" x14ac:dyDescent="0.25">
      <c r="A347" t="s">
        <v>9349</v>
      </c>
    </row>
    <row r="348" spans="1:1" x14ac:dyDescent="0.25">
      <c r="A348" t="s">
        <v>7737</v>
      </c>
    </row>
    <row r="349" spans="1:1" x14ac:dyDescent="0.25">
      <c r="A349" t="s">
        <v>11807</v>
      </c>
    </row>
    <row r="350" spans="1:1" x14ac:dyDescent="0.25">
      <c r="A350" t="s">
        <v>8464</v>
      </c>
    </row>
    <row r="351" spans="1:1" x14ac:dyDescent="0.25">
      <c r="A351" t="s">
        <v>8743</v>
      </c>
    </row>
    <row r="352" spans="1:1" x14ac:dyDescent="0.25">
      <c r="A352" t="s">
        <v>11812</v>
      </c>
    </row>
    <row r="353" spans="1:1" x14ac:dyDescent="0.25">
      <c r="A353" t="s">
        <v>11814</v>
      </c>
    </row>
    <row r="354" spans="1:1" x14ac:dyDescent="0.25">
      <c r="A354" t="s">
        <v>11815</v>
      </c>
    </row>
    <row r="355" spans="1:1" x14ac:dyDescent="0.25">
      <c r="A355" t="s">
        <v>11822</v>
      </c>
    </row>
    <row r="356" spans="1:1" x14ac:dyDescent="0.25">
      <c r="A356" t="s">
        <v>11823</v>
      </c>
    </row>
    <row r="357" spans="1:1" x14ac:dyDescent="0.25">
      <c r="A357" t="s">
        <v>11825</v>
      </c>
    </row>
    <row r="358" spans="1:1" x14ac:dyDescent="0.25">
      <c r="A358" t="s">
        <v>11826</v>
      </c>
    </row>
    <row r="359" spans="1:1" x14ac:dyDescent="0.25">
      <c r="A359" t="s">
        <v>11828</v>
      </c>
    </row>
    <row r="360" spans="1:1" x14ac:dyDescent="0.25">
      <c r="A360" t="s">
        <v>11829</v>
      </c>
    </row>
    <row r="361" spans="1:1" x14ac:dyDescent="0.25">
      <c r="A361" t="s">
        <v>11830</v>
      </c>
    </row>
    <row r="362" spans="1:1" x14ac:dyDescent="0.25">
      <c r="A362" t="s">
        <v>7752</v>
      </c>
    </row>
    <row r="363" spans="1:1" x14ac:dyDescent="0.25">
      <c r="A363" t="s">
        <v>11846</v>
      </c>
    </row>
    <row r="364" spans="1:1" x14ac:dyDescent="0.25">
      <c r="A364" t="s">
        <v>11847</v>
      </c>
    </row>
    <row r="365" spans="1:1" x14ac:dyDescent="0.25">
      <c r="A365" t="s">
        <v>11848</v>
      </c>
    </row>
    <row r="366" spans="1:1" x14ac:dyDescent="0.25">
      <c r="A366" t="s">
        <v>7759</v>
      </c>
    </row>
    <row r="367" spans="1:1" x14ac:dyDescent="0.25">
      <c r="A367" t="s">
        <v>11851</v>
      </c>
    </row>
    <row r="368" spans="1:1" x14ac:dyDescent="0.25">
      <c r="A368" t="s">
        <v>11852</v>
      </c>
    </row>
    <row r="369" spans="1:1" x14ac:dyDescent="0.25">
      <c r="A369" t="s">
        <v>11855</v>
      </c>
    </row>
    <row r="370" spans="1:1" x14ac:dyDescent="0.25">
      <c r="A370" t="s">
        <v>11857</v>
      </c>
    </row>
    <row r="371" spans="1:1" x14ac:dyDescent="0.25">
      <c r="A371" t="s">
        <v>10717</v>
      </c>
    </row>
    <row r="372" spans="1:1" x14ac:dyDescent="0.25">
      <c r="A372" t="s">
        <v>11869</v>
      </c>
    </row>
    <row r="373" spans="1:1" x14ac:dyDescent="0.25">
      <c r="A373" t="s">
        <v>11871</v>
      </c>
    </row>
    <row r="374" spans="1:1" x14ac:dyDescent="0.25">
      <c r="A374" t="s">
        <v>11873</v>
      </c>
    </row>
    <row r="375" spans="1:1" x14ac:dyDescent="0.25">
      <c r="A375" t="s">
        <v>11875</v>
      </c>
    </row>
    <row r="376" spans="1:1" x14ac:dyDescent="0.25">
      <c r="A376" t="s">
        <v>11876</v>
      </c>
    </row>
    <row r="377" spans="1:1" x14ac:dyDescent="0.25">
      <c r="A377" t="s">
        <v>11884</v>
      </c>
    </row>
    <row r="378" spans="1:1" x14ac:dyDescent="0.25">
      <c r="A378" t="s">
        <v>11885</v>
      </c>
    </row>
    <row r="379" spans="1:1" x14ac:dyDescent="0.25">
      <c r="A379" t="s">
        <v>11894</v>
      </c>
    </row>
    <row r="380" spans="1:1" x14ac:dyDescent="0.25">
      <c r="A380" t="s">
        <v>8746</v>
      </c>
    </row>
    <row r="381" spans="1:1" x14ac:dyDescent="0.25">
      <c r="A381" t="s">
        <v>11896</v>
      </c>
    </row>
    <row r="382" spans="1:1" x14ac:dyDescent="0.25">
      <c r="A382" t="s">
        <v>11899</v>
      </c>
    </row>
    <row r="383" spans="1:1" x14ac:dyDescent="0.25">
      <c r="A383" t="s">
        <v>11918</v>
      </c>
    </row>
    <row r="384" spans="1:1" x14ac:dyDescent="0.25">
      <c r="A384" t="s">
        <v>11922</v>
      </c>
    </row>
    <row r="385" spans="1:1" x14ac:dyDescent="0.25">
      <c r="A385" t="s">
        <v>11927</v>
      </c>
    </row>
    <row r="386" spans="1:1" x14ac:dyDescent="0.25">
      <c r="A386" t="s">
        <v>11928</v>
      </c>
    </row>
    <row r="387" spans="1:1" x14ac:dyDescent="0.25">
      <c r="A387" t="s">
        <v>11933</v>
      </c>
    </row>
    <row r="388" spans="1:1" x14ac:dyDescent="0.25">
      <c r="A388" t="s">
        <v>11935</v>
      </c>
    </row>
    <row r="389" spans="1:1" x14ac:dyDescent="0.25">
      <c r="A389" t="s">
        <v>11936</v>
      </c>
    </row>
    <row r="390" spans="1:1" x14ac:dyDescent="0.25">
      <c r="A390" t="s">
        <v>11937</v>
      </c>
    </row>
    <row r="391" spans="1:1" x14ac:dyDescent="0.25">
      <c r="A391" t="s">
        <v>11939</v>
      </c>
    </row>
    <row r="392" spans="1:1" x14ac:dyDescent="0.25">
      <c r="A392" t="s">
        <v>11943</v>
      </c>
    </row>
    <row r="393" spans="1:1" x14ac:dyDescent="0.25">
      <c r="A393" t="s">
        <v>11944</v>
      </c>
    </row>
    <row r="394" spans="1:1" x14ac:dyDescent="0.25">
      <c r="A394" t="s">
        <v>11956</v>
      </c>
    </row>
    <row r="395" spans="1:1" x14ac:dyDescent="0.25">
      <c r="A395" t="s">
        <v>11965</v>
      </c>
    </row>
    <row r="396" spans="1:1" x14ac:dyDescent="0.25">
      <c r="A396" t="s">
        <v>11966</v>
      </c>
    </row>
    <row r="397" spans="1:1" x14ac:dyDescent="0.25">
      <c r="A397" t="s">
        <v>9719</v>
      </c>
    </row>
    <row r="398" spans="1:1" x14ac:dyDescent="0.25">
      <c r="A398" t="s">
        <v>7802</v>
      </c>
    </row>
    <row r="399" spans="1:1" x14ac:dyDescent="0.25">
      <c r="A399" t="s">
        <v>11978</v>
      </c>
    </row>
    <row r="400" spans="1:1" x14ac:dyDescent="0.25">
      <c r="A400" t="s">
        <v>7804</v>
      </c>
    </row>
    <row r="401" spans="1:1" x14ac:dyDescent="0.25">
      <c r="A401" t="s">
        <v>11988</v>
      </c>
    </row>
    <row r="402" spans="1:1" x14ac:dyDescent="0.25">
      <c r="A402" t="s">
        <v>11989</v>
      </c>
    </row>
    <row r="403" spans="1:1" x14ac:dyDescent="0.25">
      <c r="A403" t="s">
        <v>11990</v>
      </c>
    </row>
    <row r="404" spans="1:1" x14ac:dyDescent="0.25">
      <c r="A404" t="s">
        <v>8806</v>
      </c>
    </row>
    <row r="405" spans="1:1" x14ac:dyDescent="0.25">
      <c r="A405" t="s">
        <v>11993</v>
      </c>
    </row>
    <row r="406" spans="1:1" x14ac:dyDescent="0.25">
      <c r="A406" t="s">
        <v>11994</v>
      </c>
    </row>
    <row r="407" spans="1:1" x14ac:dyDescent="0.25">
      <c r="A407" t="s">
        <v>12006</v>
      </c>
    </row>
    <row r="408" spans="1:1" x14ac:dyDescent="0.25">
      <c r="A408" t="s">
        <v>9721</v>
      </c>
    </row>
    <row r="409" spans="1:1" x14ac:dyDescent="0.25">
      <c r="A409" t="s">
        <v>12008</v>
      </c>
    </row>
    <row r="410" spans="1:1" x14ac:dyDescent="0.25">
      <c r="A410" t="s">
        <v>12012</v>
      </c>
    </row>
    <row r="411" spans="1:1" x14ac:dyDescent="0.25">
      <c r="A411" t="s">
        <v>12014</v>
      </c>
    </row>
    <row r="412" spans="1:1" x14ac:dyDescent="0.25">
      <c r="A412" t="s">
        <v>12020</v>
      </c>
    </row>
    <row r="413" spans="1:1" x14ac:dyDescent="0.25">
      <c r="A413" t="s">
        <v>12022</v>
      </c>
    </row>
    <row r="414" spans="1:1" x14ac:dyDescent="0.25">
      <c r="A414" t="s">
        <v>12025</v>
      </c>
    </row>
    <row r="415" spans="1:1" x14ac:dyDescent="0.25">
      <c r="A415" t="s">
        <v>12027</v>
      </c>
    </row>
    <row r="416" spans="1:1" x14ac:dyDescent="0.25">
      <c r="A416" t="s">
        <v>8511</v>
      </c>
    </row>
    <row r="417" spans="1:1" x14ac:dyDescent="0.25">
      <c r="A417" t="s">
        <v>9723</v>
      </c>
    </row>
    <row r="418" spans="1:1" x14ac:dyDescent="0.25">
      <c r="A418" t="s">
        <v>12034</v>
      </c>
    </row>
    <row r="419" spans="1:1" x14ac:dyDescent="0.25">
      <c r="A419" t="s">
        <v>12035</v>
      </c>
    </row>
    <row r="420" spans="1:1" x14ac:dyDescent="0.25">
      <c r="A420" t="s">
        <v>12039</v>
      </c>
    </row>
    <row r="421" spans="1:1" x14ac:dyDescent="0.25">
      <c r="A421" t="s">
        <v>12040</v>
      </c>
    </row>
    <row r="422" spans="1:1" x14ac:dyDescent="0.25">
      <c r="A422" t="s">
        <v>9392</v>
      </c>
    </row>
    <row r="423" spans="1:1" x14ac:dyDescent="0.25">
      <c r="A423" t="s">
        <v>8515</v>
      </c>
    </row>
    <row r="424" spans="1:1" x14ac:dyDescent="0.25">
      <c r="A424" t="s">
        <v>12047</v>
      </c>
    </row>
    <row r="425" spans="1:1" x14ac:dyDescent="0.25">
      <c r="A425" t="s">
        <v>9727</v>
      </c>
    </row>
    <row r="426" spans="1:1" x14ac:dyDescent="0.25">
      <c r="A426" t="s">
        <v>12065</v>
      </c>
    </row>
    <row r="427" spans="1:1" x14ac:dyDescent="0.25">
      <c r="A427" t="s">
        <v>12066</v>
      </c>
    </row>
    <row r="428" spans="1:1" x14ac:dyDescent="0.25">
      <c r="A428" t="s">
        <v>12067</v>
      </c>
    </row>
    <row r="429" spans="1:1" x14ac:dyDescent="0.25">
      <c r="A429" t="s">
        <v>10794</v>
      </c>
    </row>
    <row r="430" spans="1:1" x14ac:dyDescent="0.25">
      <c r="A430" t="s">
        <v>12068</v>
      </c>
    </row>
    <row r="431" spans="1:1" x14ac:dyDescent="0.25">
      <c r="A431" t="s">
        <v>12075</v>
      </c>
    </row>
    <row r="432" spans="1:1" x14ac:dyDescent="0.25">
      <c r="A432" t="s">
        <v>9402</v>
      </c>
    </row>
    <row r="433" spans="1:1" x14ac:dyDescent="0.25">
      <c r="A433" t="s">
        <v>12082</v>
      </c>
    </row>
    <row r="434" spans="1:1" x14ac:dyDescent="0.25">
      <c r="A434" t="s">
        <v>12083</v>
      </c>
    </row>
    <row r="435" spans="1:1" x14ac:dyDescent="0.25">
      <c r="A435" t="s">
        <v>12087</v>
      </c>
    </row>
    <row r="436" spans="1:1" x14ac:dyDescent="0.25">
      <c r="A436" t="s">
        <v>12095</v>
      </c>
    </row>
    <row r="437" spans="1:1" x14ac:dyDescent="0.25">
      <c r="A437" t="s">
        <v>12098</v>
      </c>
    </row>
    <row r="438" spans="1:1" x14ac:dyDescent="0.25">
      <c r="A438" t="s">
        <v>12102</v>
      </c>
    </row>
    <row r="439" spans="1:1" x14ac:dyDescent="0.25">
      <c r="A439" t="s">
        <v>12104</v>
      </c>
    </row>
    <row r="440" spans="1:1" x14ac:dyDescent="0.25">
      <c r="A440" t="s">
        <v>10722</v>
      </c>
    </row>
    <row r="441" spans="1:1" x14ac:dyDescent="0.25">
      <c r="A441" t="s">
        <v>8812</v>
      </c>
    </row>
    <row r="442" spans="1:1" x14ac:dyDescent="0.25">
      <c r="A442" t="s">
        <v>12113</v>
      </c>
    </row>
    <row r="443" spans="1:1" x14ac:dyDescent="0.25">
      <c r="A443" t="s">
        <v>12115</v>
      </c>
    </row>
    <row r="444" spans="1:1" x14ac:dyDescent="0.25">
      <c r="A444" t="s">
        <v>12120</v>
      </c>
    </row>
    <row r="445" spans="1:1" x14ac:dyDescent="0.25">
      <c r="A445" t="s">
        <v>12123</v>
      </c>
    </row>
    <row r="446" spans="1:1" x14ac:dyDescent="0.25">
      <c r="A446" t="s">
        <v>9412</v>
      </c>
    </row>
    <row r="447" spans="1:1" x14ac:dyDescent="0.25">
      <c r="A447" t="s">
        <v>12133</v>
      </c>
    </row>
    <row r="448" spans="1:1" x14ac:dyDescent="0.25">
      <c r="A448" t="s">
        <v>9736</v>
      </c>
    </row>
    <row r="449" spans="1:1" x14ac:dyDescent="0.25">
      <c r="A449" t="s">
        <v>12143</v>
      </c>
    </row>
    <row r="450" spans="1:1" x14ac:dyDescent="0.25">
      <c r="A450" t="s">
        <v>12146</v>
      </c>
    </row>
    <row r="451" spans="1:1" x14ac:dyDescent="0.25">
      <c r="A451" t="s">
        <v>12147</v>
      </c>
    </row>
    <row r="452" spans="1:1" x14ac:dyDescent="0.25">
      <c r="A452" t="s">
        <v>12151</v>
      </c>
    </row>
    <row r="453" spans="1:1" x14ac:dyDescent="0.25">
      <c r="A453" t="s">
        <v>7872</v>
      </c>
    </row>
    <row r="454" spans="1:1" x14ac:dyDescent="0.25">
      <c r="A454" t="s">
        <v>12156</v>
      </c>
    </row>
    <row r="455" spans="1:1" x14ac:dyDescent="0.25">
      <c r="A455" t="s">
        <v>12175</v>
      </c>
    </row>
    <row r="456" spans="1:1" x14ac:dyDescent="0.25">
      <c r="A456" t="s">
        <v>8751</v>
      </c>
    </row>
    <row r="457" spans="1:1" x14ac:dyDescent="0.25">
      <c r="A457" t="s">
        <v>12186</v>
      </c>
    </row>
    <row r="458" spans="1:1" x14ac:dyDescent="0.25">
      <c r="A458" t="s">
        <v>12187</v>
      </c>
    </row>
    <row r="459" spans="1:1" x14ac:dyDescent="0.25">
      <c r="A459" t="s">
        <v>12193</v>
      </c>
    </row>
    <row r="460" spans="1:1" x14ac:dyDescent="0.25">
      <c r="A460" t="s">
        <v>12202</v>
      </c>
    </row>
    <row r="461" spans="1:1" x14ac:dyDescent="0.25">
      <c r="A461" t="s">
        <v>8815</v>
      </c>
    </row>
    <row r="462" spans="1:1" x14ac:dyDescent="0.25">
      <c r="A462" t="s">
        <v>12213</v>
      </c>
    </row>
    <row r="463" spans="1:1" x14ac:dyDescent="0.25">
      <c r="A463" t="s">
        <v>12218</v>
      </c>
    </row>
    <row r="464" spans="1:1" x14ac:dyDescent="0.25">
      <c r="A464" t="s">
        <v>12226</v>
      </c>
    </row>
    <row r="465" spans="1:1" x14ac:dyDescent="0.25">
      <c r="A465" t="s">
        <v>12227</v>
      </c>
    </row>
    <row r="466" spans="1:1" x14ac:dyDescent="0.25">
      <c r="A466" t="s">
        <v>8753</v>
      </c>
    </row>
    <row r="467" spans="1:1" x14ac:dyDescent="0.25">
      <c r="A467" t="s">
        <v>12230</v>
      </c>
    </row>
    <row r="468" spans="1:1" x14ac:dyDescent="0.25">
      <c r="A468" t="s">
        <v>9742</v>
      </c>
    </row>
    <row r="469" spans="1:1" x14ac:dyDescent="0.25">
      <c r="A469" t="s">
        <v>12247</v>
      </c>
    </row>
    <row r="470" spans="1:1" x14ac:dyDescent="0.25">
      <c r="A470" t="s">
        <v>8817</v>
      </c>
    </row>
    <row r="471" spans="1:1" x14ac:dyDescent="0.25">
      <c r="A471" t="s">
        <v>12253</v>
      </c>
    </row>
    <row r="472" spans="1:1" x14ac:dyDescent="0.25">
      <c r="A472" t="s">
        <v>12255</v>
      </c>
    </row>
    <row r="473" spans="1:1" x14ac:dyDescent="0.25">
      <c r="A473" t="s">
        <v>8555</v>
      </c>
    </row>
    <row r="474" spans="1:1" x14ac:dyDescent="0.25">
      <c r="A474" t="s">
        <v>9440</v>
      </c>
    </row>
    <row r="475" spans="1:1" x14ac:dyDescent="0.25">
      <c r="A475" t="s">
        <v>12259</v>
      </c>
    </row>
    <row r="476" spans="1:1" x14ac:dyDescent="0.25">
      <c r="A476" t="s">
        <v>12266</v>
      </c>
    </row>
    <row r="477" spans="1:1" x14ac:dyDescent="0.25">
      <c r="A477" t="s">
        <v>12267</v>
      </c>
    </row>
    <row r="478" spans="1:1" x14ac:dyDescent="0.25">
      <c r="A478" t="s">
        <v>12272</v>
      </c>
    </row>
    <row r="479" spans="1:1" x14ac:dyDescent="0.25">
      <c r="A479" t="s">
        <v>12282</v>
      </c>
    </row>
    <row r="480" spans="1:1" x14ac:dyDescent="0.25">
      <c r="A480" t="s">
        <v>12283</v>
      </c>
    </row>
    <row r="481" spans="1:1" x14ac:dyDescent="0.25">
      <c r="A481" t="s">
        <v>12284</v>
      </c>
    </row>
    <row r="482" spans="1:1" x14ac:dyDescent="0.25">
      <c r="A482" t="s">
        <v>9744</v>
      </c>
    </row>
    <row r="483" spans="1:1" x14ac:dyDescent="0.25">
      <c r="A483" t="s">
        <v>9745</v>
      </c>
    </row>
    <row r="484" spans="1:1" x14ac:dyDescent="0.25">
      <c r="A484" t="s">
        <v>12293</v>
      </c>
    </row>
    <row r="485" spans="1:1" x14ac:dyDescent="0.25">
      <c r="A485" t="s">
        <v>12302</v>
      </c>
    </row>
    <row r="486" spans="1:1" x14ac:dyDescent="0.25">
      <c r="A486" t="s">
        <v>12305</v>
      </c>
    </row>
    <row r="487" spans="1:1" x14ac:dyDescent="0.25">
      <c r="A487" t="s">
        <v>12308</v>
      </c>
    </row>
    <row r="488" spans="1:1" x14ac:dyDescent="0.25">
      <c r="A488" t="s">
        <v>12311</v>
      </c>
    </row>
    <row r="489" spans="1:1" x14ac:dyDescent="0.25">
      <c r="A489" t="s">
        <v>12313</v>
      </c>
    </row>
    <row r="490" spans="1:1" x14ac:dyDescent="0.25">
      <c r="A490" t="s">
        <v>12314</v>
      </c>
    </row>
    <row r="491" spans="1:1" x14ac:dyDescent="0.25">
      <c r="A491" t="s">
        <v>12322</v>
      </c>
    </row>
    <row r="492" spans="1:1" x14ac:dyDescent="0.25">
      <c r="A492" t="s">
        <v>12323</v>
      </c>
    </row>
    <row r="493" spans="1:1" x14ac:dyDescent="0.25">
      <c r="A493" t="s">
        <v>12324</v>
      </c>
    </row>
    <row r="494" spans="1:1" x14ac:dyDescent="0.25">
      <c r="A494" t="s">
        <v>12325</v>
      </c>
    </row>
    <row r="495" spans="1:1" x14ac:dyDescent="0.25">
      <c r="A495" t="s">
        <v>12327</v>
      </c>
    </row>
    <row r="496" spans="1:1" x14ac:dyDescent="0.25">
      <c r="A496" t="s">
        <v>12337</v>
      </c>
    </row>
    <row r="497" spans="1:1" x14ac:dyDescent="0.25">
      <c r="A497" t="s">
        <v>12339</v>
      </c>
    </row>
    <row r="498" spans="1:1" x14ac:dyDescent="0.25">
      <c r="A498" t="s">
        <v>12350</v>
      </c>
    </row>
    <row r="499" spans="1:1" x14ac:dyDescent="0.25">
      <c r="A499" t="s">
        <v>12351</v>
      </c>
    </row>
    <row r="500" spans="1:1" x14ac:dyDescent="0.25">
      <c r="A500" t="s">
        <v>12354</v>
      </c>
    </row>
    <row r="501" spans="1:1" x14ac:dyDescent="0.25">
      <c r="A501" t="s">
        <v>12358</v>
      </c>
    </row>
    <row r="502" spans="1:1" x14ac:dyDescent="0.25">
      <c r="A502" t="s">
        <v>12368</v>
      </c>
    </row>
    <row r="503" spans="1:1" x14ac:dyDescent="0.25">
      <c r="A503" t="s">
        <v>12369</v>
      </c>
    </row>
    <row r="504" spans="1:1" x14ac:dyDescent="0.25">
      <c r="A504" t="s">
        <v>12370</v>
      </c>
    </row>
    <row r="505" spans="1:1" x14ac:dyDescent="0.25">
      <c r="A505" t="s">
        <v>12371</v>
      </c>
    </row>
    <row r="506" spans="1:1" x14ac:dyDescent="0.25">
      <c r="A506" t="s">
        <v>12372</v>
      </c>
    </row>
    <row r="507" spans="1:1" x14ac:dyDescent="0.25">
      <c r="A507" t="s">
        <v>10797</v>
      </c>
    </row>
    <row r="508" spans="1:1" x14ac:dyDescent="0.25">
      <c r="A508" t="s">
        <v>12374</v>
      </c>
    </row>
    <row r="509" spans="1:1" x14ac:dyDescent="0.25">
      <c r="A509" t="s">
        <v>12378</v>
      </c>
    </row>
    <row r="510" spans="1:1" x14ac:dyDescent="0.25">
      <c r="A510" t="s">
        <v>9458</v>
      </c>
    </row>
    <row r="511" spans="1:1" x14ac:dyDescent="0.25">
      <c r="A511" t="s">
        <v>12379</v>
      </c>
    </row>
    <row r="512" spans="1:1" x14ac:dyDescent="0.25">
      <c r="A512" t="s">
        <v>12381</v>
      </c>
    </row>
    <row r="513" spans="1:1" x14ac:dyDescent="0.25">
      <c r="A513" t="s">
        <v>12389</v>
      </c>
    </row>
    <row r="514" spans="1:1" x14ac:dyDescent="0.25">
      <c r="A514" t="s">
        <v>12395</v>
      </c>
    </row>
    <row r="515" spans="1:1" x14ac:dyDescent="0.25">
      <c r="A515" t="s">
        <v>12399</v>
      </c>
    </row>
    <row r="516" spans="1:1" x14ac:dyDescent="0.25">
      <c r="A516" t="s">
        <v>12412</v>
      </c>
    </row>
    <row r="517" spans="1:1" x14ac:dyDescent="0.25">
      <c r="A517" t="s">
        <v>12418</v>
      </c>
    </row>
    <row r="518" spans="1:1" x14ac:dyDescent="0.25">
      <c r="A518" t="s">
        <v>12436</v>
      </c>
    </row>
    <row r="519" spans="1:1" x14ac:dyDescent="0.25">
      <c r="A519" t="s">
        <v>12441</v>
      </c>
    </row>
    <row r="520" spans="1:1" x14ac:dyDescent="0.25">
      <c r="A520" t="s">
        <v>12442</v>
      </c>
    </row>
    <row r="521" spans="1:1" x14ac:dyDescent="0.25">
      <c r="A521" t="s">
        <v>12443</v>
      </c>
    </row>
    <row r="522" spans="1:1" x14ac:dyDescent="0.25">
      <c r="A522" t="s">
        <v>12444</v>
      </c>
    </row>
    <row r="523" spans="1:1" x14ac:dyDescent="0.25">
      <c r="A523" t="s">
        <v>12446</v>
      </c>
    </row>
    <row r="524" spans="1:1" x14ac:dyDescent="0.25">
      <c r="A524" t="s">
        <v>12447</v>
      </c>
    </row>
    <row r="525" spans="1:1" x14ac:dyDescent="0.25">
      <c r="A525" t="s">
        <v>12451</v>
      </c>
    </row>
    <row r="526" spans="1:1" x14ac:dyDescent="0.25">
      <c r="A526" t="s">
        <v>8755</v>
      </c>
    </row>
    <row r="527" spans="1:1" x14ac:dyDescent="0.25">
      <c r="A527" t="s">
        <v>12454</v>
      </c>
    </row>
    <row r="528" spans="1:1" x14ac:dyDescent="0.25">
      <c r="A528" t="s">
        <v>8757</v>
      </c>
    </row>
    <row r="529" spans="1:1" x14ac:dyDescent="0.25">
      <c r="A529" t="s">
        <v>8033</v>
      </c>
    </row>
    <row r="530" spans="1:1" x14ac:dyDescent="0.25">
      <c r="A530" t="s">
        <v>12467</v>
      </c>
    </row>
    <row r="531" spans="1:1" x14ac:dyDescent="0.25">
      <c r="A531" t="s">
        <v>9750</v>
      </c>
    </row>
    <row r="532" spans="1:1" x14ac:dyDescent="0.25">
      <c r="A532" t="s">
        <v>12468</v>
      </c>
    </row>
    <row r="533" spans="1:1" x14ac:dyDescent="0.25">
      <c r="A533" t="s">
        <v>12469</v>
      </c>
    </row>
    <row r="534" spans="1:1" x14ac:dyDescent="0.25">
      <c r="A534" t="s">
        <v>12472</v>
      </c>
    </row>
    <row r="535" spans="1:1" x14ac:dyDescent="0.25">
      <c r="A535" t="s">
        <v>12478</v>
      </c>
    </row>
    <row r="536" spans="1:1" x14ac:dyDescent="0.25">
      <c r="A536" t="s">
        <v>12479</v>
      </c>
    </row>
    <row r="537" spans="1:1" x14ac:dyDescent="0.25">
      <c r="A537" t="s">
        <v>8601</v>
      </c>
    </row>
    <row r="538" spans="1:1" x14ac:dyDescent="0.25">
      <c r="A538" t="s">
        <v>12483</v>
      </c>
    </row>
    <row r="539" spans="1:1" x14ac:dyDescent="0.25">
      <c r="A539" t="s">
        <v>12490</v>
      </c>
    </row>
    <row r="540" spans="1:1" x14ac:dyDescent="0.25">
      <c r="A540" t="s">
        <v>12492</v>
      </c>
    </row>
    <row r="541" spans="1:1" x14ac:dyDescent="0.25">
      <c r="A541" t="s">
        <v>12497</v>
      </c>
    </row>
    <row r="542" spans="1:1" x14ac:dyDescent="0.25">
      <c r="A542" t="s">
        <v>12509</v>
      </c>
    </row>
    <row r="543" spans="1:1" x14ac:dyDescent="0.25">
      <c r="A543" t="s">
        <v>12516</v>
      </c>
    </row>
    <row r="544" spans="1:1" x14ac:dyDescent="0.25">
      <c r="A544" t="s">
        <v>12517</v>
      </c>
    </row>
    <row r="545" spans="1:1" x14ac:dyDescent="0.25">
      <c r="A545" t="s">
        <v>12536</v>
      </c>
    </row>
    <row r="546" spans="1:1" x14ac:dyDescent="0.25">
      <c r="A546" t="s">
        <v>12537</v>
      </c>
    </row>
    <row r="547" spans="1:1" x14ac:dyDescent="0.25">
      <c r="A547" t="s">
        <v>8759</v>
      </c>
    </row>
    <row r="548" spans="1:1" x14ac:dyDescent="0.25">
      <c r="A548" t="s">
        <v>12539</v>
      </c>
    </row>
    <row r="549" spans="1:1" x14ac:dyDescent="0.25">
      <c r="A549" t="s">
        <v>12546</v>
      </c>
    </row>
    <row r="550" spans="1:1" x14ac:dyDescent="0.25">
      <c r="A550" t="s">
        <v>12549</v>
      </c>
    </row>
    <row r="551" spans="1:1" x14ac:dyDescent="0.25">
      <c r="A551" t="s">
        <v>12551</v>
      </c>
    </row>
    <row r="552" spans="1:1" x14ac:dyDescent="0.25">
      <c r="A552" t="s">
        <v>9486</v>
      </c>
    </row>
    <row r="553" spans="1:1" x14ac:dyDescent="0.25">
      <c r="A553" t="s">
        <v>12567</v>
      </c>
    </row>
    <row r="554" spans="1:1" x14ac:dyDescent="0.25">
      <c r="A554" t="s">
        <v>12576</v>
      </c>
    </row>
    <row r="555" spans="1:1" x14ac:dyDescent="0.25">
      <c r="A555" t="s">
        <v>12578</v>
      </c>
    </row>
    <row r="556" spans="1:1" x14ac:dyDescent="0.25">
      <c r="A556" t="s">
        <v>12580</v>
      </c>
    </row>
    <row r="557" spans="1:1" x14ac:dyDescent="0.25">
      <c r="A557" t="s">
        <v>12582</v>
      </c>
    </row>
    <row r="558" spans="1:1" x14ac:dyDescent="0.25">
      <c r="A558" t="s">
        <v>8761</v>
      </c>
    </row>
    <row r="559" spans="1:1" x14ac:dyDescent="0.25">
      <c r="A559" t="s">
        <v>12586</v>
      </c>
    </row>
    <row r="560" spans="1:1" x14ac:dyDescent="0.25">
      <c r="A560" t="s">
        <v>8823</v>
      </c>
    </row>
    <row r="561" spans="1:1" x14ac:dyDescent="0.25">
      <c r="A561" t="s">
        <v>9491</v>
      </c>
    </row>
    <row r="562" spans="1:1" x14ac:dyDescent="0.25">
      <c r="A562" t="s">
        <v>8763</v>
      </c>
    </row>
    <row r="563" spans="1:1" x14ac:dyDescent="0.25">
      <c r="A563" t="s">
        <v>9492</v>
      </c>
    </row>
    <row r="564" spans="1:1" x14ac:dyDescent="0.25">
      <c r="A564" t="s">
        <v>9755</v>
      </c>
    </row>
    <row r="565" spans="1:1" x14ac:dyDescent="0.25">
      <c r="A565" t="s">
        <v>12598</v>
      </c>
    </row>
    <row r="566" spans="1:1" x14ac:dyDescent="0.25">
      <c r="A566" t="s">
        <v>8824</v>
      </c>
    </row>
    <row r="567" spans="1:1" x14ac:dyDescent="0.25">
      <c r="A567" t="s">
        <v>12607</v>
      </c>
    </row>
    <row r="568" spans="1:1" x14ac:dyDescent="0.25">
      <c r="A568" t="s">
        <v>12608</v>
      </c>
    </row>
    <row r="569" spans="1:1" x14ac:dyDescent="0.25">
      <c r="A569" t="s">
        <v>12610</v>
      </c>
    </row>
    <row r="570" spans="1:1" x14ac:dyDescent="0.25">
      <c r="A570" t="s">
        <v>12611</v>
      </c>
    </row>
    <row r="571" spans="1:1" x14ac:dyDescent="0.25">
      <c r="A571" t="s">
        <v>8079</v>
      </c>
    </row>
    <row r="572" spans="1:1" x14ac:dyDescent="0.25">
      <c r="A572" t="s">
        <v>12613</v>
      </c>
    </row>
    <row r="573" spans="1:1" x14ac:dyDescent="0.25">
      <c r="A573" t="s">
        <v>12614</v>
      </c>
    </row>
    <row r="574" spans="1:1" x14ac:dyDescent="0.25">
      <c r="A574" t="s">
        <v>12615</v>
      </c>
    </row>
    <row r="575" spans="1:1" x14ac:dyDescent="0.25">
      <c r="A575" t="s">
        <v>12619</v>
      </c>
    </row>
    <row r="576" spans="1:1" x14ac:dyDescent="0.25">
      <c r="A576" t="s">
        <v>8628</v>
      </c>
    </row>
    <row r="577" spans="1:1" x14ac:dyDescent="0.25">
      <c r="A577" t="s">
        <v>9759</v>
      </c>
    </row>
    <row r="578" spans="1:1" x14ac:dyDescent="0.25">
      <c r="A578" t="s">
        <v>12654</v>
      </c>
    </row>
    <row r="579" spans="1:1" x14ac:dyDescent="0.25">
      <c r="A579" t="s">
        <v>12660</v>
      </c>
    </row>
    <row r="580" spans="1:1" x14ac:dyDescent="0.25">
      <c r="A580" t="s">
        <v>12670</v>
      </c>
    </row>
    <row r="581" spans="1:1" x14ac:dyDescent="0.25">
      <c r="A581" t="s">
        <v>12673</v>
      </c>
    </row>
    <row r="582" spans="1:1" x14ac:dyDescent="0.25">
      <c r="A582" t="s">
        <v>12674</v>
      </c>
    </row>
    <row r="583" spans="1:1" x14ac:dyDescent="0.25">
      <c r="A583" t="s">
        <v>12675</v>
      </c>
    </row>
    <row r="584" spans="1:1" x14ac:dyDescent="0.25">
      <c r="A584" t="s">
        <v>12678</v>
      </c>
    </row>
    <row r="585" spans="1:1" x14ac:dyDescent="0.25">
      <c r="A585" t="s">
        <v>12680</v>
      </c>
    </row>
    <row r="586" spans="1:1" x14ac:dyDescent="0.25">
      <c r="A586" t="s">
        <v>12681</v>
      </c>
    </row>
    <row r="587" spans="1:1" x14ac:dyDescent="0.25">
      <c r="A587" t="s">
        <v>12687</v>
      </c>
    </row>
    <row r="588" spans="1:1" x14ac:dyDescent="0.25">
      <c r="A588" t="s">
        <v>12691</v>
      </c>
    </row>
    <row r="589" spans="1:1" x14ac:dyDescent="0.25">
      <c r="A589" t="s">
        <v>8769</v>
      </c>
    </row>
    <row r="590" spans="1:1" x14ac:dyDescent="0.25">
      <c r="A590" t="s">
        <v>8642</v>
      </c>
    </row>
    <row r="591" spans="1:1" x14ac:dyDescent="0.25">
      <c r="A591" t="s">
        <v>9760</v>
      </c>
    </row>
    <row r="592" spans="1:1" x14ac:dyDescent="0.25">
      <c r="A592" t="s">
        <v>12700</v>
      </c>
    </row>
    <row r="593" spans="1:1" x14ac:dyDescent="0.25">
      <c r="A593" t="s">
        <v>12707</v>
      </c>
    </row>
    <row r="594" spans="1:1" x14ac:dyDescent="0.25">
      <c r="A594" t="s">
        <v>12708</v>
      </c>
    </row>
    <row r="595" spans="1:1" x14ac:dyDescent="0.25">
      <c r="A595" t="s">
        <v>12709</v>
      </c>
    </row>
    <row r="596" spans="1:1" x14ac:dyDescent="0.25">
      <c r="A596" t="s">
        <v>12718</v>
      </c>
    </row>
    <row r="597" spans="1:1" x14ac:dyDescent="0.25">
      <c r="A597" t="s">
        <v>12722</v>
      </c>
    </row>
    <row r="598" spans="1:1" x14ac:dyDescent="0.25">
      <c r="A598" t="s">
        <v>12723</v>
      </c>
    </row>
    <row r="599" spans="1:1" x14ac:dyDescent="0.25">
      <c r="A599" t="s">
        <v>12725</v>
      </c>
    </row>
    <row r="600" spans="1:1" x14ac:dyDescent="0.25">
      <c r="A600" t="s">
        <v>12726</v>
      </c>
    </row>
    <row r="601" spans="1:1" x14ac:dyDescent="0.25">
      <c r="A601" t="s">
        <v>12732</v>
      </c>
    </row>
    <row r="602" spans="1:1" x14ac:dyDescent="0.25">
      <c r="A602" t="s">
        <v>12762</v>
      </c>
    </row>
    <row r="603" spans="1:1" x14ac:dyDescent="0.25">
      <c r="A603" t="s">
        <v>12763</v>
      </c>
    </row>
    <row r="604" spans="1:1" x14ac:dyDescent="0.25">
      <c r="A604" t="s">
        <v>12766</v>
      </c>
    </row>
    <row r="605" spans="1:1" x14ac:dyDescent="0.25">
      <c r="A605" t="s">
        <v>12777</v>
      </c>
    </row>
    <row r="606" spans="1:1" x14ac:dyDescent="0.25">
      <c r="A606" t="s">
        <v>12778</v>
      </c>
    </row>
    <row r="607" spans="1:1" x14ac:dyDescent="0.25">
      <c r="A607" t="s">
        <v>12781</v>
      </c>
    </row>
    <row r="608" spans="1:1" x14ac:dyDescent="0.25">
      <c r="A608" t="s">
        <v>12788</v>
      </c>
    </row>
    <row r="609" spans="1:1" x14ac:dyDescent="0.25">
      <c r="A609" t="s">
        <v>12792</v>
      </c>
    </row>
    <row r="610" spans="1:1" x14ac:dyDescent="0.25">
      <c r="A610" t="s">
        <v>9763</v>
      </c>
    </row>
    <row r="611" spans="1:1" x14ac:dyDescent="0.25">
      <c r="A611" t="s">
        <v>8771</v>
      </c>
    </row>
    <row r="612" spans="1:1" x14ac:dyDescent="0.25">
      <c r="A612" t="s">
        <v>12802</v>
      </c>
    </row>
    <row r="613" spans="1:1" x14ac:dyDescent="0.25">
      <c r="A613" t="s">
        <v>12804</v>
      </c>
    </row>
    <row r="614" spans="1:1" x14ac:dyDescent="0.25">
      <c r="A614" t="s">
        <v>12805</v>
      </c>
    </row>
    <row r="615" spans="1:1" x14ac:dyDescent="0.25">
      <c r="A615" t="s">
        <v>8772</v>
      </c>
    </row>
    <row r="616" spans="1:1" x14ac:dyDescent="0.25">
      <c r="A616" t="s">
        <v>8774</v>
      </c>
    </row>
    <row r="617" spans="1:1" x14ac:dyDescent="0.25">
      <c r="A617" t="s">
        <v>8663</v>
      </c>
    </row>
    <row r="618" spans="1:1" x14ac:dyDescent="0.25">
      <c r="A618" t="s">
        <v>12812</v>
      </c>
    </row>
    <row r="619" spans="1:1" x14ac:dyDescent="0.25">
      <c r="A619" t="s">
        <v>12815</v>
      </c>
    </row>
    <row r="620" spans="1:1" x14ac:dyDescent="0.25">
      <c r="A620" t="s">
        <v>12817</v>
      </c>
    </row>
    <row r="621" spans="1:1" x14ac:dyDescent="0.25">
      <c r="A621" t="s">
        <v>12818</v>
      </c>
    </row>
    <row r="622" spans="1:1" x14ac:dyDescent="0.25">
      <c r="A622" t="s">
        <v>12820</v>
      </c>
    </row>
    <row r="623" spans="1:1" x14ac:dyDescent="0.25">
      <c r="A623" t="s">
        <v>12821</v>
      </c>
    </row>
    <row r="624" spans="1:1" x14ac:dyDescent="0.25">
      <c r="A624" t="s">
        <v>12823</v>
      </c>
    </row>
    <row r="625" spans="1:1" x14ac:dyDescent="0.25">
      <c r="A625" t="s">
        <v>12831</v>
      </c>
    </row>
    <row r="626" spans="1:1" x14ac:dyDescent="0.25">
      <c r="A626" t="s">
        <v>12835</v>
      </c>
    </row>
    <row r="627" spans="1:1" x14ac:dyDescent="0.25">
      <c r="A627" t="s">
        <v>9545</v>
      </c>
    </row>
    <row r="628" spans="1:1" x14ac:dyDescent="0.25">
      <c r="A628" t="s">
        <v>12842</v>
      </c>
    </row>
    <row r="629" spans="1:1" x14ac:dyDescent="0.25">
      <c r="A629" t="s">
        <v>12846</v>
      </c>
    </row>
    <row r="630" spans="1:1" x14ac:dyDescent="0.25">
      <c r="A630" t="s">
        <v>12848</v>
      </c>
    </row>
    <row r="631" spans="1:1" x14ac:dyDescent="0.25">
      <c r="A631" t="s">
        <v>12850</v>
      </c>
    </row>
    <row r="632" spans="1:1" x14ac:dyDescent="0.25">
      <c r="A632" t="s">
        <v>12853</v>
      </c>
    </row>
    <row r="633" spans="1:1" x14ac:dyDescent="0.25">
      <c r="A633" t="s">
        <v>8830</v>
      </c>
    </row>
    <row r="634" spans="1:1" x14ac:dyDescent="0.25">
      <c r="A634" t="s">
        <v>12861</v>
      </c>
    </row>
    <row r="635" spans="1:1" x14ac:dyDescent="0.25">
      <c r="A635" t="s">
        <v>12865</v>
      </c>
    </row>
    <row r="636" spans="1:1" x14ac:dyDescent="0.25">
      <c r="A636" t="s">
        <v>12866</v>
      </c>
    </row>
    <row r="637" spans="1:1" x14ac:dyDescent="0.25">
      <c r="A637" t="s">
        <v>12872</v>
      </c>
    </row>
    <row r="638" spans="1:1" x14ac:dyDescent="0.25">
      <c r="A638" t="s">
        <v>12874</v>
      </c>
    </row>
    <row r="639" spans="1:1" x14ac:dyDescent="0.25">
      <c r="A639" t="s">
        <v>12880</v>
      </c>
    </row>
    <row r="640" spans="1:1" x14ac:dyDescent="0.25">
      <c r="A640" t="s">
        <v>12884</v>
      </c>
    </row>
    <row r="641" spans="1:1" x14ac:dyDescent="0.25">
      <c r="A641" t="s">
        <v>10727</v>
      </c>
    </row>
    <row r="642" spans="1:1" x14ac:dyDescent="0.25">
      <c r="A642" t="s">
        <v>12893</v>
      </c>
    </row>
    <row r="643" spans="1:1" x14ac:dyDescent="0.25">
      <c r="A643" t="s">
        <v>12896</v>
      </c>
    </row>
    <row r="644" spans="1:1" x14ac:dyDescent="0.25">
      <c r="A644" t="s">
        <v>12898</v>
      </c>
    </row>
  </sheetData>
  <pageMargins left="0.7" right="0.7" top="0.75" bottom="0.75" header="0.3" footer="0.3"/>
  <pageSetup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workbookViewId="0">
      <pane xSplit="6" ySplit="11" topLeftCell="G12" activePane="bottomRight" state="frozen"/>
      <selection pane="topRight" activeCell="G1" sqref="G1"/>
      <selection pane="bottomLeft" activeCell="A11" sqref="A11"/>
      <selection pane="bottomRight"/>
    </sheetView>
  </sheetViews>
  <sheetFormatPr defaultRowHeight="15" x14ac:dyDescent="0.25"/>
  <cols>
    <col min="1" max="1" width="24" customWidth="1"/>
    <col min="2" max="2" width="13.85546875" customWidth="1"/>
    <col min="3" max="3" width="49.140625" customWidth="1"/>
  </cols>
  <sheetData>
    <row r="1" spans="1:8" ht="20.25" x14ac:dyDescent="0.3">
      <c r="A1" s="12" t="s">
        <v>13261</v>
      </c>
    </row>
    <row r="2" spans="1:8" x14ac:dyDescent="0.25">
      <c r="A2" t="s">
        <v>13376</v>
      </c>
      <c r="B2" t="s">
        <v>2</v>
      </c>
      <c r="C2">
        <v>131</v>
      </c>
    </row>
    <row r="3" spans="1:8" x14ac:dyDescent="0.25">
      <c r="A3" t="s">
        <v>6894</v>
      </c>
      <c r="B3" t="s">
        <v>4</v>
      </c>
      <c r="C3">
        <v>77079</v>
      </c>
    </row>
    <row r="4" spans="1:8" x14ac:dyDescent="0.25">
      <c r="A4" t="s">
        <v>6915</v>
      </c>
      <c r="B4" t="s">
        <v>6</v>
      </c>
      <c r="C4" t="s">
        <v>7</v>
      </c>
    </row>
    <row r="5" spans="1:8" x14ac:dyDescent="0.25">
      <c r="A5" t="s">
        <v>6917</v>
      </c>
      <c r="B5" t="s">
        <v>9</v>
      </c>
      <c r="C5" t="s">
        <v>10</v>
      </c>
    </row>
    <row r="6" spans="1:8" x14ac:dyDescent="0.25">
      <c r="A6" t="s">
        <v>6926</v>
      </c>
      <c r="B6" t="s">
        <v>12</v>
      </c>
      <c r="C6" t="s">
        <v>13144</v>
      </c>
    </row>
    <row r="7" spans="1:8" x14ac:dyDescent="0.25">
      <c r="A7" t="s">
        <v>6952</v>
      </c>
      <c r="B7" t="s">
        <v>15</v>
      </c>
      <c r="C7" t="s">
        <v>16</v>
      </c>
    </row>
    <row r="8" spans="1:8" x14ac:dyDescent="0.25">
      <c r="A8" t="s">
        <v>8890</v>
      </c>
      <c r="B8" t="s">
        <v>18</v>
      </c>
      <c r="C8">
        <v>3</v>
      </c>
    </row>
    <row r="9" spans="1:8" x14ac:dyDescent="0.25">
      <c r="A9" t="s">
        <v>6981</v>
      </c>
      <c r="B9" t="s">
        <v>21</v>
      </c>
      <c r="C9" t="s">
        <v>19</v>
      </c>
    </row>
    <row r="10" spans="1:8" x14ac:dyDescent="0.25">
      <c r="A10" t="s">
        <v>8892</v>
      </c>
    </row>
    <row r="11" spans="1:8" x14ac:dyDescent="0.25">
      <c r="A11" t="s">
        <v>8898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</row>
    <row r="12" spans="1:8" x14ac:dyDescent="0.25">
      <c r="A12" t="s">
        <v>8906</v>
      </c>
      <c r="B12" t="str">
        <f>HYPERLINK("http://amigo.geneontology.org/cgi-bin/amigo/term-details.cgi?term=GO:0009607","GO:0009607")</f>
        <v>GO:0009607</v>
      </c>
      <c r="C12" t="s">
        <v>157</v>
      </c>
      <c r="D12">
        <v>144</v>
      </c>
      <c r="E12">
        <v>8</v>
      </c>
      <c r="F12" s="4">
        <v>1.7370209977421901E-10</v>
      </c>
      <c r="G12" s="4">
        <v>7.8426498048060202E-7</v>
      </c>
      <c r="H12" t="s">
        <v>13377</v>
      </c>
    </row>
    <row r="13" spans="1:8" x14ac:dyDescent="0.25">
      <c r="A13" t="s">
        <v>7008</v>
      </c>
      <c r="B13" t="str">
        <f>HYPERLINK("http://amigo.geneontology.org/cgi-bin/amigo/term-details.cgi?term=GO:0008150","GO:0008150")</f>
        <v>GO:0008150</v>
      </c>
      <c r="C13" t="s">
        <v>13144</v>
      </c>
      <c r="D13">
        <v>19286</v>
      </c>
      <c r="E13">
        <v>59</v>
      </c>
      <c r="F13" s="4">
        <v>5.0252581736908403E-7</v>
      </c>
      <c r="G13">
        <v>1.13420076980202E-3</v>
      </c>
      <c r="H13" t="s">
        <v>13378</v>
      </c>
    </row>
    <row r="14" spans="1:8" x14ac:dyDescent="0.25">
      <c r="A14" t="s">
        <v>7014</v>
      </c>
      <c r="B14" t="str">
        <f>HYPERLINK("http://amigo.geneontology.org/cgi-bin/amigo/term-details.cgi?term=GO:0008152","GO:0008152")</f>
        <v>GO:0008152</v>
      </c>
      <c r="C14" t="s">
        <v>13192</v>
      </c>
      <c r="D14">
        <v>17150</v>
      </c>
      <c r="E14">
        <v>53</v>
      </c>
      <c r="F14" s="4">
        <v>2.20013757615716E-6</v>
      </c>
      <c r="G14">
        <v>3.3112070521165299E-3</v>
      </c>
      <c r="H14" t="s">
        <v>13379</v>
      </c>
    </row>
    <row r="15" spans="1:8" x14ac:dyDescent="0.25">
      <c r="A15" t="s">
        <v>7021</v>
      </c>
      <c r="B15" t="str">
        <f>HYPERLINK("http://amigo.geneontology.org/cgi-bin/amigo/term-details.cgi?term=GO:0055114","GO:0055114")</f>
        <v>GO:0055114</v>
      </c>
      <c r="C15" t="s">
        <v>454</v>
      </c>
      <c r="D15">
        <v>6432</v>
      </c>
      <c r="E15">
        <v>27</v>
      </c>
      <c r="F15" s="4">
        <v>9.6855583141521596E-6</v>
      </c>
      <c r="G15">
        <v>1.09253097783636E-2</v>
      </c>
      <c r="H15" t="s">
        <v>13380</v>
      </c>
    </row>
    <row r="16" spans="1:8" x14ac:dyDescent="0.25">
      <c r="A16" t="s">
        <v>7033</v>
      </c>
      <c r="B16" t="str">
        <f>HYPERLINK("http://amigo.geneontology.org/cgi-bin/amigo/term-details.cgi?term=GO:0006950","GO:0006950")</f>
        <v>GO:0006950</v>
      </c>
      <c r="C16" t="s">
        <v>7156</v>
      </c>
      <c r="D16">
        <v>3456</v>
      </c>
      <c r="E16">
        <v>17</v>
      </c>
      <c r="F16" s="4">
        <v>8.3052377458298399E-5</v>
      </c>
      <c r="G16">
        <v>7.4996296844843394E-2</v>
      </c>
      <c r="H16" t="s">
        <v>13381</v>
      </c>
    </row>
    <row r="17" spans="1:8" x14ac:dyDescent="0.25">
      <c r="A17" t="s">
        <v>8934</v>
      </c>
      <c r="B17" t="str">
        <f>HYPERLINK("http://amigo.geneontology.org/cgi-bin/amigo/term-details.cgi?term=GO:0000305","GO:0000305")</f>
        <v>GO:0000305</v>
      </c>
      <c r="C17" t="s">
        <v>9806</v>
      </c>
      <c r="D17">
        <v>15</v>
      </c>
      <c r="E17">
        <v>2</v>
      </c>
      <c r="F17" s="4">
        <v>2.96646624479613E-4</v>
      </c>
      <c r="G17">
        <v>0.19133707278935</v>
      </c>
      <c r="H17" t="s">
        <v>9010</v>
      </c>
    </row>
    <row r="18" spans="1:8" x14ac:dyDescent="0.25">
      <c r="A18" t="s">
        <v>8944</v>
      </c>
      <c r="B18" t="str">
        <f>HYPERLINK("http://amigo.geneontology.org/cgi-bin/amigo/term-details.cgi?term=GO:0015865","GO:0015865")</f>
        <v>GO:0015865</v>
      </c>
      <c r="C18" t="s">
        <v>8972</v>
      </c>
      <c r="D18">
        <v>15</v>
      </c>
      <c r="E18">
        <v>2</v>
      </c>
      <c r="F18" s="4">
        <v>2.96646624479613E-4</v>
      </c>
      <c r="G18">
        <v>0.223078261608669</v>
      </c>
      <c r="H18" t="s">
        <v>9086</v>
      </c>
    </row>
    <row r="19" spans="1:8" x14ac:dyDescent="0.25">
      <c r="A19" t="s">
        <v>8952</v>
      </c>
      <c r="B19" t="str">
        <f>HYPERLINK("http://amigo.geneontology.org/cgi-bin/amigo/term-details.cgi?term=GO:0006026","GO:0006026")</f>
        <v>GO:0006026</v>
      </c>
      <c r="C19" t="s">
        <v>6941</v>
      </c>
      <c r="D19">
        <v>84</v>
      </c>
      <c r="E19">
        <v>3</v>
      </c>
      <c r="F19" s="4">
        <v>4.1335176857926301E-4</v>
      </c>
      <c r="G19">
        <v>0.155420264985803</v>
      </c>
      <c r="H19" t="s">
        <v>9791</v>
      </c>
    </row>
    <row r="20" spans="1:8" x14ac:dyDescent="0.25">
      <c r="A20" t="s">
        <v>9777</v>
      </c>
      <c r="B20" t="str">
        <f>HYPERLINK("http://amigo.geneontology.org/cgi-bin/amigo/term-details.cgi?term=GO:0006030","GO:0006030")</f>
        <v>GO:0006030</v>
      </c>
      <c r="C20" t="s">
        <v>6943</v>
      </c>
      <c r="D20">
        <v>84</v>
      </c>
      <c r="E20">
        <v>3</v>
      </c>
      <c r="F20" s="4">
        <v>4.1335176857926301E-4</v>
      </c>
      <c r="G20">
        <v>0.16947422511749799</v>
      </c>
      <c r="H20" t="s">
        <v>9791</v>
      </c>
    </row>
    <row r="21" spans="1:8" x14ac:dyDescent="0.25">
      <c r="A21" t="s">
        <v>9778</v>
      </c>
      <c r="B21" t="str">
        <f>HYPERLINK("http://amigo.geneontology.org/cgi-bin/amigo/term-details.cgi?term=GO:0046348","GO:0046348")</f>
        <v>GO:0046348</v>
      </c>
      <c r="C21" t="s">
        <v>6945</v>
      </c>
      <c r="D21">
        <v>84</v>
      </c>
      <c r="E21">
        <v>3</v>
      </c>
      <c r="F21" s="4">
        <v>4.1335176857926301E-4</v>
      </c>
      <c r="G21">
        <v>0.18642164762924701</v>
      </c>
      <c r="H21" t="s">
        <v>9791</v>
      </c>
    </row>
    <row r="22" spans="1:8" x14ac:dyDescent="0.25">
      <c r="A22" t="s">
        <v>7103</v>
      </c>
      <c r="B22" t="str">
        <f>HYPERLINK("http://amigo.geneontology.org/cgi-bin/amigo/term-details.cgi?term=GO:1901072","GO:1901072")</f>
        <v>GO:1901072</v>
      </c>
      <c r="C22" t="s">
        <v>6947</v>
      </c>
      <c r="D22">
        <v>84</v>
      </c>
      <c r="E22">
        <v>3</v>
      </c>
      <c r="F22" s="4">
        <v>4.1335176857926301E-4</v>
      </c>
      <c r="G22">
        <v>0.207089236058211</v>
      </c>
      <c r="H22" t="s">
        <v>9791</v>
      </c>
    </row>
    <row r="23" spans="1:8" x14ac:dyDescent="0.25">
      <c r="A23" t="s">
        <v>7119</v>
      </c>
      <c r="B23" t="str">
        <f>HYPERLINK("http://amigo.geneontology.org/cgi-bin/amigo/term-details.cgi?term=GO:0006032","GO:0006032")</f>
        <v>GO:0006032</v>
      </c>
      <c r="C23" t="s">
        <v>6949</v>
      </c>
      <c r="D23">
        <v>84</v>
      </c>
      <c r="E23">
        <v>3</v>
      </c>
      <c r="F23" s="4">
        <v>4.1335176857926301E-4</v>
      </c>
      <c r="G23">
        <v>0.23313039747870401</v>
      </c>
      <c r="H23" t="s">
        <v>9791</v>
      </c>
    </row>
    <row r="24" spans="1:8" x14ac:dyDescent="0.25">
      <c r="A24" t="s">
        <v>8995</v>
      </c>
      <c r="B24" t="str">
        <f>HYPERLINK("http://amigo.geneontology.org/cgi-bin/amigo/term-details.cgi?term=GO:0016998","GO:0016998")</f>
        <v>GO:0016998</v>
      </c>
      <c r="C24" t="s">
        <v>6933</v>
      </c>
      <c r="D24">
        <v>86</v>
      </c>
      <c r="E24">
        <v>3</v>
      </c>
      <c r="F24" s="4">
        <v>4.4286282895908299E-4</v>
      </c>
      <c r="G24">
        <v>0.153673401648801</v>
      </c>
      <c r="H24" t="s">
        <v>9791</v>
      </c>
    </row>
    <row r="25" spans="1:8" x14ac:dyDescent="0.25">
      <c r="A25" t="s">
        <v>9005</v>
      </c>
      <c r="B25" t="str">
        <f>HYPERLINK("http://amigo.geneontology.org/cgi-bin/amigo/term-details.cgi?term=GO:1901071","GO:1901071")</f>
        <v>GO:1901071</v>
      </c>
      <c r="C25" t="s">
        <v>6953</v>
      </c>
      <c r="D25">
        <v>87</v>
      </c>
      <c r="E25">
        <v>3</v>
      </c>
      <c r="F25" s="4">
        <v>4.5811156562869197E-4</v>
      </c>
      <c r="G25">
        <v>0.14751192413243799</v>
      </c>
      <c r="H25" t="s">
        <v>9791</v>
      </c>
    </row>
    <row r="26" spans="1:8" x14ac:dyDescent="0.25">
      <c r="A26" t="s">
        <v>7205</v>
      </c>
      <c r="B26" t="str">
        <f>HYPERLINK("http://amigo.geneontology.org/cgi-bin/amigo/term-details.cgi?term=GO:0006022","GO:0006022")</f>
        <v>GO:0006022</v>
      </c>
      <c r="C26" t="s">
        <v>6974</v>
      </c>
      <c r="D26">
        <v>96</v>
      </c>
      <c r="E26">
        <v>3</v>
      </c>
      <c r="F26" s="4">
        <v>6.1068560940400905E-4</v>
      </c>
      <c r="G26">
        <v>0.183816368430606</v>
      </c>
      <c r="H26" t="s">
        <v>9791</v>
      </c>
    </row>
    <row r="27" spans="1:8" x14ac:dyDescent="0.25">
      <c r="A27" t="s">
        <v>7234</v>
      </c>
      <c r="B27" t="str">
        <f>HYPERLINK("http://amigo.geneontology.org/cgi-bin/amigo/term-details.cgi?term=GO:1901136","GO:1901136")</f>
        <v>GO:1901136</v>
      </c>
      <c r="C27" t="s">
        <v>6302</v>
      </c>
      <c r="D27">
        <v>103</v>
      </c>
      <c r="E27">
        <v>3</v>
      </c>
      <c r="F27" s="4">
        <v>7.4936238295698204E-4</v>
      </c>
      <c r="G27">
        <v>0.21132019199386901</v>
      </c>
      <c r="H27" t="s">
        <v>9791</v>
      </c>
    </row>
    <row r="28" spans="1:8" x14ac:dyDescent="0.25">
      <c r="A28" t="s">
        <v>7236</v>
      </c>
      <c r="B28" t="str">
        <f>HYPERLINK("http://amigo.geneontology.org/cgi-bin/amigo/term-details.cgi?term=GO:0071704","GO:0071704")</f>
        <v>GO:0071704</v>
      </c>
      <c r="C28" t="s">
        <v>472</v>
      </c>
      <c r="D28">
        <v>3829</v>
      </c>
      <c r="E28">
        <v>16</v>
      </c>
      <c r="F28" s="4">
        <v>8.1666345745328198E-4</v>
      </c>
      <c r="G28">
        <v>0.21641581622511899</v>
      </c>
      <c r="H28" t="s">
        <v>13382</v>
      </c>
    </row>
    <row r="29" spans="1:8" x14ac:dyDescent="0.25">
      <c r="A29" t="s">
        <v>7238</v>
      </c>
      <c r="B29" t="str">
        <f>HYPERLINK("http://amigo.geneontology.org/cgi-bin/amigo/term-details.cgi?term=GO:0006862","GO:0006862")</f>
        <v>GO:0006862</v>
      </c>
      <c r="C29" t="s">
        <v>9101</v>
      </c>
      <c r="D29">
        <v>29</v>
      </c>
      <c r="E29">
        <v>2</v>
      </c>
      <c r="F29">
        <v>1.1292903236533799E-3</v>
      </c>
      <c r="G29">
        <v>0.282322580913345</v>
      </c>
      <c r="H29" t="s">
        <v>9086</v>
      </c>
    </row>
    <row r="30" spans="1:8" x14ac:dyDescent="0.25">
      <c r="A30" t="s">
        <v>7239</v>
      </c>
      <c r="B30" t="str">
        <f>HYPERLINK("http://amigo.geneontology.org/cgi-bin/amigo/term-details.cgi?term=GO:0044036","GO:0044036")</f>
        <v>GO:0044036</v>
      </c>
      <c r="C30" t="s">
        <v>828</v>
      </c>
      <c r="D30">
        <v>129</v>
      </c>
      <c r="E30">
        <v>3</v>
      </c>
      <c r="F30">
        <v>1.43410651490836E-3</v>
      </c>
      <c r="G30">
        <v>0.33988324403328302</v>
      </c>
      <c r="H30" t="s">
        <v>9791</v>
      </c>
    </row>
    <row r="31" spans="1:8" x14ac:dyDescent="0.25">
      <c r="A31" t="s">
        <v>7247</v>
      </c>
      <c r="B31" t="str">
        <f>HYPERLINK("http://amigo.geneontology.org/cgi-bin/amigo/term-details.cgi?term=GO:0000303","GO:0000303")</f>
        <v>GO:0000303</v>
      </c>
      <c r="C31" t="s">
        <v>9807</v>
      </c>
      <c r="D31">
        <v>39</v>
      </c>
      <c r="E31">
        <v>2</v>
      </c>
      <c r="F31">
        <v>2.0383056014974298E-3</v>
      </c>
      <c r="G31">
        <v>0.45861876033692101</v>
      </c>
      <c r="H31" t="s">
        <v>9010</v>
      </c>
    </row>
    <row r="32" spans="1:8" x14ac:dyDescent="0.25">
      <c r="A32" t="s">
        <v>7251</v>
      </c>
      <c r="B32" t="str">
        <f>HYPERLINK("http://amigo.geneontology.org/cgi-bin/amigo/term-details.cgi?term=GO:0005975","GO:0005975")</f>
        <v>GO:0005975</v>
      </c>
      <c r="C32" t="s">
        <v>171</v>
      </c>
      <c r="D32">
        <v>2055</v>
      </c>
      <c r="E32">
        <v>10</v>
      </c>
      <c r="F32">
        <v>2.7795898674116098E-3</v>
      </c>
      <c r="G32">
        <v>0.59761182149349701</v>
      </c>
      <c r="H32" t="s">
        <v>13383</v>
      </c>
    </row>
    <row r="33" spans="1:8" x14ac:dyDescent="0.25">
      <c r="A33" t="s">
        <v>9112</v>
      </c>
      <c r="B33" t="str">
        <f>HYPERLINK("http://amigo.geneontology.org/cgi-bin/amigo/term-details.cgi?term=GO:0050896","GO:0050896")</f>
        <v>GO:0050896</v>
      </c>
      <c r="C33" t="s">
        <v>13356</v>
      </c>
      <c r="D33">
        <v>3546</v>
      </c>
      <c r="E33">
        <v>14</v>
      </c>
      <c r="F33">
        <v>2.9283865341231999E-3</v>
      </c>
      <c r="G33">
        <v>0.60031923949525601</v>
      </c>
      <c r="H33" t="s">
        <v>13384</v>
      </c>
    </row>
    <row r="34" spans="1:8" x14ac:dyDescent="0.25">
      <c r="A34" t="s">
        <v>9141</v>
      </c>
      <c r="B34" t="str">
        <f>HYPERLINK("http://amigo.geneontology.org/cgi-bin/amigo/term-details.cgi?term=GO:0015931","GO:0015931")</f>
        <v>GO:0015931</v>
      </c>
      <c r="C34" t="s">
        <v>13385</v>
      </c>
      <c r="D34">
        <v>49</v>
      </c>
      <c r="E34">
        <v>2</v>
      </c>
      <c r="F34">
        <v>3.1991624615134201E-3</v>
      </c>
      <c r="G34">
        <v>0.62703584245663102</v>
      </c>
      <c r="H34" t="s">
        <v>9086</v>
      </c>
    </row>
    <row r="35" spans="1:8" x14ac:dyDescent="0.25">
      <c r="A35" t="s">
        <v>9143</v>
      </c>
      <c r="B35" t="str">
        <f>HYPERLINK("http://amigo.geneontology.org/cgi-bin/amigo/term-details.cgi?term=GO:0071369","GO:0071369")</f>
        <v>GO:0071369</v>
      </c>
      <c r="C35" t="s">
        <v>9815</v>
      </c>
      <c r="D35">
        <v>52</v>
      </c>
      <c r="E35">
        <v>2</v>
      </c>
      <c r="F35">
        <v>3.5952335414521099E-3</v>
      </c>
      <c r="G35">
        <v>0.64714203746137999</v>
      </c>
      <c r="H35" t="s">
        <v>9010</v>
      </c>
    </row>
    <row r="36" spans="1:8" x14ac:dyDescent="0.25">
      <c r="A36" t="s">
        <v>7322</v>
      </c>
      <c r="B36" t="str">
        <f>HYPERLINK("http://amigo.geneontology.org/cgi-bin/amigo/term-details.cgi?term=GO:0009873","GO:0009873")</f>
        <v>GO:0009873</v>
      </c>
      <c r="C36" t="s">
        <v>9816</v>
      </c>
      <c r="D36">
        <v>52</v>
      </c>
      <c r="E36">
        <v>2</v>
      </c>
      <c r="F36">
        <v>3.5952335414521099E-3</v>
      </c>
      <c r="G36">
        <v>0.67590390579299597</v>
      </c>
      <c r="H36" t="s">
        <v>9010</v>
      </c>
    </row>
    <row r="37" spans="1:8" x14ac:dyDescent="0.25">
      <c r="A37" t="s">
        <v>9793</v>
      </c>
      <c r="B37" t="str">
        <f>HYPERLINK("http://amigo.geneontology.org/cgi-bin/amigo/term-details.cgi?term=GO:0009056","GO:0009056")</f>
        <v>GO:0009056</v>
      </c>
      <c r="C37" t="s">
        <v>5309</v>
      </c>
      <c r="D37">
        <v>371</v>
      </c>
      <c r="E37">
        <v>4</v>
      </c>
      <c r="F37">
        <v>3.8290472536231298E-3</v>
      </c>
      <c r="G37">
        <v>0.66242517487680197</v>
      </c>
      <c r="H37" t="s">
        <v>13386</v>
      </c>
    </row>
    <row r="38" spans="1:8" x14ac:dyDescent="0.25">
      <c r="A38" t="s">
        <v>7336</v>
      </c>
      <c r="B38" t="str">
        <f>HYPERLINK("http://amigo.geneontology.org/cgi-bin/amigo/term-details.cgi?term=GO:0015693","GO:0015693")</f>
        <v>GO:0015693</v>
      </c>
      <c r="C38" t="s">
        <v>9822</v>
      </c>
      <c r="D38">
        <v>54</v>
      </c>
      <c r="E38">
        <v>2</v>
      </c>
      <c r="F38">
        <v>3.87132776319695E-3</v>
      </c>
      <c r="G38">
        <v>0.64651173645389104</v>
      </c>
      <c r="H38" t="s">
        <v>9819</v>
      </c>
    </row>
    <row r="39" spans="1:8" x14ac:dyDescent="0.25">
      <c r="A39" t="s">
        <v>9795</v>
      </c>
      <c r="B39" t="str">
        <f>HYPERLINK("http://amigo.geneontology.org/cgi-bin/amigo/term-details.cgi?term=GO:0015748","GO:0015748")</f>
        <v>GO:0015748</v>
      </c>
      <c r="C39" t="s">
        <v>7395</v>
      </c>
      <c r="D39">
        <v>57</v>
      </c>
      <c r="E39">
        <v>2</v>
      </c>
      <c r="F39">
        <v>4.30337074686546E-3</v>
      </c>
      <c r="G39">
        <v>0.69284269024533995</v>
      </c>
      <c r="H39" t="s">
        <v>9086</v>
      </c>
    </row>
    <row r="40" spans="1:8" x14ac:dyDescent="0.25">
      <c r="A40" t="s">
        <v>7346</v>
      </c>
      <c r="B40" t="str">
        <f>HYPERLINK("http://amigo.geneontology.org/cgi-bin/amigo/term-details.cgi?term=GO:0046149","GO:0046149")</f>
        <v>GO:0046149</v>
      </c>
      <c r="C40" t="s">
        <v>9835</v>
      </c>
      <c r="D40">
        <v>77</v>
      </c>
      <c r="E40">
        <v>2</v>
      </c>
      <c r="F40">
        <v>7.7167670871776404E-3</v>
      </c>
      <c r="G40">
        <v>1</v>
      </c>
      <c r="H40" t="s">
        <v>9010</v>
      </c>
    </row>
    <row r="41" spans="1:8" x14ac:dyDescent="0.25">
      <c r="A41" t="s">
        <v>7348</v>
      </c>
      <c r="B41" t="str">
        <f>HYPERLINK("http://amigo.geneontology.org/cgi-bin/amigo/term-details.cgi?term=GO:0015996","GO:0015996")</f>
        <v>GO:0015996</v>
      </c>
      <c r="C41" t="s">
        <v>9836</v>
      </c>
      <c r="D41">
        <v>77</v>
      </c>
      <c r="E41">
        <v>2</v>
      </c>
      <c r="F41">
        <v>7.7167670871776404E-3</v>
      </c>
      <c r="G41">
        <v>1</v>
      </c>
      <c r="H41" t="s">
        <v>9010</v>
      </c>
    </row>
    <row r="42" spans="1:8" x14ac:dyDescent="0.25">
      <c r="A42" t="s">
        <v>7349</v>
      </c>
      <c r="B42" t="str">
        <f>HYPERLINK("http://amigo.geneontology.org/cgi-bin/amigo/term-details.cgi?term=GO:1901565","GO:1901565")</f>
        <v>GO:1901565</v>
      </c>
      <c r="C42" t="s">
        <v>7125</v>
      </c>
      <c r="D42">
        <v>237</v>
      </c>
      <c r="E42">
        <v>3</v>
      </c>
      <c r="F42">
        <v>7.8711882185128305E-3</v>
      </c>
      <c r="G42">
        <v>1</v>
      </c>
      <c r="H42" t="s">
        <v>9791</v>
      </c>
    </row>
    <row r="43" spans="1:8" x14ac:dyDescent="0.25">
      <c r="A43" t="s">
        <v>7358</v>
      </c>
      <c r="B43" t="str">
        <f>HYPERLINK("http://amigo.geneontology.org/cgi-bin/amigo/term-details.cgi?term=GO:0006952","GO:0006952")</f>
        <v>GO:0006952</v>
      </c>
      <c r="C43" t="s">
        <v>155</v>
      </c>
      <c r="D43">
        <v>1346</v>
      </c>
      <c r="E43">
        <v>7</v>
      </c>
      <c r="F43">
        <v>8.3996483352184494E-3</v>
      </c>
      <c r="G43">
        <v>1</v>
      </c>
      <c r="H43" t="s">
        <v>13387</v>
      </c>
    </row>
    <row r="44" spans="1:8" x14ac:dyDescent="0.25">
      <c r="A44" t="s">
        <v>9168</v>
      </c>
      <c r="B44" t="str">
        <f>HYPERLINK("http://amigo.geneontology.org/cgi-bin/amigo/term-details.cgi?term=GO:0044238","GO:0044238")</f>
        <v>GO:0044238</v>
      </c>
      <c r="C44" t="s">
        <v>612</v>
      </c>
      <c r="D44">
        <v>5792</v>
      </c>
      <c r="E44">
        <v>18</v>
      </c>
      <c r="F44">
        <v>9.3788000765914897E-3</v>
      </c>
      <c r="G44">
        <v>1</v>
      </c>
      <c r="H44" t="s">
        <v>13388</v>
      </c>
    </row>
    <row r="45" spans="1:8" x14ac:dyDescent="0.25">
      <c r="A45" t="s">
        <v>9174</v>
      </c>
      <c r="B45" t="str">
        <f>HYPERLINK("http://amigo.geneontology.org/cgi-bin/amigo/term-details.cgi?term=GO:0033015","GO:0033015")</f>
        <v>GO:0033015</v>
      </c>
      <c r="C45" t="s">
        <v>9844</v>
      </c>
      <c r="D45">
        <v>89</v>
      </c>
      <c r="E45">
        <v>2</v>
      </c>
      <c r="F45">
        <v>1.0191713711302799E-2</v>
      </c>
      <c r="G45">
        <v>1</v>
      </c>
      <c r="H45" t="s">
        <v>9010</v>
      </c>
    </row>
    <row r="46" spans="1:8" x14ac:dyDescent="0.25">
      <c r="A46" t="s">
        <v>9801</v>
      </c>
      <c r="B46" t="str">
        <f>HYPERLINK("http://amigo.geneontology.org/cgi-bin/amigo/term-details.cgi?term=GO:0006787","GO:0006787")</f>
        <v>GO:0006787</v>
      </c>
      <c r="C46" t="s">
        <v>9845</v>
      </c>
      <c r="D46">
        <v>89</v>
      </c>
      <c r="E46">
        <v>2</v>
      </c>
      <c r="F46">
        <v>1.0191713711302799E-2</v>
      </c>
      <c r="G46">
        <v>1</v>
      </c>
      <c r="H46" t="s">
        <v>9010</v>
      </c>
    </row>
    <row r="47" spans="1:8" x14ac:dyDescent="0.25">
      <c r="A47" t="s">
        <v>7394</v>
      </c>
      <c r="B47" t="str">
        <f>HYPERLINK("http://amigo.geneontology.org/cgi-bin/amigo/term-details.cgi?term=GO:0009723","GO:0009723")</f>
        <v>GO:0009723</v>
      </c>
      <c r="C47" t="s">
        <v>9185</v>
      </c>
      <c r="D47">
        <v>92</v>
      </c>
      <c r="E47">
        <v>2</v>
      </c>
      <c r="F47">
        <v>1.0858405933625101E-2</v>
      </c>
      <c r="G47">
        <v>1</v>
      </c>
      <c r="H47" t="s">
        <v>9010</v>
      </c>
    </row>
    <row r="48" spans="1:8" x14ac:dyDescent="0.25">
      <c r="A48" t="s">
        <v>9805</v>
      </c>
      <c r="B48" t="str">
        <f>HYPERLINK("http://amigo.geneontology.org/cgi-bin/amigo/term-details.cgi?term=GO:0009743","GO:0009743")</f>
        <v>GO:0009743</v>
      </c>
      <c r="C48" t="s">
        <v>6671</v>
      </c>
      <c r="D48">
        <v>106</v>
      </c>
      <c r="E48">
        <v>2</v>
      </c>
      <c r="F48">
        <v>1.4214465271943E-2</v>
      </c>
      <c r="G48">
        <v>1</v>
      </c>
      <c r="H48" t="s">
        <v>9010</v>
      </c>
    </row>
    <row r="49" spans="1:8" x14ac:dyDescent="0.25">
      <c r="A49" t="s">
        <v>9205</v>
      </c>
      <c r="B49" t="str">
        <f>HYPERLINK("http://amigo.geneontology.org/cgi-bin/amigo/term-details.cgi?term=GO:0015866","GO:0015866")</f>
        <v>GO:0015866</v>
      </c>
      <c r="C49" t="s">
        <v>9840</v>
      </c>
      <c r="D49">
        <v>9</v>
      </c>
      <c r="E49">
        <v>1</v>
      </c>
      <c r="F49">
        <v>1.51932039087476E-2</v>
      </c>
      <c r="G49">
        <v>1</v>
      </c>
      <c r="H49" t="s">
        <v>9534</v>
      </c>
    </row>
    <row r="50" spans="1:8" x14ac:dyDescent="0.25">
      <c r="A50" t="s">
        <v>7454</v>
      </c>
      <c r="B50" t="str">
        <f>HYPERLINK("http://amigo.geneontology.org/cgi-bin/amigo/term-details.cgi?term=GO:0009627","GO:0009627")</f>
        <v>GO:0009627</v>
      </c>
      <c r="C50" t="s">
        <v>7432</v>
      </c>
      <c r="D50">
        <v>114</v>
      </c>
      <c r="E50">
        <v>2</v>
      </c>
      <c r="F50">
        <v>1.6307783533522201E-2</v>
      </c>
      <c r="G50">
        <v>1</v>
      </c>
      <c r="H50" t="s">
        <v>9086</v>
      </c>
    </row>
    <row r="51" spans="1:8" x14ac:dyDescent="0.25">
      <c r="A51" t="s">
        <v>9214</v>
      </c>
      <c r="B51" t="str">
        <f>HYPERLINK("http://amigo.geneontology.org/cgi-bin/amigo/term-details.cgi?term=GO:0009057","GO:0009057")</f>
        <v>GO:0009057</v>
      </c>
      <c r="C51" t="s">
        <v>9098</v>
      </c>
      <c r="D51">
        <v>326</v>
      </c>
      <c r="E51">
        <v>3</v>
      </c>
      <c r="F51">
        <v>1.8442169061092601E-2</v>
      </c>
      <c r="G51">
        <v>1</v>
      </c>
      <c r="H51" t="s">
        <v>9791</v>
      </c>
    </row>
    <row r="52" spans="1:8" x14ac:dyDescent="0.25">
      <c r="A52" t="s">
        <v>9215</v>
      </c>
      <c r="B52" t="str">
        <f>HYPERLINK("http://amigo.geneontology.org/cgi-bin/amigo/term-details.cgi?term=GO:0015867","GO:0015867")</f>
        <v>GO:0015867</v>
      </c>
      <c r="C52" t="s">
        <v>9850</v>
      </c>
      <c r="D52">
        <v>12</v>
      </c>
      <c r="E52">
        <v>1</v>
      </c>
      <c r="F52">
        <v>2.0206524192782301E-2</v>
      </c>
      <c r="G52">
        <v>1</v>
      </c>
      <c r="H52" t="s">
        <v>9534</v>
      </c>
    </row>
    <row r="53" spans="1:8" x14ac:dyDescent="0.25">
      <c r="A53" t="s">
        <v>9216</v>
      </c>
      <c r="B53" t="str">
        <f>HYPERLINK("http://amigo.geneontology.org/cgi-bin/amigo/term-details.cgi?term=GO:0000302","GO:0000302")</f>
        <v>GO:0000302</v>
      </c>
      <c r="C53" t="s">
        <v>13389</v>
      </c>
      <c r="D53">
        <v>128</v>
      </c>
      <c r="E53">
        <v>2</v>
      </c>
      <c r="F53">
        <v>2.0264870851873E-2</v>
      </c>
      <c r="G53">
        <v>1</v>
      </c>
      <c r="H53" t="s">
        <v>9010</v>
      </c>
    </row>
    <row r="54" spans="1:8" x14ac:dyDescent="0.25">
      <c r="A54" t="s">
        <v>7477</v>
      </c>
      <c r="B54" t="str">
        <f>HYPERLINK("http://amigo.geneontology.org/cgi-bin/amigo/term-details.cgi?term=GO:0015868","GO:0015868")</f>
        <v>GO:0015868</v>
      </c>
      <c r="C54" t="s">
        <v>9062</v>
      </c>
      <c r="D54">
        <v>13</v>
      </c>
      <c r="E54">
        <v>1</v>
      </c>
      <c r="F54">
        <v>2.1871996382806999E-2</v>
      </c>
      <c r="G54">
        <v>1</v>
      </c>
      <c r="H54" t="s">
        <v>9534</v>
      </c>
    </row>
    <row r="55" spans="1:8" x14ac:dyDescent="0.25">
      <c r="A55" t="s">
        <v>7480</v>
      </c>
      <c r="B55" t="str">
        <f>HYPERLINK("http://amigo.geneontology.org/cgi-bin/amigo/term-details.cgi?term=GO:0042221","GO:0042221")</f>
        <v>GO:0042221</v>
      </c>
      <c r="C55" t="s">
        <v>6812</v>
      </c>
      <c r="D55">
        <v>628</v>
      </c>
      <c r="E55">
        <v>4</v>
      </c>
      <c r="F55">
        <v>2.2733711572590201E-2</v>
      </c>
      <c r="G55">
        <v>1</v>
      </c>
      <c r="H55" t="s">
        <v>13390</v>
      </c>
    </row>
    <row r="56" spans="1:8" x14ac:dyDescent="0.25">
      <c r="A56" t="s">
        <v>9218</v>
      </c>
      <c r="B56" t="str">
        <f>HYPERLINK("http://amigo.geneontology.org/cgi-bin/amigo/term-details.cgi?term=GO:0006086","GO:0006086")</f>
        <v>GO:0006086</v>
      </c>
      <c r="C56" t="s">
        <v>9854</v>
      </c>
      <c r="D56">
        <v>14</v>
      </c>
      <c r="E56">
        <v>1</v>
      </c>
      <c r="F56">
        <v>2.3534659145584801E-2</v>
      </c>
      <c r="G56">
        <v>1</v>
      </c>
      <c r="H56" t="s">
        <v>9531</v>
      </c>
    </row>
    <row r="57" spans="1:8" x14ac:dyDescent="0.25">
      <c r="A57" t="s">
        <v>9821</v>
      </c>
      <c r="B57" t="str">
        <f>HYPERLINK("http://amigo.geneontology.org/cgi-bin/amigo/term-details.cgi?term=GO:0051503","GO:0051503")</f>
        <v>GO:0051503</v>
      </c>
      <c r="C57" t="s">
        <v>9084</v>
      </c>
      <c r="D57">
        <v>14</v>
      </c>
      <c r="E57">
        <v>1</v>
      </c>
      <c r="F57">
        <v>2.3534659145584801E-2</v>
      </c>
      <c r="G57">
        <v>1</v>
      </c>
      <c r="H57" t="s">
        <v>9534</v>
      </c>
    </row>
    <row r="58" spans="1:8" x14ac:dyDescent="0.25">
      <c r="A58" t="s">
        <v>9231</v>
      </c>
      <c r="B58" t="str">
        <f>HYPERLINK("http://amigo.geneontology.org/cgi-bin/amigo/term-details.cgi?term=GO:0034976","GO:0034976")</f>
        <v>GO:0034976</v>
      </c>
      <c r="C58" t="s">
        <v>9091</v>
      </c>
      <c r="D58">
        <v>143</v>
      </c>
      <c r="E58">
        <v>2</v>
      </c>
      <c r="F58">
        <v>2.49006096426082E-2</v>
      </c>
      <c r="G58">
        <v>1</v>
      </c>
      <c r="H58" t="s">
        <v>9086</v>
      </c>
    </row>
    <row r="59" spans="1:8" x14ac:dyDescent="0.25">
      <c r="A59" t="s">
        <v>7517</v>
      </c>
      <c r="B59" t="str">
        <f>HYPERLINK("http://amigo.geneontology.org/cgi-bin/amigo/term-details.cgi?term=GO:0009814","GO:0009814")</f>
        <v>GO:0009814</v>
      </c>
      <c r="C59" t="s">
        <v>7455</v>
      </c>
      <c r="D59">
        <v>161</v>
      </c>
      <c r="E59">
        <v>2</v>
      </c>
      <c r="F59">
        <v>3.0972585099224102E-2</v>
      </c>
      <c r="G59">
        <v>1</v>
      </c>
      <c r="H59" t="s">
        <v>9086</v>
      </c>
    </row>
    <row r="60" spans="1:8" x14ac:dyDescent="0.25">
      <c r="A60" t="s">
        <v>7522</v>
      </c>
      <c r="B60" t="str">
        <f>HYPERLINK("http://amigo.geneontology.org/cgi-bin/amigo/term-details.cgi?term=GO:0010035","GO:0010035")</f>
        <v>GO:0010035</v>
      </c>
      <c r="C60" t="s">
        <v>144</v>
      </c>
      <c r="D60">
        <v>409</v>
      </c>
      <c r="E60">
        <v>3</v>
      </c>
      <c r="F60">
        <v>3.2998292953420903E-2</v>
      </c>
      <c r="G60">
        <v>1</v>
      </c>
      <c r="H60" t="s">
        <v>13391</v>
      </c>
    </row>
    <row r="61" spans="1:8" x14ac:dyDescent="0.25">
      <c r="A61" t="s">
        <v>7524</v>
      </c>
      <c r="B61" t="str">
        <f>HYPERLINK("http://amigo.geneontology.org/cgi-bin/amigo/term-details.cgi?term=GO:0006085","GO:0006085")</f>
        <v>GO:0006085</v>
      </c>
      <c r="C61" t="s">
        <v>13392</v>
      </c>
      <c r="D61">
        <v>20</v>
      </c>
      <c r="E61">
        <v>1</v>
      </c>
      <c r="F61">
        <v>3.3451900537528702E-2</v>
      </c>
      <c r="G61">
        <v>1</v>
      </c>
      <c r="H61" t="s">
        <v>9531</v>
      </c>
    </row>
    <row r="62" spans="1:8" x14ac:dyDescent="0.25">
      <c r="A62" t="s">
        <v>9239</v>
      </c>
      <c r="B62" t="str">
        <f>HYPERLINK("http://amigo.geneontology.org/cgi-bin/amigo/term-details.cgi?term=GO:0072511","GO:0072511")</f>
        <v>GO:0072511</v>
      </c>
      <c r="C62" t="s">
        <v>1058</v>
      </c>
      <c r="D62">
        <v>169</v>
      </c>
      <c r="E62">
        <v>2</v>
      </c>
      <c r="F62">
        <v>3.3840178289642801E-2</v>
      </c>
      <c r="G62">
        <v>1</v>
      </c>
      <c r="H62" t="s">
        <v>9819</v>
      </c>
    </row>
    <row r="63" spans="1:8" x14ac:dyDescent="0.25">
      <c r="A63" t="s">
        <v>7526</v>
      </c>
      <c r="B63" t="str">
        <f>HYPERLINK("http://amigo.geneontology.org/cgi-bin/amigo/term-details.cgi?term=GO:0002238","GO:0002238")</f>
        <v>GO:0002238</v>
      </c>
      <c r="C63" t="s">
        <v>9160</v>
      </c>
      <c r="D63">
        <v>22</v>
      </c>
      <c r="E63">
        <v>1</v>
      </c>
      <c r="F63">
        <v>3.6735384523225702E-2</v>
      </c>
      <c r="G63">
        <v>1</v>
      </c>
      <c r="H63" t="s">
        <v>9383</v>
      </c>
    </row>
    <row r="64" spans="1:8" x14ac:dyDescent="0.25">
      <c r="A64" t="s">
        <v>7529</v>
      </c>
      <c r="B64" t="str">
        <f>HYPERLINK("http://amigo.geneontology.org/cgi-bin/amigo/term-details.cgi?term=GO:0071616","GO:0071616")</f>
        <v>GO:0071616</v>
      </c>
      <c r="C64" t="s">
        <v>13393</v>
      </c>
      <c r="D64">
        <v>23</v>
      </c>
      <c r="E64">
        <v>1</v>
      </c>
      <c r="F64">
        <v>3.8372973122807998E-2</v>
      </c>
      <c r="G64">
        <v>1</v>
      </c>
      <c r="H64" t="s">
        <v>9531</v>
      </c>
    </row>
    <row r="65" spans="1:8" x14ac:dyDescent="0.25">
      <c r="A65" t="s">
        <v>9243</v>
      </c>
      <c r="B65" t="str">
        <f>HYPERLINK("http://amigo.geneontology.org/cgi-bin/amigo/term-details.cgi?term=GO:0006633","GO:0006633")</f>
        <v>GO:0006633</v>
      </c>
      <c r="C65" t="s">
        <v>287</v>
      </c>
      <c r="D65">
        <v>444</v>
      </c>
      <c r="E65">
        <v>3</v>
      </c>
      <c r="F65">
        <v>4.0495637006994697E-2</v>
      </c>
      <c r="G65">
        <v>1</v>
      </c>
      <c r="H65" t="s">
        <v>13394</v>
      </c>
    </row>
    <row r="66" spans="1:8" x14ac:dyDescent="0.25">
      <c r="A66" t="s">
        <v>8367</v>
      </c>
      <c r="B66" t="str">
        <f>HYPERLINK("http://amigo.geneontology.org/cgi-bin/amigo/term-details.cgi?term=GO:0042737","GO:0042737")</f>
        <v>GO:0042737</v>
      </c>
      <c r="C66" t="s">
        <v>1072</v>
      </c>
      <c r="D66">
        <v>473</v>
      </c>
      <c r="E66">
        <v>3</v>
      </c>
      <c r="F66">
        <v>4.7303275112557802E-2</v>
      </c>
      <c r="G66">
        <v>1</v>
      </c>
      <c r="H66" t="s">
        <v>9791</v>
      </c>
    </row>
    <row r="67" spans="1:8" x14ac:dyDescent="0.25">
      <c r="A67" t="s">
        <v>7533</v>
      </c>
    </row>
    <row r="68" spans="1:8" x14ac:dyDescent="0.25">
      <c r="A68" t="s">
        <v>7535</v>
      </c>
    </row>
    <row r="69" spans="1:8" x14ac:dyDescent="0.25">
      <c r="A69" t="s">
        <v>9248</v>
      </c>
    </row>
    <row r="70" spans="1:8" x14ac:dyDescent="0.25">
      <c r="A70" t="s">
        <v>9832</v>
      </c>
    </row>
    <row r="71" spans="1:8" x14ac:dyDescent="0.25">
      <c r="A71" t="s">
        <v>9251</v>
      </c>
    </row>
    <row r="72" spans="1:8" x14ac:dyDescent="0.25">
      <c r="A72" t="s">
        <v>9258</v>
      </c>
    </row>
    <row r="73" spans="1:8" x14ac:dyDescent="0.25">
      <c r="A73" t="s">
        <v>9259</v>
      </c>
    </row>
    <row r="74" spans="1:8" x14ac:dyDescent="0.25">
      <c r="A74" t="s">
        <v>7594</v>
      </c>
    </row>
    <row r="75" spans="1:8" x14ac:dyDescent="0.25">
      <c r="A75" t="s">
        <v>8778</v>
      </c>
    </row>
    <row r="76" spans="1:8" x14ac:dyDescent="0.25">
      <c r="A76" t="s">
        <v>7598</v>
      </c>
    </row>
    <row r="77" spans="1:8" x14ac:dyDescent="0.25">
      <c r="A77" t="s">
        <v>9270</v>
      </c>
    </row>
    <row r="78" spans="1:8" x14ac:dyDescent="0.25">
      <c r="A78" t="s">
        <v>9841</v>
      </c>
    </row>
    <row r="79" spans="1:8" x14ac:dyDescent="0.25">
      <c r="A79" t="s">
        <v>7615</v>
      </c>
    </row>
    <row r="80" spans="1:8" x14ac:dyDescent="0.25">
      <c r="A80" t="s">
        <v>9277</v>
      </c>
    </row>
    <row r="81" spans="1:1" x14ac:dyDescent="0.25">
      <c r="A81" t="s">
        <v>7619</v>
      </c>
    </row>
    <row r="82" spans="1:1" x14ac:dyDescent="0.25">
      <c r="A82" t="s">
        <v>9279</v>
      </c>
    </row>
    <row r="83" spans="1:1" x14ac:dyDescent="0.25">
      <c r="A83" t="s">
        <v>7623</v>
      </c>
    </row>
    <row r="84" spans="1:1" x14ac:dyDescent="0.25">
      <c r="A84" t="s">
        <v>7629</v>
      </c>
    </row>
    <row r="85" spans="1:1" x14ac:dyDescent="0.25">
      <c r="A85" t="s">
        <v>9289</v>
      </c>
    </row>
    <row r="86" spans="1:1" x14ac:dyDescent="0.25">
      <c r="A86" t="s">
        <v>7634</v>
      </c>
    </row>
    <row r="87" spans="1:1" x14ac:dyDescent="0.25">
      <c r="A87" t="s">
        <v>7639</v>
      </c>
    </row>
    <row r="88" spans="1:1" x14ac:dyDescent="0.25">
      <c r="A88" t="s">
        <v>9295</v>
      </c>
    </row>
    <row r="89" spans="1:1" x14ac:dyDescent="0.25">
      <c r="A89" t="s">
        <v>9296</v>
      </c>
    </row>
    <row r="90" spans="1:1" x14ac:dyDescent="0.25">
      <c r="A90" t="s">
        <v>7642</v>
      </c>
    </row>
    <row r="91" spans="1:1" x14ac:dyDescent="0.25">
      <c r="A91" t="s">
        <v>8424</v>
      </c>
    </row>
    <row r="92" spans="1:1" x14ac:dyDescent="0.25">
      <c r="A92" t="s">
        <v>7648</v>
      </c>
    </row>
    <row r="93" spans="1:1" x14ac:dyDescent="0.25">
      <c r="A93" t="s">
        <v>9303</v>
      </c>
    </row>
    <row r="94" spans="1:1" x14ac:dyDescent="0.25">
      <c r="A94" t="s">
        <v>9323</v>
      </c>
    </row>
    <row r="95" spans="1:1" x14ac:dyDescent="0.25">
      <c r="A95" t="s">
        <v>9324</v>
      </c>
    </row>
    <row r="96" spans="1:1" x14ac:dyDescent="0.25">
      <c r="A96" t="s">
        <v>7675</v>
      </c>
    </row>
    <row r="97" spans="1:1" x14ac:dyDescent="0.25">
      <c r="A97" t="s">
        <v>7690</v>
      </c>
    </row>
    <row r="98" spans="1:1" x14ac:dyDescent="0.25">
      <c r="A98" t="s">
        <v>7692</v>
      </c>
    </row>
    <row r="99" spans="1:1" x14ac:dyDescent="0.25">
      <c r="A99" t="s">
        <v>7695</v>
      </c>
    </row>
    <row r="100" spans="1:1" x14ac:dyDescent="0.25">
      <c r="A100" t="s">
        <v>9330</v>
      </c>
    </row>
    <row r="101" spans="1:1" x14ac:dyDescent="0.25">
      <c r="A101" t="s">
        <v>9861</v>
      </c>
    </row>
    <row r="102" spans="1:1" x14ac:dyDescent="0.25">
      <c r="A102" t="s">
        <v>7728</v>
      </c>
    </row>
    <row r="103" spans="1:1" x14ac:dyDescent="0.25">
      <c r="A103" t="s">
        <v>9355</v>
      </c>
    </row>
    <row r="104" spans="1:1" x14ac:dyDescent="0.25">
      <c r="A104" t="s">
        <v>9356</v>
      </c>
    </row>
    <row r="105" spans="1:1" x14ac:dyDescent="0.25">
      <c r="A105" t="s">
        <v>7758</v>
      </c>
    </row>
    <row r="106" spans="1:1" x14ac:dyDescent="0.25">
      <c r="A106" t="s">
        <v>7771</v>
      </c>
    </row>
    <row r="107" spans="1:1" x14ac:dyDescent="0.25">
      <c r="A107" t="s">
        <v>9370</v>
      </c>
    </row>
    <row r="108" spans="1:1" x14ac:dyDescent="0.25">
      <c r="A108" t="s">
        <v>7785</v>
      </c>
    </row>
    <row r="109" spans="1:1" x14ac:dyDescent="0.25">
      <c r="A109" t="s">
        <v>7786</v>
      </c>
    </row>
    <row r="110" spans="1:1" x14ac:dyDescent="0.25">
      <c r="A110" t="s">
        <v>7790</v>
      </c>
    </row>
    <row r="111" spans="1:1" x14ac:dyDescent="0.25">
      <c r="A111" t="s">
        <v>9377</v>
      </c>
    </row>
    <row r="112" spans="1:1" x14ac:dyDescent="0.25">
      <c r="A112" t="s">
        <v>9378</v>
      </c>
    </row>
    <row r="113" spans="1:1" x14ac:dyDescent="0.25">
      <c r="A113" t="s">
        <v>9865</v>
      </c>
    </row>
    <row r="114" spans="1:1" x14ac:dyDescent="0.25">
      <c r="A114" t="s">
        <v>9379</v>
      </c>
    </row>
    <row r="115" spans="1:1" x14ac:dyDescent="0.25">
      <c r="A115" t="s">
        <v>9383</v>
      </c>
    </row>
    <row r="116" spans="1:1" x14ac:dyDescent="0.25">
      <c r="A116" t="s">
        <v>9385</v>
      </c>
    </row>
    <row r="117" spans="1:1" x14ac:dyDescent="0.25">
      <c r="A117" t="s">
        <v>9387</v>
      </c>
    </row>
    <row r="118" spans="1:1" x14ac:dyDescent="0.25">
      <c r="A118" t="s">
        <v>7823</v>
      </c>
    </row>
    <row r="119" spans="1:1" x14ac:dyDescent="0.25">
      <c r="A119" t="s">
        <v>9399</v>
      </c>
    </row>
    <row r="120" spans="1:1" x14ac:dyDescent="0.25">
      <c r="A120" t="s">
        <v>9409</v>
      </c>
    </row>
    <row r="121" spans="1:1" x14ac:dyDescent="0.25">
      <c r="A121" t="s">
        <v>9411</v>
      </c>
    </row>
    <row r="122" spans="1:1" x14ac:dyDescent="0.25">
      <c r="A122" t="s">
        <v>9413</v>
      </c>
    </row>
    <row r="123" spans="1:1" x14ac:dyDescent="0.25">
      <c r="A123" t="s">
        <v>9867</v>
      </c>
    </row>
    <row r="124" spans="1:1" x14ac:dyDescent="0.25">
      <c r="A124" t="s">
        <v>7857</v>
      </c>
    </row>
    <row r="125" spans="1:1" x14ac:dyDescent="0.25">
      <c r="A125" t="s">
        <v>9415</v>
      </c>
    </row>
    <row r="126" spans="1:1" x14ac:dyDescent="0.25">
      <c r="A126" t="s">
        <v>7859</v>
      </c>
    </row>
    <row r="127" spans="1:1" x14ac:dyDescent="0.25">
      <c r="A127" t="s">
        <v>7867</v>
      </c>
    </row>
    <row r="128" spans="1:1" x14ac:dyDescent="0.25">
      <c r="A128" t="s">
        <v>9422</v>
      </c>
    </row>
    <row r="129" spans="1:1" x14ac:dyDescent="0.25">
      <c r="A129" t="s">
        <v>7874</v>
      </c>
    </row>
    <row r="130" spans="1:1" x14ac:dyDescent="0.25">
      <c r="A130" t="s">
        <v>9869</v>
      </c>
    </row>
    <row r="131" spans="1:1" x14ac:dyDescent="0.25">
      <c r="A131" t="s">
        <v>9430</v>
      </c>
    </row>
    <row r="132" spans="1:1" x14ac:dyDescent="0.25">
      <c r="A132" t="s">
        <v>9870</v>
      </c>
    </row>
    <row r="133" spans="1:1" x14ac:dyDescent="0.25">
      <c r="A133" t="s">
        <v>7896</v>
      </c>
    </row>
    <row r="134" spans="1:1" x14ac:dyDescent="0.25">
      <c r="A134" t="s">
        <v>9442</v>
      </c>
    </row>
    <row r="135" spans="1:1" x14ac:dyDescent="0.25">
      <c r="A135" t="s">
        <v>7901</v>
      </c>
    </row>
    <row r="136" spans="1:1" x14ac:dyDescent="0.25">
      <c r="A136" t="s">
        <v>7902</v>
      </c>
    </row>
    <row r="137" spans="1:1" x14ac:dyDescent="0.25">
      <c r="A137" t="s">
        <v>9459</v>
      </c>
    </row>
    <row r="138" spans="1:1" x14ac:dyDescent="0.25">
      <c r="A138" t="s">
        <v>8022</v>
      </c>
    </row>
    <row r="139" spans="1:1" x14ac:dyDescent="0.25">
      <c r="A139" t="s">
        <v>9473</v>
      </c>
    </row>
    <row r="140" spans="1:1" x14ac:dyDescent="0.25">
      <c r="A140" t="s">
        <v>9873</v>
      </c>
    </row>
    <row r="141" spans="1:1" x14ac:dyDescent="0.25">
      <c r="A141" t="s">
        <v>8047</v>
      </c>
    </row>
    <row r="142" spans="1:1" x14ac:dyDescent="0.25">
      <c r="A142" t="s">
        <v>8050</v>
      </c>
    </row>
    <row r="143" spans="1:1" x14ac:dyDescent="0.25">
      <c r="A143" t="s">
        <v>9874</v>
      </c>
    </row>
    <row r="144" spans="1:1" x14ac:dyDescent="0.25">
      <c r="A144" t="s">
        <v>8053</v>
      </c>
    </row>
    <row r="145" spans="1:1" x14ac:dyDescent="0.25">
      <c r="A145" t="s">
        <v>9875</v>
      </c>
    </row>
    <row r="146" spans="1:1" x14ac:dyDescent="0.25">
      <c r="A146" t="s">
        <v>9489</v>
      </c>
    </row>
    <row r="147" spans="1:1" x14ac:dyDescent="0.25">
      <c r="A147" t="s">
        <v>8065</v>
      </c>
    </row>
    <row r="148" spans="1:1" x14ac:dyDescent="0.25">
      <c r="A148" t="s">
        <v>9876</v>
      </c>
    </row>
    <row r="149" spans="1:1" x14ac:dyDescent="0.25">
      <c r="A149" t="s">
        <v>9494</v>
      </c>
    </row>
    <row r="150" spans="1:1" x14ac:dyDescent="0.25">
      <c r="A150" t="s">
        <v>9512</v>
      </c>
    </row>
    <row r="151" spans="1:1" x14ac:dyDescent="0.25">
      <c r="A151" t="s">
        <v>8103</v>
      </c>
    </row>
    <row r="152" spans="1:1" x14ac:dyDescent="0.25">
      <c r="A152" t="s">
        <v>8104</v>
      </c>
    </row>
    <row r="153" spans="1:1" x14ac:dyDescent="0.25">
      <c r="A153" t="s">
        <v>9515</v>
      </c>
    </row>
    <row r="154" spans="1:1" x14ac:dyDescent="0.25">
      <c r="A154" t="s">
        <v>9528</v>
      </c>
    </row>
    <row r="155" spans="1:1" x14ac:dyDescent="0.25">
      <c r="A155" t="s">
        <v>8120</v>
      </c>
    </row>
    <row r="156" spans="1:1" x14ac:dyDescent="0.25">
      <c r="A156" t="s">
        <v>9879</v>
      </c>
    </row>
    <row r="157" spans="1:1" x14ac:dyDescent="0.25">
      <c r="A157" t="s">
        <v>9530</v>
      </c>
    </row>
    <row r="158" spans="1:1" x14ac:dyDescent="0.25">
      <c r="A158" t="s">
        <v>9531</v>
      </c>
    </row>
    <row r="159" spans="1:1" x14ac:dyDescent="0.25">
      <c r="A159" t="s">
        <v>9534</v>
      </c>
    </row>
    <row r="160" spans="1:1" x14ac:dyDescent="0.25">
      <c r="A160" t="s">
        <v>9535</v>
      </c>
    </row>
    <row r="161" spans="1:1" x14ac:dyDescent="0.25">
      <c r="A161" t="s">
        <v>8139</v>
      </c>
    </row>
    <row r="162" spans="1:1" x14ac:dyDescent="0.25">
      <c r="A162" t="s">
        <v>8145</v>
      </c>
    </row>
    <row r="163" spans="1:1" x14ac:dyDescent="0.25">
      <c r="A163" t="s">
        <v>9552</v>
      </c>
    </row>
    <row r="164" spans="1:1" x14ac:dyDescent="0.25">
      <c r="A164" t="s">
        <v>9553</v>
      </c>
    </row>
  </sheetData>
  <pageMargins left="0.7" right="0.7" top="0.75" bottom="0.75" header="0.3" footer="0.3"/>
  <pageSetup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pane xSplit="6" ySplit="11" topLeftCell="G12" activePane="bottomRight" state="frozen"/>
      <selection pane="topRight" activeCell="G1" sqref="G1"/>
      <selection pane="bottomLeft" activeCell="A11" sqref="A11"/>
      <selection pane="bottomRight"/>
    </sheetView>
  </sheetViews>
  <sheetFormatPr defaultRowHeight="15" x14ac:dyDescent="0.25"/>
  <cols>
    <col min="1" max="1" width="22.140625" customWidth="1"/>
    <col min="2" max="2" width="15.140625" customWidth="1"/>
    <col min="3" max="3" width="55.7109375" customWidth="1"/>
  </cols>
  <sheetData>
    <row r="1" spans="1:8" ht="20.25" x14ac:dyDescent="0.3">
      <c r="A1" s="12" t="s">
        <v>13263</v>
      </c>
    </row>
    <row r="2" spans="1:8" x14ac:dyDescent="0.25">
      <c r="A2" t="s">
        <v>13395</v>
      </c>
      <c r="B2" t="s">
        <v>2</v>
      </c>
      <c r="C2">
        <v>67</v>
      </c>
    </row>
    <row r="3" spans="1:8" x14ac:dyDescent="0.25">
      <c r="A3" t="s">
        <v>9884</v>
      </c>
      <c r="B3" t="s">
        <v>4</v>
      </c>
      <c r="C3">
        <v>77079</v>
      </c>
    </row>
    <row r="4" spans="1:8" x14ac:dyDescent="0.25">
      <c r="A4" t="s">
        <v>9885</v>
      </c>
      <c r="B4" t="s">
        <v>6</v>
      </c>
      <c r="C4" t="s">
        <v>7</v>
      </c>
    </row>
    <row r="5" spans="1:8" x14ac:dyDescent="0.25">
      <c r="A5" t="s">
        <v>6948</v>
      </c>
      <c r="B5" t="s">
        <v>9</v>
      </c>
      <c r="C5" t="s">
        <v>10</v>
      </c>
    </row>
    <row r="6" spans="1:8" x14ac:dyDescent="0.25">
      <c r="A6" t="s">
        <v>9887</v>
      </c>
      <c r="B6" t="s">
        <v>12</v>
      </c>
      <c r="C6" t="s">
        <v>13144</v>
      </c>
    </row>
    <row r="7" spans="1:8" x14ac:dyDescent="0.25">
      <c r="A7" t="s">
        <v>8192</v>
      </c>
      <c r="B7" t="s">
        <v>15</v>
      </c>
      <c r="C7" t="s">
        <v>16</v>
      </c>
    </row>
    <row r="8" spans="1:8" x14ac:dyDescent="0.25">
      <c r="A8" t="s">
        <v>9888</v>
      </c>
      <c r="B8" t="s">
        <v>18</v>
      </c>
      <c r="C8">
        <v>3</v>
      </c>
    </row>
    <row r="9" spans="1:8" x14ac:dyDescent="0.25">
      <c r="A9" t="s">
        <v>6877</v>
      </c>
      <c r="B9" t="s">
        <v>21</v>
      </c>
      <c r="C9" t="s">
        <v>19</v>
      </c>
    </row>
    <row r="10" spans="1:8" x14ac:dyDescent="0.25">
      <c r="A10" t="s">
        <v>9576</v>
      </c>
    </row>
    <row r="11" spans="1:8" x14ac:dyDescent="0.25">
      <c r="A11" t="s">
        <v>9578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</row>
    <row r="12" spans="1:8" x14ac:dyDescent="0.25">
      <c r="A12" t="s">
        <v>8233</v>
      </c>
      <c r="B12" t="str">
        <f>HYPERLINK("http://amigo.geneontology.org/cgi-bin/amigo/term-details.cgi?term=GO:0006468","GO:0006468")</f>
        <v>GO:0006468</v>
      </c>
      <c r="C12" t="s">
        <v>1478</v>
      </c>
      <c r="D12">
        <v>5693</v>
      </c>
      <c r="E12">
        <v>18</v>
      </c>
      <c r="F12" s="4">
        <v>1.1519164442319101E-6</v>
      </c>
      <c r="G12">
        <v>5.2009027457070797E-3</v>
      </c>
      <c r="H12" t="s">
        <v>13396</v>
      </c>
    </row>
    <row r="13" spans="1:8" x14ac:dyDescent="0.25">
      <c r="A13" t="s">
        <v>7168</v>
      </c>
      <c r="B13" t="str">
        <f>HYPERLINK("http://amigo.geneontology.org/cgi-bin/amigo/term-details.cgi?term=GO:0008152","GO:0008152")</f>
        <v>GO:0008152</v>
      </c>
      <c r="C13" t="s">
        <v>13192</v>
      </c>
      <c r="D13">
        <v>17150</v>
      </c>
      <c r="E13">
        <v>32</v>
      </c>
      <c r="F13" s="4">
        <v>3.6702950005177801E-6</v>
      </c>
      <c r="G13">
        <v>8.2838558161686393E-3</v>
      </c>
      <c r="H13" t="s">
        <v>13397</v>
      </c>
    </row>
    <row r="14" spans="1:8" x14ac:dyDescent="0.25">
      <c r="A14" t="s">
        <v>9899</v>
      </c>
      <c r="B14" t="str">
        <f>HYPERLINK("http://amigo.geneontology.org/cgi-bin/amigo/term-details.cgi?term=GO:0016310","GO:0016310")</f>
        <v>GO:0016310</v>
      </c>
      <c r="C14" t="s">
        <v>1006</v>
      </c>
      <c r="D14">
        <v>6213</v>
      </c>
      <c r="E14">
        <v>18</v>
      </c>
      <c r="F14" s="4">
        <v>3.9890594699883603E-6</v>
      </c>
      <c r="G14">
        <v>6.0035345023324903E-3</v>
      </c>
      <c r="H14" t="s">
        <v>13396</v>
      </c>
    </row>
    <row r="15" spans="1:8" x14ac:dyDescent="0.25">
      <c r="A15" t="s">
        <v>9901</v>
      </c>
      <c r="B15" t="str">
        <f>HYPERLINK("http://amigo.geneontology.org/cgi-bin/amigo/term-details.cgi?term=GO:0036211","GO:0036211")</f>
        <v>GO:0036211</v>
      </c>
      <c r="C15" t="s">
        <v>6999</v>
      </c>
      <c r="D15">
        <v>6401</v>
      </c>
      <c r="E15">
        <v>18</v>
      </c>
      <c r="F15" s="4">
        <v>6.0489338627205998E-6</v>
      </c>
      <c r="G15">
        <v>6.8231973971488403E-3</v>
      </c>
      <c r="H15" t="s">
        <v>13396</v>
      </c>
    </row>
    <row r="16" spans="1:8" x14ac:dyDescent="0.25">
      <c r="A16" t="s">
        <v>9902</v>
      </c>
      <c r="B16" t="str">
        <f>HYPERLINK("http://amigo.geneontology.org/cgi-bin/amigo/term-details.cgi?term=GO:0006464","GO:0006464")</f>
        <v>GO:0006464</v>
      </c>
      <c r="C16" t="s">
        <v>7002</v>
      </c>
      <c r="D16">
        <v>6743</v>
      </c>
      <c r="E16">
        <v>18</v>
      </c>
      <c r="F16" s="4">
        <v>1.2395504163527199E-5</v>
      </c>
      <c r="G16">
        <v>1.1193140259665099E-2</v>
      </c>
      <c r="H16" t="s">
        <v>13396</v>
      </c>
    </row>
    <row r="17" spans="1:8" x14ac:dyDescent="0.25">
      <c r="A17" t="s">
        <v>8270</v>
      </c>
      <c r="B17" t="str">
        <f>HYPERLINK("http://amigo.geneontology.org/cgi-bin/amigo/term-details.cgi?term=GO:0006796","GO:0006796")</f>
        <v>GO:0006796</v>
      </c>
      <c r="C17" t="s">
        <v>679</v>
      </c>
      <c r="D17">
        <v>7074</v>
      </c>
      <c r="E17">
        <v>18</v>
      </c>
      <c r="F17" s="4">
        <v>2.37286277072816E-5</v>
      </c>
      <c r="G17">
        <v>1.7843928035875801E-2</v>
      </c>
      <c r="H17" t="s">
        <v>13396</v>
      </c>
    </row>
    <row r="18" spans="1:8" x14ac:dyDescent="0.25">
      <c r="A18" t="s">
        <v>8285</v>
      </c>
      <c r="B18" t="str">
        <f>HYPERLINK("http://amigo.geneontology.org/cgi-bin/amigo/term-details.cgi?term=GO:0055114","GO:0055114")</f>
        <v>GO:0055114</v>
      </c>
      <c r="C18" t="s">
        <v>454</v>
      </c>
      <c r="D18">
        <v>6432</v>
      </c>
      <c r="E18">
        <v>17</v>
      </c>
      <c r="F18" s="4">
        <v>2.6211006864505299E-5</v>
      </c>
      <c r="G18">
        <v>1.6906099427605899E-2</v>
      </c>
      <c r="H18" t="s">
        <v>13398</v>
      </c>
    </row>
    <row r="19" spans="1:8" x14ac:dyDescent="0.25">
      <c r="A19" t="s">
        <v>8286</v>
      </c>
      <c r="B19" t="str">
        <f>HYPERLINK("http://amigo.geneontology.org/cgi-bin/amigo/term-details.cgi?term=GO:0042744","GO:0042744")</f>
        <v>GO:0042744</v>
      </c>
      <c r="C19" t="s">
        <v>1152</v>
      </c>
      <c r="D19">
        <v>227</v>
      </c>
      <c r="E19">
        <v>4</v>
      </c>
      <c r="F19" s="4">
        <v>4.8542635311536598E-5</v>
      </c>
      <c r="G19">
        <v>2.7378046315706599E-2</v>
      </c>
      <c r="H19" t="s">
        <v>13399</v>
      </c>
    </row>
    <row r="20" spans="1:8" x14ac:dyDescent="0.25">
      <c r="A20" t="s">
        <v>9905</v>
      </c>
      <c r="B20" t="str">
        <f>HYPERLINK("http://amigo.geneontology.org/cgi-bin/amigo/term-details.cgi?term=GO:0017001","GO:0017001")</f>
        <v>GO:0017001</v>
      </c>
      <c r="C20" t="s">
        <v>1226</v>
      </c>
      <c r="D20">
        <v>234</v>
      </c>
      <c r="E20">
        <v>4</v>
      </c>
      <c r="F20" s="4">
        <v>5.4607129220809997E-5</v>
      </c>
      <c r="G20">
        <v>2.7358171739625799E-2</v>
      </c>
      <c r="H20" t="s">
        <v>13399</v>
      </c>
    </row>
    <row r="21" spans="1:8" x14ac:dyDescent="0.25">
      <c r="A21" t="s">
        <v>7280</v>
      </c>
      <c r="B21" t="str">
        <f>HYPERLINK("http://amigo.geneontology.org/cgi-bin/amigo/term-details.cgi?term=GO:0042743","GO:0042743")</f>
        <v>GO:0042743</v>
      </c>
      <c r="C21" t="s">
        <v>1237</v>
      </c>
      <c r="D21">
        <v>259</v>
      </c>
      <c r="E21">
        <v>4</v>
      </c>
      <c r="F21" s="4">
        <v>8.08346337876872E-5</v>
      </c>
      <c r="G21">
        <v>3.6456419838246899E-2</v>
      </c>
      <c r="H21" t="s">
        <v>13399</v>
      </c>
    </row>
    <row r="22" spans="1:8" x14ac:dyDescent="0.25">
      <c r="A22" t="s">
        <v>9907</v>
      </c>
      <c r="B22" t="str">
        <f>HYPERLINK("http://amigo.geneontology.org/cgi-bin/amigo/term-details.cgi?term=GO:0072593","GO:0072593")</f>
        <v>GO:0072593</v>
      </c>
      <c r="C22" t="s">
        <v>4212</v>
      </c>
      <c r="D22">
        <v>311</v>
      </c>
      <c r="E22">
        <v>4</v>
      </c>
      <c r="F22" s="4">
        <v>1.63092934363548E-4</v>
      </c>
      <c r="G22">
        <v>6.6868103089054998E-2</v>
      </c>
      <c r="H22" t="s">
        <v>13399</v>
      </c>
    </row>
    <row r="23" spans="1:8" x14ac:dyDescent="0.25">
      <c r="A23" t="s">
        <v>9908</v>
      </c>
      <c r="B23" t="str">
        <f>HYPERLINK("http://amigo.geneontology.org/cgi-bin/amigo/term-details.cgi?term=GO:0044267","GO:0044267")</f>
        <v>GO:0044267</v>
      </c>
      <c r="C23" t="s">
        <v>7194</v>
      </c>
      <c r="D23">
        <v>8344</v>
      </c>
      <c r="E23">
        <v>18</v>
      </c>
      <c r="F23" s="4">
        <v>2.0303117797708801E-4</v>
      </c>
      <c r="G23">
        <v>7.6339722919385206E-2</v>
      </c>
      <c r="H23" t="s">
        <v>13396</v>
      </c>
    </row>
    <row r="24" spans="1:8" x14ac:dyDescent="0.25">
      <c r="A24" t="s">
        <v>9911</v>
      </c>
      <c r="B24" t="str">
        <f>HYPERLINK("http://amigo.geneontology.org/cgi-bin/amigo/term-details.cgi?term=GO:0051187","GO:0051187")</f>
        <v>GO:0051187</v>
      </c>
      <c r="C24" t="s">
        <v>4229</v>
      </c>
      <c r="D24">
        <v>340</v>
      </c>
      <c r="E24">
        <v>4</v>
      </c>
      <c r="F24" s="4">
        <v>2.2900050133609E-4</v>
      </c>
      <c r="G24">
        <v>7.9463173963623498E-2</v>
      </c>
      <c r="H24" t="s">
        <v>13399</v>
      </c>
    </row>
    <row r="25" spans="1:8" x14ac:dyDescent="0.25">
      <c r="A25" t="s">
        <v>9619</v>
      </c>
      <c r="B25" t="str">
        <f>HYPERLINK("http://amigo.geneontology.org/cgi-bin/amigo/term-details.cgi?term=GO:0016999","GO:0016999")</f>
        <v>GO:0016999</v>
      </c>
      <c r="C25" t="s">
        <v>764</v>
      </c>
      <c r="D25">
        <v>426</v>
      </c>
      <c r="E25">
        <v>4</v>
      </c>
      <c r="F25" s="4">
        <v>5.35607002070716E-4</v>
      </c>
      <c r="G25">
        <v>0.17246545466676999</v>
      </c>
      <c r="H25" t="s">
        <v>13399</v>
      </c>
    </row>
    <row r="26" spans="1:8" x14ac:dyDescent="0.25">
      <c r="A26" t="s">
        <v>8306</v>
      </c>
      <c r="B26" t="str">
        <f>HYPERLINK("http://amigo.geneontology.org/cgi-bin/amigo/term-details.cgi?term=GO:1901657","GO:1901657")</f>
        <v>GO:1901657</v>
      </c>
      <c r="C26" t="s">
        <v>6288</v>
      </c>
      <c r="D26">
        <v>47</v>
      </c>
      <c r="E26">
        <v>2</v>
      </c>
      <c r="F26" s="4">
        <v>7.8451661506230802E-4</v>
      </c>
      <c r="G26">
        <v>0.22123368544757099</v>
      </c>
      <c r="H26" t="s">
        <v>9973</v>
      </c>
    </row>
    <row r="27" spans="1:8" x14ac:dyDescent="0.25">
      <c r="A27" t="s">
        <v>8312</v>
      </c>
      <c r="B27" t="str">
        <f>HYPERLINK("http://amigo.geneontology.org/cgi-bin/amigo/term-details.cgi?term=GO:0009116","GO:0009116")</f>
        <v>GO:0009116</v>
      </c>
      <c r="C27" t="s">
        <v>6161</v>
      </c>
      <c r="D27">
        <v>47</v>
      </c>
      <c r="E27">
        <v>2</v>
      </c>
      <c r="F27" s="4">
        <v>7.8451661506230802E-4</v>
      </c>
      <c r="G27">
        <v>0.23613950113375401</v>
      </c>
      <c r="H27" t="s">
        <v>9973</v>
      </c>
    </row>
    <row r="28" spans="1:8" x14ac:dyDescent="0.25">
      <c r="A28" t="s">
        <v>9626</v>
      </c>
      <c r="B28" t="str">
        <f>HYPERLINK("http://amigo.geneontology.org/cgi-bin/amigo/term-details.cgi?term=GO:0042737","GO:0042737")</f>
        <v>GO:0042737</v>
      </c>
      <c r="C28" t="s">
        <v>1072</v>
      </c>
      <c r="D28">
        <v>473</v>
      </c>
      <c r="E28">
        <v>4</v>
      </c>
      <c r="F28" s="4">
        <v>7.9070817495057702E-4</v>
      </c>
      <c r="G28">
        <v>0.20953766636190299</v>
      </c>
      <c r="H28" t="s">
        <v>13399</v>
      </c>
    </row>
    <row r="29" spans="1:8" x14ac:dyDescent="0.25">
      <c r="A29" t="s">
        <v>9640</v>
      </c>
      <c r="B29" t="str">
        <f>HYPERLINK("http://amigo.geneontology.org/cgi-bin/amigo/term-details.cgi?term=GO:0008150","GO:0008150")</f>
        <v>GO:0008150</v>
      </c>
      <c r="C29" t="s">
        <v>13144</v>
      </c>
      <c r="D29">
        <v>19286</v>
      </c>
      <c r="E29">
        <v>29</v>
      </c>
      <c r="F29" s="4">
        <v>8.3262500351483505E-4</v>
      </c>
      <c r="G29">
        <v>0.20815625087870801</v>
      </c>
      <c r="H29" t="s">
        <v>13400</v>
      </c>
    </row>
    <row r="30" spans="1:8" x14ac:dyDescent="0.25">
      <c r="A30" t="s">
        <v>8344</v>
      </c>
      <c r="B30" t="str">
        <f>HYPERLINK("http://amigo.geneontology.org/cgi-bin/amigo/term-details.cgi?term=GO:0006979","GO:0006979")</f>
        <v>GO:0006979</v>
      </c>
      <c r="C30" t="s">
        <v>985</v>
      </c>
      <c r="D30">
        <v>949</v>
      </c>
      <c r="E30">
        <v>5</v>
      </c>
      <c r="F30">
        <v>1.4396775472979E-3</v>
      </c>
      <c r="G30">
        <v>0.34120357870960399</v>
      </c>
      <c r="H30" t="s">
        <v>13401</v>
      </c>
    </row>
    <row r="31" spans="1:8" x14ac:dyDescent="0.25">
      <c r="A31" t="s">
        <v>8347</v>
      </c>
      <c r="B31" t="str">
        <f>HYPERLINK("http://amigo.geneontology.org/cgi-bin/amigo/term-details.cgi?term=GO:0051186","GO:0051186")</f>
        <v>GO:0051186</v>
      </c>
      <c r="C31" t="s">
        <v>13402</v>
      </c>
      <c r="D31">
        <v>592</v>
      </c>
      <c r="E31">
        <v>4</v>
      </c>
      <c r="F31">
        <v>1.8008751079612599E-3</v>
      </c>
      <c r="G31">
        <v>0.405196899291284</v>
      </c>
      <c r="H31" t="s">
        <v>13399</v>
      </c>
    </row>
    <row r="32" spans="1:8" x14ac:dyDescent="0.25">
      <c r="A32" t="s">
        <v>8350</v>
      </c>
      <c r="B32" t="str">
        <f>HYPERLINK("http://amigo.geneontology.org/cgi-bin/amigo/term-details.cgi?term=GO:0044248","GO:0044248")</f>
        <v>GO:0044248</v>
      </c>
      <c r="C32" t="s">
        <v>5244</v>
      </c>
      <c r="D32">
        <v>743</v>
      </c>
      <c r="E32">
        <v>4</v>
      </c>
      <c r="F32">
        <v>4.0613583164330501E-3</v>
      </c>
      <c r="G32">
        <v>0.87319203803310697</v>
      </c>
      <c r="H32" t="s">
        <v>13399</v>
      </c>
    </row>
    <row r="33" spans="1:8" x14ac:dyDescent="0.25">
      <c r="A33" t="s">
        <v>9920</v>
      </c>
      <c r="B33" t="str">
        <f>HYPERLINK("http://amigo.geneontology.org/cgi-bin/amigo/term-details.cgi?term=GO:0055086","GO:0055086")</f>
        <v>GO:0055086</v>
      </c>
      <c r="C33" t="s">
        <v>13403</v>
      </c>
      <c r="D33">
        <v>126</v>
      </c>
      <c r="E33">
        <v>2</v>
      </c>
      <c r="F33">
        <v>5.4680395955134598E-3</v>
      </c>
      <c r="G33">
        <v>1</v>
      </c>
      <c r="H33" t="s">
        <v>9973</v>
      </c>
    </row>
    <row r="34" spans="1:8" x14ac:dyDescent="0.25">
      <c r="A34" t="s">
        <v>8356</v>
      </c>
      <c r="B34" t="str">
        <f>HYPERLINK("http://amigo.geneontology.org/cgi-bin/amigo/term-details.cgi?term=GO:0071704","GO:0071704")</f>
        <v>GO:0071704</v>
      </c>
      <c r="C34" t="s">
        <v>472</v>
      </c>
      <c r="D34">
        <v>3829</v>
      </c>
      <c r="E34">
        <v>9</v>
      </c>
      <c r="F34">
        <v>5.7634521001952502E-3</v>
      </c>
      <c r="G34">
        <v>1</v>
      </c>
      <c r="H34" t="s">
        <v>13404</v>
      </c>
    </row>
    <row r="35" spans="1:8" x14ac:dyDescent="0.25">
      <c r="A35" t="s">
        <v>9922</v>
      </c>
      <c r="B35" t="str">
        <f>HYPERLINK("http://amigo.geneontology.org/cgi-bin/amigo/term-details.cgi?term=GO:0010192","GO:0010192")</f>
        <v>GO:0010192</v>
      </c>
      <c r="C35" t="s">
        <v>9959</v>
      </c>
      <c r="D35">
        <v>8</v>
      </c>
      <c r="E35">
        <v>1</v>
      </c>
      <c r="F35">
        <v>6.9330989479112499E-3</v>
      </c>
      <c r="G35">
        <v>1</v>
      </c>
      <c r="H35" t="s">
        <v>9934</v>
      </c>
    </row>
    <row r="36" spans="1:8" x14ac:dyDescent="0.25">
      <c r="A36" t="s">
        <v>6879</v>
      </c>
      <c r="B36" t="str">
        <f>HYPERLINK("http://amigo.geneontology.org/cgi-bin/amigo/term-details.cgi?term=GO:0048359","GO:0048359")</f>
        <v>GO:0048359</v>
      </c>
      <c r="C36" t="s">
        <v>9960</v>
      </c>
      <c r="D36">
        <v>8</v>
      </c>
      <c r="E36">
        <v>1</v>
      </c>
      <c r="F36">
        <v>6.9330989479112499E-3</v>
      </c>
      <c r="G36">
        <v>1</v>
      </c>
      <c r="H36" t="s">
        <v>9934</v>
      </c>
    </row>
    <row r="37" spans="1:8" x14ac:dyDescent="0.25">
      <c r="A37" t="s">
        <v>9925</v>
      </c>
      <c r="B37" t="str">
        <f>HYPERLINK("http://amigo.geneontology.org/cgi-bin/amigo/term-details.cgi?term=GO:0017144","GO:0017144")</f>
        <v>GO:0017144</v>
      </c>
      <c r="C37" t="s">
        <v>4310</v>
      </c>
      <c r="D37">
        <v>903</v>
      </c>
      <c r="E37">
        <v>4</v>
      </c>
      <c r="F37">
        <v>8.0044306098506404E-3</v>
      </c>
      <c r="G37">
        <v>1</v>
      </c>
      <c r="H37" t="s">
        <v>13399</v>
      </c>
    </row>
    <row r="38" spans="1:8" x14ac:dyDescent="0.25">
      <c r="A38" t="s">
        <v>9926</v>
      </c>
      <c r="B38" t="str">
        <f>HYPERLINK("http://amigo.geneontology.org/cgi-bin/amigo/term-details.cgi?term=GO:0010191","GO:0010191")</f>
        <v>GO:0010191</v>
      </c>
      <c r="C38" t="s">
        <v>9962</v>
      </c>
      <c r="D38">
        <v>10</v>
      </c>
      <c r="E38">
        <v>1</v>
      </c>
      <c r="F38">
        <v>8.6589619331307807E-3</v>
      </c>
      <c r="G38">
        <v>1</v>
      </c>
      <c r="H38" t="s">
        <v>9934</v>
      </c>
    </row>
    <row r="39" spans="1:8" x14ac:dyDescent="0.25">
      <c r="A39" t="s">
        <v>9928</v>
      </c>
      <c r="B39" t="str">
        <f>HYPERLINK("http://amigo.geneontology.org/cgi-bin/amigo/term-details.cgi?term=GO:0010214","GO:0010214")</f>
        <v>GO:0010214</v>
      </c>
      <c r="C39" t="s">
        <v>9982</v>
      </c>
      <c r="D39">
        <v>20</v>
      </c>
      <c r="E39">
        <v>1</v>
      </c>
      <c r="F39">
        <v>1.7244055758305801E-2</v>
      </c>
      <c r="G39">
        <v>1</v>
      </c>
      <c r="H39" t="s">
        <v>9934</v>
      </c>
    </row>
    <row r="40" spans="1:8" x14ac:dyDescent="0.25">
      <c r="A40" t="s">
        <v>8403</v>
      </c>
      <c r="B40" t="str">
        <f>HYPERLINK("http://amigo.geneontology.org/cgi-bin/amigo/term-details.cgi?term=GO:0044281","GO:0044281")</f>
        <v>GO:0044281</v>
      </c>
      <c r="C40" t="s">
        <v>4410</v>
      </c>
      <c r="D40">
        <v>277</v>
      </c>
      <c r="E40">
        <v>2</v>
      </c>
      <c r="F40">
        <v>2.4406971588685399E-2</v>
      </c>
      <c r="G40">
        <v>1</v>
      </c>
      <c r="H40" t="s">
        <v>9973</v>
      </c>
    </row>
    <row r="41" spans="1:8" x14ac:dyDescent="0.25">
      <c r="A41" t="s">
        <v>9937</v>
      </c>
      <c r="B41" t="str">
        <f>HYPERLINK("http://amigo.geneontology.org/cgi-bin/amigo/term-details.cgi?term=GO:0055085","GO:0055085")</f>
        <v>GO:0055085</v>
      </c>
      <c r="C41" t="s">
        <v>240</v>
      </c>
      <c r="D41">
        <v>2013</v>
      </c>
      <c r="E41">
        <v>5</v>
      </c>
      <c r="F41">
        <v>3.0811832824180901E-2</v>
      </c>
      <c r="G41">
        <v>1</v>
      </c>
      <c r="H41" t="s">
        <v>13405</v>
      </c>
    </row>
    <row r="42" spans="1:8" x14ac:dyDescent="0.25">
      <c r="A42" t="s">
        <v>8416</v>
      </c>
      <c r="B42" t="str">
        <f>HYPERLINK("http://amigo.geneontology.org/cgi-bin/amigo/term-details.cgi?term=GO:0005975","GO:0005975")</f>
        <v>GO:0005975</v>
      </c>
      <c r="C42" t="s">
        <v>171</v>
      </c>
      <c r="D42">
        <v>2055</v>
      </c>
      <c r="E42">
        <v>5</v>
      </c>
      <c r="F42">
        <v>3.3240474024870403E-2</v>
      </c>
      <c r="G42">
        <v>1</v>
      </c>
      <c r="H42" t="s">
        <v>13406</v>
      </c>
    </row>
    <row r="43" spans="1:8" x14ac:dyDescent="0.25">
      <c r="A43" t="s">
        <v>6880</v>
      </c>
      <c r="B43" t="str">
        <f>HYPERLINK("http://amigo.geneontology.org/cgi-bin/amigo/term-details.cgi?term=GO:0009813","GO:0009813")</f>
        <v>GO:0009813</v>
      </c>
      <c r="C43" t="s">
        <v>13302</v>
      </c>
      <c r="D43">
        <v>57</v>
      </c>
      <c r="E43">
        <v>1</v>
      </c>
      <c r="F43">
        <v>4.8376816696074902E-2</v>
      </c>
      <c r="G43">
        <v>1</v>
      </c>
      <c r="H43" t="s">
        <v>8633</v>
      </c>
    </row>
    <row r="44" spans="1:8" x14ac:dyDescent="0.25">
      <c r="A44" t="s">
        <v>7646</v>
      </c>
    </row>
    <row r="45" spans="1:8" x14ac:dyDescent="0.25">
      <c r="A45" t="s">
        <v>9685</v>
      </c>
    </row>
    <row r="46" spans="1:8" x14ac:dyDescent="0.25">
      <c r="A46" t="s">
        <v>7694</v>
      </c>
    </row>
    <row r="47" spans="1:8" x14ac:dyDescent="0.25">
      <c r="A47" t="s">
        <v>9947</v>
      </c>
    </row>
    <row r="48" spans="1:8" x14ac:dyDescent="0.25">
      <c r="A48" t="s">
        <v>9949</v>
      </c>
    </row>
    <row r="49" spans="1:1" x14ac:dyDescent="0.25">
      <c r="A49" t="s">
        <v>7729</v>
      </c>
    </row>
    <row r="50" spans="1:1" x14ac:dyDescent="0.25">
      <c r="A50" t="s">
        <v>9953</v>
      </c>
    </row>
    <row r="51" spans="1:1" x14ac:dyDescent="0.25">
      <c r="A51" t="s">
        <v>7739</v>
      </c>
    </row>
    <row r="52" spans="1:1" x14ac:dyDescent="0.25">
      <c r="A52" t="s">
        <v>9710</v>
      </c>
    </row>
    <row r="53" spans="1:1" x14ac:dyDescent="0.25">
      <c r="A53" t="s">
        <v>9958</v>
      </c>
    </row>
    <row r="54" spans="1:1" x14ac:dyDescent="0.25">
      <c r="A54" t="s">
        <v>8480</v>
      </c>
    </row>
    <row r="55" spans="1:1" x14ac:dyDescent="0.25">
      <c r="A55" t="s">
        <v>9944</v>
      </c>
    </row>
    <row r="56" spans="1:1" x14ac:dyDescent="0.25">
      <c r="A56" t="s">
        <v>9963</v>
      </c>
    </row>
    <row r="57" spans="1:1" x14ac:dyDescent="0.25">
      <c r="A57" t="s">
        <v>9712</v>
      </c>
    </row>
    <row r="58" spans="1:1" x14ac:dyDescent="0.25">
      <c r="A58" t="s">
        <v>9970</v>
      </c>
    </row>
    <row r="59" spans="1:1" x14ac:dyDescent="0.25">
      <c r="A59" t="s">
        <v>9720</v>
      </c>
    </row>
    <row r="60" spans="1:1" x14ac:dyDescent="0.25">
      <c r="A60" t="s">
        <v>8504</v>
      </c>
    </row>
    <row r="61" spans="1:1" x14ac:dyDescent="0.25">
      <c r="A61" t="s">
        <v>9977</v>
      </c>
    </row>
    <row r="62" spans="1:1" x14ac:dyDescent="0.25">
      <c r="A62" t="s">
        <v>8749</v>
      </c>
    </row>
    <row r="63" spans="1:1" x14ac:dyDescent="0.25">
      <c r="A63" t="s">
        <v>9729</v>
      </c>
    </row>
    <row r="64" spans="1:1" x14ac:dyDescent="0.25">
      <c r="A64" t="s">
        <v>6881</v>
      </c>
    </row>
    <row r="65" spans="1:1" x14ac:dyDescent="0.25">
      <c r="A65" t="s">
        <v>8530</v>
      </c>
    </row>
    <row r="66" spans="1:1" x14ac:dyDescent="0.25">
      <c r="A66" t="s">
        <v>8540</v>
      </c>
    </row>
    <row r="67" spans="1:1" x14ac:dyDescent="0.25">
      <c r="A67" t="s">
        <v>8542</v>
      </c>
    </row>
    <row r="68" spans="1:1" x14ac:dyDescent="0.25">
      <c r="A68" t="s">
        <v>8558</v>
      </c>
    </row>
    <row r="69" spans="1:1" x14ac:dyDescent="0.25">
      <c r="A69" t="s">
        <v>9934</v>
      </c>
    </row>
    <row r="70" spans="1:1" x14ac:dyDescent="0.25">
      <c r="A70" t="s">
        <v>9991</v>
      </c>
    </row>
    <row r="71" spans="1:1" x14ac:dyDescent="0.25">
      <c r="A71" t="s">
        <v>9455</v>
      </c>
    </row>
    <row r="72" spans="1:1" x14ac:dyDescent="0.25">
      <c r="A72" t="s">
        <v>8586</v>
      </c>
    </row>
    <row r="73" spans="1:1" x14ac:dyDescent="0.25">
      <c r="A73" t="s">
        <v>8589</v>
      </c>
    </row>
    <row r="74" spans="1:1" x14ac:dyDescent="0.25">
      <c r="A74" t="s">
        <v>9994</v>
      </c>
    </row>
    <row r="75" spans="1:1" x14ac:dyDescent="0.25">
      <c r="A75" t="s">
        <v>9995</v>
      </c>
    </row>
    <row r="76" spans="1:1" x14ac:dyDescent="0.25">
      <c r="A76" t="s">
        <v>8051</v>
      </c>
    </row>
    <row r="77" spans="1:1" x14ac:dyDescent="0.25">
      <c r="A77" t="s">
        <v>8612</v>
      </c>
    </row>
    <row r="78" spans="1:1" x14ac:dyDescent="0.25">
      <c r="A78" t="s">
        <v>9996</v>
      </c>
    </row>
    <row r="79" spans="1:1" x14ac:dyDescent="0.25">
      <c r="A79" t="s">
        <v>9997</v>
      </c>
    </row>
    <row r="80" spans="1:1" x14ac:dyDescent="0.25">
      <c r="A80" t="s">
        <v>9757</v>
      </c>
    </row>
    <row r="81" spans="1:1" x14ac:dyDescent="0.25">
      <c r="A81" t="s">
        <v>8620</v>
      </c>
    </row>
    <row r="82" spans="1:1" x14ac:dyDescent="0.25">
      <c r="A82" t="s">
        <v>8627</v>
      </c>
    </row>
    <row r="83" spans="1:1" x14ac:dyDescent="0.25">
      <c r="A83" t="s">
        <v>9981</v>
      </c>
    </row>
    <row r="84" spans="1:1" x14ac:dyDescent="0.25">
      <c r="A84" t="s">
        <v>8633</v>
      </c>
    </row>
    <row r="85" spans="1:1" x14ac:dyDescent="0.25">
      <c r="A85" t="s">
        <v>8644</v>
      </c>
    </row>
    <row r="86" spans="1:1" x14ac:dyDescent="0.25">
      <c r="A86" t="s">
        <v>8666</v>
      </c>
    </row>
    <row r="87" spans="1:1" x14ac:dyDescent="0.25">
      <c r="A87" t="s">
        <v>10000</v>
      </c>
    </row>
    <row r="88" spans="1:1" x14ac:dyDescent="0.25">
      <c r="A88" t="s">
        <v>10001</v>
      </c>
    </row>
    <row r="89" spans="1:1" x14ac:dyDescent="0.25">
      <c r="A89" t="s">
        <v>8685</v>
      </c>
    </row>
  </sheetData>
  <pageMargins left="0.7" right="0.7" top="0.75" bottom="0.75" header="0.3" footer="0.3"/>
  <pageSetup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2"/>
  <sheetViews>
    <sheetView workbookViewId="0">
      <pane xSplit="6" ySplit="11" topLeftCell="G12" activePane="bottomRight" state="frozen"/>
      <selection pane="topRight" activeCell="G1" sqref="G1"/>
      <selection pane="bottomLeft" activeCell="A11" sqref="A11"/>
      <selection pane="bottomRight"/>
    </sheetView>
  </sheetViews>
  <sheetFormatPr defaultRowHeight="15" x14ac:dyDescent="0.25"/>
  <cols>
    <col min="1" max="1" width="24.7109375" customWidth="1"/>
    <col min="2" max="2" width="15.42578125" customWidth="1"/>
    <col min="3" max="3" width="39" customWidth="1"/>
  </cols>
  <sheetData>
    <row r="1" spans="1:8" ht="20.25" x14ac:dyDescent="0.3">
      <c r="A1" s="12" t="s">
        <v>13265</v>
      </c>
    </row>
    <row r="2" spans="1:8" x14ac:dyDescent="0.25">
      <c r="A2" t="s">
        <v>13407</v>
      </c>
      <c r="B2" t="s">
        <v>2</v>
      </c>
      <c r="C2">
        <v>1362</v>
      </c>
    </row>
    <row r="3" spans="1:8" x14ac:dyDescent="0.25">
      <c r="A3" t="s">
        <v>10393</v>
      </c>
      <c r="B3" t="s">
        <v>4</v>
      </c>
      <c r="C3">
        <v>77079</v>
      </c>
    </row>
    <row r="4" spans="1:8" x14ac:dyDescent="0.25">
      <c r="A4" t="s">
        <v>8852</v>
      </c>
      <c r="B4" t="s">
        <v>6</v>
      </c>
      <c r="C4" t="s">
        <v>7</v>
      </c>
    </row>
    <row r="5" spans="1:8" x14ac:dyDescent="0.25">
      <c r="A5" t="s">
        <v>10394</v>
      </c>
      <c r="B5" t="s">
        <v>9</v>
      </c>
      <c r="C5" t="s">
        <v>10</v>
      </c>
    </row>
    <row r="6" spans="1:8" x14ac:dyDescent="0.25">
      <c r="A6" t="s">
        <v>10395</v>
      </c>
      <c r="B6" t="s">
        <v>12</v>
      </c>
      <c r="C6" t="s">
        <v>13144</v>
      </c>
    </row>
    <row r="7" spans="1:8" x14ac:dyDescent="0.25">
      <c r="A7" t="s">
        <v>10396</v>
      </c>
      <c r="B7" t="s">
        <v>15</v>
      </c>
      <c r="C7" t="s">
        <v>16</v>
      </c>
    </row>
    <row r="8" spans="1:8" x14ac:dyDescent="0.25">
      <c r="A8" t="s">
        <v>10397</v>
      </c>
      <c r="B8" t="s">
        <v>18</v>
      </c>
      <c r="C8">
        <v>3</v>
      </c>
    </row>
    <row r="9" spans="1:8" x14ac:dyDescent="0.25">
      <c r="A9" t="s">
        <v>9557</v>
      </c>
      <c r="B9" t="s">
        <v>21</v>
      </c>
      <c r="C9" t="s">
        <v>19</v>
      </c>
    </row>
    <row r="10" spans="1:8" x14ac:dyDescent="0.25">
      <c r="A10" t="s">
        <v>10402</v>
      </c>
    </row>
    <row r="11" spans="1:8" x14ac:dyDescent="0.25">
      <c r="A11" t="s">
        <v>10403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</row>
    <row r="12" spans="1:8" x14ac:dyDescent="0.25">
      <c r="A12" t="s">
        <v>10406</v>
      </c>
      <c r="B12" t="str">
        <f>HYPERLINK("http://amigo.geneontology.org/cgi-bin/amigo/term-details.cgi?term=GO:0000160","GO:0000160")</f>
        <v>GO:0000160</v>
      </c>
      <c r="C12" t="s">
        <v>10404</v>
      </c>
      <c r="D12">
        <v>346</v>
      </c>
      <c r="E12">
        <v>80</v>
      </c>
      <c r="F12" s="4">
        <v>6.4837061763671101E-64</v>
      </c>
      <c r="G12" s="4">
        <v>2.9273933386297499E-60</v>
      </c>
      <c r="H12" t="s">
        <v>12961</v>
      </c>
    </row>
    <row r="13" spans="1:8" x14ac:dyDescent="0.25">
      <c r="A13" t="s">
        <v>10409</v>
      </c>
      <c r="B13" t="str">
        <f>HYPERLINK("http://amigo.geneontology.org/cgi-bin/amigo/term-details.cgi?term=GO:0035556","GO:0035556")</f>
        <v>GO:0035556</v>
      </c>
      <c r="C13" t="s">
        <v>10407</v>
      </c>
      <c r="D13">
        <v>742</v>
      </c>
      <c r="E13">
        <v>80</v>
      </c>
      <c r="F13" s="4">
        <v>6.9902585183104897E-38</v>
      </c>
      <c r="G13" s="4">
        <v>1.5777013475826699E-34</v>
      </c>
      <c r="H13" t="s">
        <v>12961</v>
      </c>
    </row>
    <row r="14" spans="1:8" x14ac:dyDescent="0.25">
      <c r="A14" t="s">
        <v>10412</v>
      </c>
      <c r="B14" t="str">
        <f>HYPERLINK("http://amigo.geneontology.org/cgi-bin/amigo/term-details.cgi?term=GO:0006952","GO:0006952")</f>
        <v>GO:0006952</v>
      </c>
      <c r="C14" t="s">
        <v>155</v>
      </c>
      <c r="D14">
        <v>1346</v>
      </c>
      <c r="E14">
        <v>90</v>
      </c>
      <c r="F14" s="4">
        <v>1.1009742958451401E-26</v>
      </c>
      <c r="G14" s="4">
        <v>1.6569663152469299E-23</v>
      </c>
      <c r="H14" t="s">
        <v>13408</v>
      </c>
    </row>
    <row r="15" spans="1:8" x14ac:dyDescent="0.25">
      <c r="A15" t="s">
        <v>10414</v>
      </c>
      <c r="B15" t="str">
        <f>HYPERLINK("http://amigo.geneontology.org/cgi-bin/amigo/term-details.cgi?term=GO:0007165","GO:0007165")</f>
        <v>GO:0007165</v>
      </c>
      <c r="C15" t="s">
        <v>5347</v>
      </c>
      <c r="D15">
        <v>1452</v>
      </c>
      <c r="E15">
        <v>88</v>
      </c>
      <c r="F15" s="4">
        <v>3.2007605237088399E-23</v>
      </c>
      <c r="G15" s="4">
        <v>3.6104578707435802E-20</v>
      </c>
      <c r="H15" t="s">
        <v>13409</v>
      </c>
    </row>
    <row r="16" spans="1:8" x14ac:dyDescent="0.25">
      <c r="A16" t="s">
        <v>10416</v>
      </c>
      <c r="B16" t="str">
        <f>HYPERLINK("http://amigo.geneontology.org/cgi-bin/amigo/term-details.cgi?term=GO:0005975","GO:0005975")</f>
        <v>GO:0005975</v>
      </c>
      <c r="C16" t="s">
        <v>171</v>
      </c>
      <c r="D16">
        <v>2055</v>
      </c>
      <c r="E16">
        <v>91</v>
      </c>
      <c r="F16" s="4">
        <v>2.8548660498022201E-15</v>
      </c>
      <c r="G16" s="4">
        <v>2.5779440429714101E-12</v>
      </c>
      <c r="H16" t="s">
        <v>13410</v>
      </c>
    </row>
    <row r="17" spans="1:8" x14ac:dyDescent="0.25">
      <c r="A17" t="s">
        <v>10417</v>
      </c>
      <c r="B17" t="str">
        <f>HYPERLINK("http://amigo.geneontology.org/cgi-bin/amigo/term-details.cgi?term=GO:0043086","GO:0043086")</f>
        <v>GO:0043086</v>
      </c>
      <c r="C17" t="s">
        <v>510</v>
      </c>
      <c r="D17">
        <v>117</v>
      </c>
      <c r="E17">
        <v>18</v>
      </c>
      <c r="F17" s="4">
        <v>3.2330529274373599E-12</v>
      </c>
      <c r="G17" s="4">
        <v>2.4312558014328899E-9</v>
      </c>
      <c r="H17" t="s">
        <v>13411</v>
      </c>
    </row>
    <row r="18" spans="1:8" x14ac:dyDescent="0.25">
      <c r="A18" t="s">
        <v>10418</v>
      </c>
      <c r="B18" t="str">
        <f>HYPERLINK("http://amigo.geneontology.org/cgi-bin/amigo/term-details.cgi?term=GO:0044238","GO:0044238")</f>
        <v>GO:0044238</v>
      </c>
      <c r="C18" t="s">
        <v>612</v>
      </c>
      <c r="D18">
        <v>5792</v>
      </c>
      <c r="E18">
        <v>172</v>
      </c>
      <c r="F18" s="4">
        <v>1.90958019449947E-11</v>
      </c>
      <c r="G18" s="4">
        <v>1.23167922545216E-8</v>
      </c>
      <c r="H18" t="s">
        <v>13412</v>
      </c>
    </row>
    <row r="19" spans="1:8" x14ac:dyDescent="0.25">
      <c r="A19" t="s">
        <v>10419</v>
      </c>
      <c r="B19" t="str">
        <f>HYPERLINK("http://amigo.geneontology.org/cgi-bin/amigo/term-details.cgi?term=GO:0050896","GO:0050896")</f>
        <v>GO:0050896</v>
      </c>
      <c r="C19" t="s">
        <v>13356</v>
      </c>
      <c r="D19">
        <v>3546</v>
      </c>
      <c r="E19">
        <v>118</v>
      </c>
      <c r="F19" s="4">
        <v>5.7642320167549797E-11</v>
      </c>
      <c r="G19" s="4">
        <v>3.2510268574498102E-8</v>
      </c>
      <c r="H19" t="s">
        <v>13413</v>
      </c>
    </row>
    <row r="20" spans="1:8" x14ac:dyDescent="0.25">
      <c r="A20" t="s">
        <v>10421</v>
      </c>
      <c r="B20" t="str">
        <f>HYPERLINK("http://amigo.geneontology.org/cgi-bin/amigo/term-details.cgi?term=GO:0006950","GO:0006950")</f>
        <v>GO:0006950</v>
      </c>
      <c r="C20" t="s">
        <v>7156</v>
      </c>
      <c r="D20">
        <v>3456</v>
      </c>
      <c r="E20">
        <v>114</v>
      </c>
      <c r="F20" s="4">
        <v>2.0761217508639601E-10</v>
      </c>
      <c r="G20" s="4">
        <v>1.0401369971828401E-7</v>
      </c>
      <c r="H20" t="s">
        <v>13414</v>
      </c>
    </row>
    <row r="21" spans="1:8" x14ac:dyDescent="0.25">
      <c r="A21" t="s">
        <v>10423</v>
      </c>
      <c r="B21" t="str">
        <f>HYPERLINK("http://amigo.geneontology.org/cgi-bin/amigo/term-details.cgi?term=GO:0045861","GO:0045861")</f>
        <v>GO:0045861</v>
      </c>
      <c r="C21" t="s">
        <v>6994</v>
      </c>
      <c r="D21">
        <v>77</v>
      </c>
      <c r="E21">
        <v>12</v>
      </c>
      <c r="F21" s="4">
        <v>1.1286501625947799E-8</v>
      </c>
      <c r="G21" s="4">
        <v>3.63425352355519E-6</v>
      </c>
      <c r="H21" t="s">
        <v>10454</v>
      </c>
    </row>
    <row r="22" spans="1:8" x14ac:dyDescent="0.25">
      <c r="A22" t="s">
        <v>10425</v>
      </c>
      <c r="B22" t="str">
        <f>HYPERLINK("http://amigo.geneontology.org/cgi-bin/amigo/term-details.cgi?term=GO:0052547","GO:0052547")</f>
        <v>GO:0052547</v>
      </c>
      <c r="C22" t="s">
        <v>6982</v>
      </c>
      <c r="D22">
        <v>77</v>
      </c>
      <c r="E22">
        <v>12</v>
      </c>
      <c r="F22" s="4">
        <v>1.1286501625947799E-8</v>
      </c>
      <c r="G22" s="4">
        <v>3.9164160642038903E-6</v>
      </c>
      <c r="H22" t="s">
        <v>10454</v>
      </c>
    </row>
    <row r="23" spans="1:8" x14ac:dyDescent="0.25">
      <c r="A23" t="s">
        <v>6890</v>
      </c>
      <c r="B23" t="str">
        <f>HYPERLINK("http://amigo.geneontology.org/cgi-bin/amigo/term-details.cgi?term=GO:0010466","GO:0010466")</f>
        <v>GO:0010466</v>
      </c>
      <c r="C23" t="s">
        <v>6985</v>
      </c>
      <c r="D23">
        <v>77</v>
      </c>
      <c r="E23">
        <v>12</v>
      </c>
      <c r="F23" s="4">
        <v>1.1286501625947799E-8</v>
      </c>
      <c r="G23" s="4">
        <v>4.2437246113563799E-6</v>
      </c>
      <c r="H23" t="s">
        <v>10454</v>
      </c>
    </row>
    <row r="24" spans="1:8" x14ac:dyDescent="0.25">
      <c r="A24" t="s">
        <v>8172</v>
      </c>
      <c r="B24" t="str">
        <f>HYPERLINK("http://amigo.geneontology.org/cgi-bin/amigo/term-details.cgi?term=GO:0052548","GO:0052548")</f>
        <v>GO:0052548</v>
      </c>
      <c r="C24" t="s">
        <v>6987</v>
      </c>
      <c r="D24">
        <v>77</v>
      </c>
      <c r="E24">
        <v>12</v>
      </c>
      <c r="F24" s="4">
        <v>1.1286501625947799E-8</v>
      </c>
      <c r="G24" s="4">
        <v>4.6274656666386001E-6</v>
      </c>
      <c r="H24" t="s">
        <v>10454</v>
      </c>
    </row>
    <row r="25" spans="1:8" x14ac:dyDescent="0.25">
      <c r="A25" t="s">
        <v>10434</v>
      </c>
      <c r="B25" t="str">
        <f>HYPERLINK("http://amigo.geneontology.org/cgi-bin/amigo/term-details.cgi?term=GO:0010951","GO:0010951")</f>
        <v>GO:0010951</v>
      </c>
      <c r="C25" t="s">
        <v>6989</v>
      </c>
      <c r="D25">
        <v>77</v>
      </c>
      <c r="E25">
        <v>12</v>
      </c>
      <c r="F25" s="4">
        <v>1.1286501625947799E-8</v>
      </c>
      <c r="G25" s="4">
        <v>5.09021223330246E-6</v>
      </c>
      <c r="H25" t="s">
        <v>10454</v>
      </c>
    </row>
    <row r="26" spans="1:8" x14ac:dyDescent="0.25">
      <c r="A26" t="s">
        <v>10437</v>
      </c>
      <c r="B26" t="str">
        <f>HYPERLINK("http://amigo.geneontology.org/cgi-bin/amigo/term-details.cgi?term=GO:0051346","GO:0051346")</f>
        <v>GO:0051346</v>
      </c>
      <c r="C26" t="s">
        <v>7015</v>
      </c>
      <c r="D26">
        <v>85</v>
      </c>
      <c r="E26">
        <v>12</v>
      </c>
      <c r="F26" s="4">
        <v>3.5496297344078701E-8</v>
      </c>
      <c r="G26" s="4">
        <v>1.0684385500567599E-5</v>
      </c>
      <c r="H26" t="s">
        <v>10454</v>
      </c>
    </row>
    <row r="27" spans="1:8" x14ac:dyDescent="0.25">
      <c r="A27" t="s">
        <v>10438</v>
      </c>
      <c r="B27" t="str">
        <f>HYPERLINK("http://amigo.geneontology.org/cgi-bin/amigo/term-details.cgi?term=GO:0044092","GO:0044092")</f>
        <v>GO:0044092</v>
      </c>
      <c r="C27" t="s">
        <v>552</v>
      </c>
      <c r="D27">
        <v>96</v>
      </c>
      <c r="E27">
        <v>12</v>
      </c>
      <c r="F27" s="4">
        <v>1.4105354903112901E-7</v>
      </c>
      <c r="G27" s="4">
        <v>3.97771008267784E-5</v>
      </c>
      <c r="H27" t="s">
        <v>13415</v>
      </c>
    </row>
    <row r="28" spans="1:8" x14ac:dyDescent="0.25">
      <c r="A28" t="s">
        <v>10441</v>
      </c>
      <c r="B28" t="str">
        <f>HYPERLINK("http://amigo.geneontology.org/cgi-bin/amigo/term-details.cgi?term=GO:0006508","GO:0006508")</f>
        <v>GO:0006508</v>
      </c>
      <c r="C28" t="s">
        <v>10443</v>
      </c>
      <c r="D28">
        <v>2336</v>
      </c>
      <c r="E28">
        <v>74</v>
      </c>
      <c r="F28" s="4">
        <v>1.4888771284211599E-6</v>
      </c>
      <c r="G28" s="4">
        <v>3.9455243903160903E-4</v>
      </c>
      <c r="H28" t="s">
        <v>13416</v>
      </c>
    </row>
    <row r="29" spans="1:8" x14ac:dyDescent="0.25">
      <c r="A29" t="s">
        <v>9558</v>
      </c>
      <c r="B29" t="str">
        <f>HYPERLINK("http://amigo.geneontology.org/cgi-bin/amigo/term-details.cgi?term=GO:0030162","GO:0030162")</f>
        <v>GO:0030162</v>
      </c>
      <c r="C29" t="s">
        <v>7004</v>
      </c>
      <c r="D29">
        <v>22</v>
      </c>
      <c r="E29">
        <v>6</v>
      </c>
      <c r="F29" s="4">
        <v>1.76285983064603E-6</v>
      </c>
      <c r="G29" s="4">
        <v>4.4071495766150802E-4</v>
      </c>
      <c r="H29" t="s">
        <v>13417</v>
      </c>
    </row>
    <row r="30" spans="1:8" x14ac:dyDescent="0.25">
      <c r="A30" t="s">
        <v>10445</v>
      </c>
      <c r="B30" t="str">
        <f>HYPERLINK("http://amigo.geneontology.org/cgi-bin/amigo/term-details.cgi?term=GO:0007018","GO:0007018")</f>
        <v>GO:0007018</v>
      </c>
      <c r="C30" t="s">
        <v>5919</v>
      </c>
      <c r="D30">
        <v>163</v>
      </c>
      <c r="E30">
        <v>13</v>
      </c>
      <c r="F30" s="4">
        <v>7.5756791886966004E-6</v>
      </c>
      <c r="G30">
        <v>1.7954359677210901E-3</v>
      </c>
      <c r="H30" t="s">
        <v>13418</v>
      </c>
    </row>
    <row r="31" spans="1:8" x14ac:dyDescent="0.25">
      <c r="A31" t="s">
        <v>10447</v>
      </c>
      <c r="B31" t="str">
        <f>HYPERLINK("http://amigo.geneontology.org/cgi-bin/amigo/term-details.cgi?term=GO:0006928","GO:0006928")</f>
        <v>GO:0006928</v>
      </c>
      <c r="C31" t="s">
        <v>1350</v>
      </c>
      <c r="D31">
        <v>180</v>
      </c>
      <c r="E31">
        <v>13</v>
      </c>
      <c r="F31" s="4">
        <v>2.1921115108072199E-5</v>
      </c>
      <c r="G31">
        <v>4.9322508993162604E-3</v>
      </c>
      <c r="H31" t="s">
        <v>13418</v>
      </c>
    </row>
    <row r="32" spans="1:8" x14ac:dyDescent="0.25">
      <c r="A32" t="s">
        <v>10449</v>
      </c>
      <c r="B32" t="str">
        <f>HYPERLINK("http://amigo.geneontology.org/cgi-bin/amigo/term-details.cgi?term=GO:0071704","GO:0071704")</f>
        <v>GO:0071704</v>
      </c>
      <c r="C32" t="s">
        <v>472</v>
      </c>
      <c r="D32">
        <v>3829</v>
      </c>
      <c r="E32">
        <v>102</v>
      </c>
      <c r="F32" s="4">
        <v>3.17015475363644E-5</v>
      </c>
      <c r="G32">
        <v>6.8158327203183501E-3</v>
      </c>
      <c r="H32" t="s">
        <v>13419</v>
      </c>
    </row>
    <row r="33" spans="1:8" x14ac:dyDescent="0.25">
      <c r="A33" t="s">
        <v>10452</v>
      </c>
      <c r="B33" t="str">
        <f>HYPERLINK("http://amigo.geneontology.org/cgi-bin/amigo/term-details.cgi?term=GO:0033500","GO:0033500")</f>
        <v>GO:0033500</v>
      </c>
      <c r="C33" t="s">
        <v>695</v>
      </c>
      <c r="D33">
        <v>28</v>
      </c>
      <c r="E33">
        <v>5</v>
      </c>
      <c r="F33" s="4">
        <v>1.19835587400128E-4</v>
      </c>
      <c r="G33">
        <v>2.25290904312242E-2</v>
      </c>
      <c r="H33" t="s">
        <v>12995</v>
      </c>
    </row>
    <row r="34" spans="1:8" x14ac:dyDescent="0.25">
      <c r="A34" t="s">
        <v>10453</v>
      </c>
      <c r="B34" t="str">
        <f>HYPERLINK("http://amigo.geneontology.org/cgi-bin/amigo/term-details.cgi?term=GO:0042593","GO:0042593")</f>
        <v>GO:0042593</v>
      </c>
      <c r="C34" t="s">
        <v>698</v>
      </c>
      <c r="D34">
        <v>28</v>
      </c>
      <c r="E34">
        <v>5</v>
      </c>
      <c r="F34" s="4">
        <v>1.19835587400128E-4</v>
      </c>
      <c r="G34">
        <v>2.3487775130425201E-2</v>
      </c>
      <c r="H34" t="s">
        <v>12995</v>
      </c>
    </row>
    <row r="35" spans="1:8" x14ac:dyDescent="0.25">
      <c r="A35" t="s">
        <v>10461</v>
      </c>
      <c r="B35" t="str">
        <f>HYPERLINK("http://amigo.geneontology.org/cgi-bin/amigo/term-details.cgi?term=GO:0001678","GO:0001678")</f>
        <v>GO:0001678</v>
      </c>
      <c r="C35" t="s">
        <v>700</v>
      </c>
      <c r="D35">
        <v>28</v>
      </c>
      <c r="E35">
        <v>5</v>
      </c>
      <c r="F35" s="4">
        <v>1.19835587400128E-4</v>
      </c>
      <c r="G35">
        <v>2.4566295417026401E-2</v>
      </c>
      <c r="H35" t="s">
        <v>12995</v>
      </c>
    </row>
    <row r="36" spans="1:8" x14ac:dyDescent="0.25">
      <c r="A36" t="s">
        <v>10463</v>
      </c>
      <c r="B36" t="str">
        <f>HYPERLINK("http://amigo.geneontology.org/cgi-bin/amigo/term-details.cgi?term=GO:0043632","GO:0043632")</f>
        <v>GO:0043632</v>
      </c>
      <c r="C36" t="s">
        <v>10549</v>
      </c>
      <c r="D36">
        <v>576</v>
      </c>
      <c r="E36">
        <v>24</v>
      </c>
      <c r="F36" s="4">
        <v>1.2274029959720599E-4</v>
      </c>
      <c r="G36">
        <v>2.2093253927497201E-2</v>
      </c>
      <c r="H36" t="s">
        <v>13420</v>
      </c>
    </row>
    <row r="37" spans="1:8" x14ac:dyDescent="0.25">
      <c r="A37" t="s">
        <v>10465</v>
      </c>
      <c r="B37" t="str">
        <f>HYPERLINK("http://amigo.geneontology.org/cgi-bin/amigo/term-details.cgi?term=GO:0019941","GO:0019941")</f>
        <v>GO:0019941</v>
      </c>
      <c r="C37" t="s">
        <v>10551</v>
      </c>
      <c r="D37">
        <v>625</v>
      </c>
      <c r="E37">
        <v>24</v>
      </c>
      <c r="F37" s="4">
        <v>4.0275321070301802E-4</v>
      </c>
      <c r="G37">
        <v>6.9676305451622095E-2</v>
      </c>
      <c r="H37" t="s">
        <v>13420</v>
      </c>
    </row>
    <row r="38" spans="1:8" x14ac:dyDescent="0.25">
      <c r="A38" t="s">
        <v>10470</v>
      </c>
      <c r="B38" t="str">
        <f>HYPERLINK("http://amigo.geneontology.org/cgi-bin/amigo/term-details.cgi?term=GO:0044703","GO:0044703")</f>
        <v>GO:0044703</v>
      </c>
      <c r="C38" t="s">
        <v>834</v>
      </c>
      <c r="D38">
        <v>127</v>
      </c>
      <c r="E38">
        <v>9</v>
      </c>
      <c r="F38" s="4">
        <v>4.51092990712139E-4</v>
      </c>
      <c r="G38">
        <v>7.5332529448927196E-2</v>
      </c>
      <c r="H38" t="s">
        <v>13421</v>
      </c>
    </row>
    <row r="39" spans="1:8" x14ac:dyDescent="0.25">
      <c r="A39" t="s">
        <v>10472</v>
      </c>
      <c r="B39" t="str">
        <f>HYPERLINK("http://amigo.geneontology.org/cgi-bin/amigo/term-details.cgi?term=GO:0001906","GO:0001906")</f>
        <v>GO:0001906</v>
      </c>
      <c r="C39" t="s">
        <v>13422</v>
      </c>
      <c r="D39">
        <v>37</v>
      </c>
      <c r="E39">
        <v>5</v>
      </c>
      <c r="F39" s="4">
        <v>4.6602579337646198E-4</v>
      </c>
      <c r="G39">
        <v>6.7573740039586994E-2</v>
      </c>
      <c r="H39" t="s">
        <v>13000</v>
      </c>
    </row>
    <row r="40" spans="1:8" x14ac:dyDescent="0.25">
      <c r="A40" t="s">
        <v>10474</v>
      </c>
      <c r="B40" t="str">
        <f>HYPERLINK("http://amigo.geneontology.org/cgi-bin/amigo/term-details.cgi?term=GO:0035821","GO:0035821")</f>
        <v>GO:0035821</v>
      </c>
      <c r="C40" t="s">
        <v>10674</v>
      </c>
      <c r="D40">
        <v>37</v>
      </c>
      <c r="E40">
        <v>5</v>
      </c>
      <c r="F40" s="4">
        <v>4.6602579337646198E-4</v>
      </c>
      <c r="G40">
        <v>6.9903869006469402E-2</v>
      </c>
      <c r="H40" t="s">
        <v>13000</v>
      </c>
    </row>
    <row r="41" spans="1:8" x14ac:dyDescent="0.25">
      <c r="A41" t="s">
        <v>10475</v>
      </c>
      <c r="B41" t="str">
        <f>HYPERLINK("http://amigo.geneontology.org/cgi-bin/amigo/term-details.cgi?term=GO:0044364","GO:0044364")</f>
        <v>GO:0044364</v>
      </c>
      <c r="C41" t="s">
        <v>10517</v>
      </c>
      <c r="D41">
        <v>37</v>
      </c>
      <c r="E41">
        <v>5</v>
      </c>
      <c r="F41" s="4">
        <v>4.6602579337646198E-4</v>
      </c>
      <c r="G41">
        <v>7.2233997973351699E-2</v>
      </c>
      <c r="H41" t="s">
        <v>13000</v>
      </c>
    </row>
    <row r="42" spans="1:8" x14ac:dyDescent="0.25">
      <c r="A42" t="s">
        <v>10479</v>
      </c>
      <c r="B42" t="str">
        <f>HYPERLINK("http://amigo.geneontology.org/cgi-bin/amigo/term-details.cgi?term=GO:0031640","GO:0031640")</f>
        <v>GO:0031640</v>
      </c>
      <c r="C42" t="s">
        <v>10520</v>
      </c>
      <c r="D42">
        <v>37</v>
      </c>
      <c r="E42">
        <v>5</v>
      </c>
      <c r="F42" s="4">
        <v>4.6602579337646198E-4</v>
      </c>
      <c r="G42">
        <v>7.5030152733610495E-2</v>
      </c>
      <c r="H42" t="s">
        <v>13000</v>
      </c>
    </row>
    <row r="43" spans="1:8" x14ac:dyDescent="0.25">
      <c r="A43" t="s">
        <v>10483</v>
      </c>
      <c r="B43" t="str">
        <f>HYPERLINK("http://amigo.geneontology.org/cgi-bin/amigo/term-details.cgi?term=GO:0007017","GO:0007017")</f>
        <v>GO:0007017</v>
      </c>
      <c r="C43" t="s">
        <v>5877</v>
      </c>
      <c r="D43">
        <v>415</v>
      </c>
      <c r="E43">
        <v>18</v>
      </c>
      <c r="F43" s="4">
        <v>5.1566846995318699E-4</v>
      </c>
      <c r="G43">
        <v>7.27092542633994E-2</v>
      </c>
      <c r="H43" t="s">
        <v>13423</v>
      </c>
    </row>
    <row r="44" spans="1:8" x14ac:dyDescent="0.25">
      <c r="A44" t="s">
        <v>10485</v>
      </c>
      <c r="B44" t="str">
        <f>HYPERLINK("http://amigo.geneontology.org/cgi-bin/amigo/term-details.cgi?term=GO:0044210","GO:0044210")</f>
        <v>GO:0044210</v>
      </c>
      <c r="C44" t="s">
        <v>8789</v>
      </c>
      <c r="D44">
        <v>10</v>
      </c>
      <c r="E44">
        <v>3</v>
      </c>
      <c r="F44" s="4">
        <v>6.0200863321118998E-4</v>
      </c>
      <c r="G44">
        <v>8.1873174116721903E-2</v>
      </c>
      <c r="H44" t="s">
        <v>10555</v>
      </c>
    </row>
    <row r="45" spans="1:8" x14ac:dyDescent="0.25">
      <c r="A45" t="s">
        <v>10486</v>
      </c>
      <c r="B45" t="str">
        <f>HYPERLINK("http://amigo.geneontology.org/cgi-bin/amigo/term-details.cgi?term=GO:0006511","GO:0006511")</f>
        <v>GO:0006511</v>
      </c>
      <c r="C45" t="s">
        <v>10545</v>
      </c>
      <c r="D45">
        <v>658</v>
      </c>
      <c r="E45">
        <v>24</v>
      </c>
      <c r="F45" s="4">
        <v>8.2198998650932504E-4</v>
      </c>
      <c r="G45">
        <v>0.10850267821923</v>
      </c>
      <c r="H45" t="s">
        <v>13420</v>
      </c>
    </row>
    <row r="46" spans="1:8" x14ac:dyDescent="0.25">
      <c r="A46" t="s">
        <v>10487</v>
      </c>
      <c r="B46" t="str">
        <f>HYPERLINK("http://amigo.geneontology.org/cgi-bin/amigo/term-details.cgi?term=GO:0019953","GO:0019953")</f>
        <v>GO:0019953</v>
      </c>
      <c r="C46" t="s">
        <v>831</v>
      </c>
      <c r="D46">
        <v>148</v>
      </c>
      <c r="E46">
        <v>9</v>
      </c>
      <c r="F46">
        <v>1.34498093776882E-3</v>
      </c>
      <c r="G46">
        <v>0.17350254097217799</v>
      </c>
      <c r="H46" t="s">
        <v>13421</v>
      </c>
    </row>
    <row r="47" spans="1:8" x14ac:dyDescent="0.25">
      <c r="A47" t="s">
        <v>10488</v>
      </c>
      <c r="B47" t="str">
        <f>HYPERLINK("http://amigo.geneontology.org/cgi-bin/amigo/term-details.cgi?term=GO:0051603","GO:0051603")</f>
        <v>GO:0051603</v>
      </c>
      <c r="C47" t="s">
        <v>10600</v>
      </c>
      <c r="D47">
        <v>686</v>
      </c>
      <c r="E47">
        <v>24</v>
      </c>
      <c r="F47">
        <v>1.43437038222938E-3</v>
      </c>
      <c r="G47">
        <v>0.17929629777867301</v>
      </c>
      <c r="H47" t="s">
        <v>13420</v>
      </c>
    </row>
    <row r="48" spans="1:8" x14ac:dyDescent="0.25">
      <c r="A48" t="s">
        <v>10489</v>
      </c>
      <c r="B48" t="str">
        <f>HYPERLINK("http://amigo.geneontology.org/cgi-bin/amigo/term-details.cgi?term=GO:0051336","GO:0051336")</f>
        <v>GO:0051336</v>
      </c>
      <c r="C48" t="s">
        <v>7071</v>
      </c>
      <c r="D48">
        <v>84</v>
      </c>
      <c r="E48">
        <v>6</v>
      </c>
      <c r="F48">
        <v>3.7990821441042399E-3</v>
      </c>
      <c r="G48">
        <v>0.463488021580718</v>
      </c>
      <c r="H48" t="s">
        <v>13417</v>
      </c>
    </row>
    <row r="49" spans="1:8" x14ac:dyDescent="0.25">
      <c r="A49" t="s">
        <v>10492</v>
      </c>
      <c r="B49" t="str">
        <f>HYPERLINK("http://amigo.geneontology.org/cgi-bin/amigo/term-details.cgi?term=GO:0019566","GO:0019566")</f>
        <v>GO:0019566</v>
      </c>
      <c r="C49" t="s">
        <v>1278</v>
      </c>
      <c r="D49">
        <v>19</v>
      </c>
      <c r="E49">
        <v>3</v>
      </c>
      <c r="F49">
        <v>4.3174727399245601E-3</v>
      </c>
      <c r="G49">
        <v>0.49650936509132498</v>
      </c>
      <c r="H49" t="s">
        <v>10658</v>
      </c>
    </row>
    <row r="50" spans="1:8" x14ac:dyDescent="0.25">
      <c r="A50" t="s">
        <v>10494</v>
      </c>
      <c r="B50" t="str">
        <f>HYPERLINK("http://amigo.geneontology.org/cgi-bin/amigo/term-details.cgi?term=GO:0046373","GO:0046373")</f>
        <v>GO:0046373</v>
      </c>
      <c r="C50" t="s">
        <v>1281</v>
      </c>
      <c r="D50">
        <v>19</v>
      </c>
      <c r="E50">
        <v>3</v>
      </c>
      <c r="F50">
        <v>4.3174727399245601E-3</v>
      </c>
      <c r="G50">
        <v>0.50946178331109804</v>
      </c>
      <c r="H50" t="s">
        <v>10658</v>
      </c>
    </row>
    <row r="51" spans="1:8" x14ac:dyDescent="0.25">
      <c r="A51" t="s">
        <v>10497</v>
      </c>
      <c r="B51" t="str">
        <f>HYPERLINK("http://amigo.geneontology.org/cgi-bin/amigo/term-details.cgi?term=GO:0043062","GO:0043062")</f>
        <v>GO:0043062</v>
      </c>
      <c r="C51" t="s">
        <v>6351</v>
      </c>
      <c r="D51">
        <v>38</v>
      </c>
      <c r="E51">
        <v>4</v>
      </c>
      <c r="F51">
        <v>4.44346318697042E-3</v>
      </c>
      <c r="G51">
        <v>0.453233245070983</v>
      </c>
      <c r="H51" t="s">
        <v>13017</v>
      </c>
    </row>
    <row r="52" spans="1:8" x14ac:dyDescent="0.25">
      <c r="A52" t="s">
        <v>10499</v>
      </c>
      <c r="B52" t="str">
        <f>HYPERLINK("http://amigo.geneontology.org/cgi-bin/amigo/term-details.cgi?term=GO:0030198","GO:0030198")</f>
        <v>GO:0030198</v>
      </c>
      <c r="C52" t="s">
        <v>6353</v>
      </c>
      <c r="D52">
        <v>38</v>
      </c>
      <c r="E52">
        <v>4</v>
      </c>
      <c r="F52">
        <v>4.44346318697042E-3</v>
      </c>
      <c r="G52">
        <v>0.46656363463189399</v>
      </c>
      <c r="H52" t="s">
        <v>13017</v>
      </c>
    </row>
    <row r="53" spans="1:8" x14ac:dyDescent="0.25">
      <c r="A53" t="s">
        <v>10502</v>
      </c>
      <c r="B53" t="str">
        <f>HYPERLINK("http://amigo.geneontology.org/cgi-bin/amigo/term-details.cgi?term=GO:0070726","GO:0070726")</f>
        <v>GO:0070726</v>
      </c>
      <c r="C53" t="s">
        <v>6355</v>
      </c>
      <c r="D53">
        <v>38</v>
      </c>
      <c r="E53">
        <v>4</v>
      </c>
      <c r="F53">
        <v>4.44346318697042E-3</v>
      </c>
      <c r="G53">
        <v>0.47545056100583499</v>
      </c>
      <c r="H53" t="s">
        <v>13017</v>
      </c>
    </row>
    <row r="54" spans="1:8" x14ac:dyDescent="0.25">
      <c r="A54" t="s">
        <v>10504</v>
      </c>
      <c r="B54" t="str">
        <f>HYPERLINK("http://amigo.geneontology.org/cgi-bin/amigo/term-details.cgi?term=GO:0071668","GO:0071668")</f>
        <v>GO:0071668</v>
      </c>
      <c r="C54" t="s">
        <v>6357</v>
      </c>
      <c r="D54">
        <v>38</v>
      </c>
      <c r="E54">
        <v>4</v>
      </c>
      <c r="F54">
        <v>4.44346318697042E-3</v>
      </c>
      <c r="G54">
        <v>0.48878095056674598</v>
      </c>
      <c r="H54" t="s">
        <v>13017</v>
      </c>
    </row>
    <row r="55" spans="1:8" x14ac:dyDescent="0.25">
      <c r="A55" t="s">
        <v>10511</v>
      </c>
      <c r="B55" t="str">
        <f>HYPERLINK("http://amigo.geneontology.org/cgi-bin/amigo/term-details.cgi?term=GO:0010215","GO:0010215")</f>
        <v>GO:0010215</v>
      </c>
      <c r="C55" t="s">
        <v>6358</v>
      </c>
      <c r="D55">
        <v>38</v>
      </c>
      <c r="E55">
        <v>4</v>
      </c>
      <c r="F55">
        <v>4.44346318697042E-3</v>
      </c>
      <c r="G55">
        <v>0.49766787694068698</v>
      </c>
      <c r="H55" t="s">
        <v>13017</v>
      </c>
    </row>
    <row r="56" spans="1:8" x14ac:dyDescent="0.25">
      <c r="A56" t="s">
        <v>10516</v>
      </c>
      <c r="B56" t="str">
        <f>HYPERLINK("http://amigo.geneontology.org/cgi-bin/amigo/term-details.cgi?term=GO:1901564","GO:1901564")</f>
        <v>GO:1901564</v>
      </c>
      <c r="C56" t="s">
        <v>7043</v>
      </c>
      <c r="D56">
        <v>3042</v>
      </c>
      <c r="E56">
        <v>73</v>
      </c>
      <c r="F56">
        <v>5.7713266096934704E-3</v>
      </c>
      <c r="G56">
        <v>0.57713266096934701</v>
      </c>
      <c r="H56" t="s">
        <v>13424</v>
      </c>
    </row>
    <row r="57" spans="1:8" x14ac:dyDescent="0.25">
      <c r="A57" t="s">
        <v>10521</v>
      </c>
      <c r="B57" t="str">
        <f>HYPERLINK("http://amigo.geneontology.org/cgi-bin/amigo/term-details.cgi?term=GO:0048878","GO:0048878")</f>
        <v>GO:0048878</v>
      </c>
      <c r="C57" t="s">
        <v>5743</v>
      </c>
      <c r="D57">
        <v>65</v>
      </c>
      <c r="E57">
        <v>5</v>
      </c>
      <c r="F57">
        <v>5.8874710341416401E-3</v>
      </c>
      <c r="G57">
        <v>0.57697216134588003</v>
      </c>
      <c r="H57" t="s">
        <v>12995</v>
      </c>
    </row>
    <row r="58" spans="1:8" x14ac:dyDescent="0.25">
      <c r="A58" t="s">
        <v>10524</v>
      </c>
      <c r="B58" t="str">
        <f>HYPERLINK("http://amigo.geneontology.org/cgi-bin/amigo/term-details.cgi?term=GO:0065009","GO:0065009")</f>
        <v>GO:0065009</v>
      </c>
      <c r="C58" t="s">
        <v>879</v>
      </c>
      <c r="D58">
        <v>293</v>
      </c>
      <c r="E58">
        <v>12</v>
      </c>
      <c r="F58">
        <v>6.4586231543198903E-3</v>
      </c>
      <c r="G58">
        <v>0.62002782281470903</v>
      </c>
      <c r="H58" t="s">
        <v>13415</v>
      </c>
    </row>
    <row r="59" spans="1:8" x14ac:dyDescent="0.25">
      <c r="A59" t="s">
        <v>10528</v>
      </c>
      <c r="B59" t="str">
        <f>HYPERLINK("http://amigo.geneontology.org/cgi-bin/amigo/term-details.cgi?term=GO:0050790","GO:0050790")</f>
        <v>GO:0050790</v>
      </c>
      <c r="C59" t="s">
        <v>1064</v>
      </c>
      <c r="D59">
        <v>304</v>
      </c>
      <c r="E59">
        <v>12</v>
      </c>
      <c r="F59">
        <v>8.5257169374503491E-3</v>
      </c>
      <c r="G59">
        <v>0.80141739212033303</v>
      </c>
      <c r="H59" t="s">
        <v>13415</v>
      </c>
    </row>
    <row r="60" spans="1:8" x14ac:dyDescent="0.25">
      <c r="A60" t="s">
        <v>10531</v>
      </c>
      <c r="B60" t="str">
        <f>HYPERLINK("http://amigo.geneontology.org/cgi-bin/amigo/term-details.cgi?term=GO:0005978","GO:0005978")</f>
        <v>GO:0005978</v>
      </c>
      <c r="C60" t="s">
        <v>10731</v>
      </c>
      <c r="D60">
        <v>26</v>
      </c>
      <c r="E60">
        <v>3</v>
      </c>
      <c r="F60">
        <v>1.05708953845464E-2</v>
      </c>
      <c r="G60">
        <v>0.97252237537827002</v>
      </c>
      <c r="H60" t="s">
        <v>10606</v>
      </c>
    </row>
    <row r="61" spans="1:8" x14ac:dyDescent="0.25">
      <c r="A61" t="s">
        <v>10533</v>
      </c>
      <c r="B61" t="str">
        <f>HYPERLINK("http://amigo.geneontology.org/cgi-bin/amigo/term-details.cgi?term=GO:0051704","GO:0051704")</f>
        <v>GO:0051704</v>
      </c>
      <c r="C61" t="s">
        <v>13425</v>
      </c>
      <c r="D61">
        <v>206</v>
      </c>
      <c r="E61">
        <v>9</v>
      </c>
      <c r="F61">
        <v>1.1576798619636701E-2</v>
      </c>
      <c r="G61">
        <v>1</v>
      </c>
      <c r="H61" t="s">
        <v>13421</v>
      </c>
    </row>
    <row r="62" spans="1:8" x14ac:dyDescent="0.25">
      <c r="A62" t="s">
        <v>10535</v>
      </c>
      <c r="B62" t="str">
        <f>HYPERLINK("http://amigo.geneontology.org/cgi-bin/amigo/term-details.cgi?term=GO:0046835","GO:0046835")</f>
        <v>GO:0046835</v>
      </c>
      <c r="C62" t="s">
        <v>891</v>
      </c>
      <c r="D62">
        <v>78</v>
      </c>
      <c r="E62">
        <v>5</v>
      </c>
      <c r="F62">
        <v>1.2489911514327301E-2</v>
      </c>
      <c r="G62">
        <v>1</v>
      </c>
      <c r="H62" t="s">
        <v>12995</v>
      </c>
    </row>
    <row r="63" spans="1:8" x14ac:dyDescent="0.25">
      <c r="A63" t="s">
        <v>8883</v>
      </c>
      <c r="B63" t="str">
        <f>HYPERLINK("http://amigo.geneontology.org/cgi-bin/amigo/term-details.cgi?term=GO:0032506","GO:0032506")</f>
        <v>GO:0032506</v>
      </c>
      <c r="C63" t="s">
        <v>13040</v>
      </c>
      <c r="D63">
        <v>109</v>
      </c>
      <c r="E63">
        <v>6</v>
      </c>
      <c r="F63">
        <v>1.3102637133149001E-2</v>
      </c>
      <c r="G63">
        <v>1</v>
      </c>
      <c r="H63" t="s">
        <v>13035</v>
      </c>
    </row>
    <row r="64" spans="1:8" x14ac:dyDescent="0.25">
      <c r="A64" t="s">
        <v>10540</v>
      </c>
      <c r="B64" t="str">
        <f>HYPERLINK("http://amigo.geneontology.org/cgi-bin/amigo/term-details.cgi?term=GO:0000281","GO:0000281")</f>
        <v>GO:0000281</v>
      </c>
      <c r="C64" t="s">
        <v>13044</v>
      </c>
      <c r="D64">
        <v>110</v>
      </c>
      <c r="E64">
        <v>6</v>
      </c>
      <c r="F64">
        <v>1.3657296384485301E-2</v>
      </c>
      <c r="G64">
        <v>1</v>
      </c>
      <c r="H64" t="s">
        <v>13035</v>
      </c>
    </row>
    <row r="65" spans="1:8" x14ac:dyDescent="0.25">
      <c r="A65" t="s">
        <v>10541</v>
      </c>
      <c r="B65" t="str">
        <f>HYPERLINK("http://amigo.geneontology.org/cgi-bin/amigo/term-details.cgi?term=GO:0010411","GO:0010411")</f>
        <v>GO:0010411</v>
      </c>
      <c r="C65" t="s">
        <v>416</v>
      </c>
      <c r="D65">
        <v>147</v>
      </c>
      <c r="E65">
        <v>7</v>
      </c>
      <c r="F65">
        <v>1.60396814462292E-2</v>
      </c>
      <c r="G65">
        <v>1</v>
      </c>
      <c r="H65" t="s">
        <v>13033</v>
      </c>
    </row>
    <row r="66" spans="1:8" x14ac:dyDescent="0.25">
      <c r="A66" t="s">
        <v>10544</v>
      </c>
      <c r="B66" t="str">
        <f>HYPERLINK("http://amigo.geneontology.org/cgi-bin/amigo/term-details.cgi?term=GO:0034655","GO:0034655")</f>
        <v>GO:0034655</v>
      </c>
      <c r="C66" t="s">
        <v>5097</v>
      </c>
      <c r="D66">
        <v>114</v>
      </c>
      <c r="E66">
        <v>6</v>
      </c>
      <c r="F66">
        <v>1.60398669735991E-2</v>
      </c>
      <c r="G66">
        <v>1</v>
      </c>
      <c r="H66" t="s">
        <v>13426</v>
      </c>
    </row>
    <row r="67" spans="1:8" x14ac:dyDescent="0.25">
      <c r="A67" t="s">
        <v>10547</v>
      </c>
      <c r="B67" t="str">
        <f>HYPERLINK("http://amigo.geneontology.org/cgi-bin/amigo/term-details.cgi?term=GO:0000911","GO:0000911")</f>
        <v>GO:0000911</v>
      </c>
      <c r="C67" t="s">
        <v>13034</v>
      </c>
      <c r="D67">
        <v>114</v>
      </c>
      <c r="E67">
        <v>6</v>
      </c>
      <c r="F67">
        <v>1.60398669735991E-2</v>
      </c>
      <c r="G67">
        <v>1</v>
      </c>
      <c r="H67" t="s">
        <v>13035</v>
      </c>
    </row>
    <row r="68" spans="1:8" x14ac:dyDescent="0.25">
      <c r="A68" t="s">
        <v>10548</v>
      </c>
      <c r="B68" t="str">
        <f>HYPERLINK("http://amigo.geneontology.org/cgi-bin/amigo/term-details.cgi?term=GO:1902410","GO:1902410")</f>
        <v>GO:1902410</v>
      </c>
      <c r="C68" t="s">
        <v>13041</v>
      </c>
      <c r="D68">
        <v>118</v>
      </c>
      <c r="E68">
        <v>6</v>
      </c>
      <c r="F68">
        <v>1.8694913116035598E-2</v>
      </c>
      <c r="G68">
        <v>1</v>
      </c>
      <c r="H68" t="s">
        <v>13035</v>
      </c>
    </row>
    <row r="69" spans="1:8" x14ac:dyDescent="0.25">
      <c r="A69" t="s">
        <v>10550</v>
      </c>
      <c r="B69" t="str">
        <f>HYPERLINK("http://amigo.geneontology.org/cgi-bin/amigo/term-details.cgi?term=GO:0006465","GO:0006465")</f>
        <v>GO:0006465</v>
      </c>
      <c r="C69" t="s">
        <v>10644</v>
      </c>
      <c r="D69">
        <v>34</v>
      </c>
      <c r="E69">
        <v>3</v>
      </c>
      <c r="F69">
        <v>2.1928594833736902E-2</v>
      </c>
      <c r="G69">
        <v>1</v>
      </c>
      <c r="H69" t="s">
        <v>13038</v>
      </c>
    </row>
    <row r="70" spans="1:8" x14ac:dyDescent="0.25">
      <c r="A70" t="s">
        <v>10552</v>
      </c>
      <c r="B70" t="str">
        <f>HYPERLINK("http://amigo.geneontology.org/cgi-bin/amigo/term-details.cgi?term=GO:0006112","GO:0006112")</f>
        <v>GO:0006112</v>
      </c>
      <c r="C70" t="s">
        <v>1001</v>
      </c>
      <c r="D70">
        <v>36</v>
      </c>
      <c r="E70">
        <v>3</v>
      </c>
      <c r="F70">
        <v>2.5497252376762002E-2</v>
      </c>
      <c r="G70">
        <v>1</v>
      </c>
      <c r="H70" t="s">
        <v>10606</v>
      </c>
    </row>
    <row r="71" spans="1:8" x14ac:dyDescent="0.25">
      <c r="A71" t="s">
        <v>10554</v>
      </c>
      <c r="B71" t="str">
        <f>HYPERLINK("http://amigo.geneontology.org/cgi-bin/amigo/term-details.cgi?term=GO:0005977","GO:0005977")</f>
        <v>GO:0005977</v>
      </c>
      <c r="C71" t="s">
        <v>1004</v>
      </c>
      <c r="D71">
        <v>36</v>
      </c>
      <c r="E71">
        <v>3</v>
      </c>
      <c r="F71">
        <v>2.5497252376762002E-2</v>
      </c>
      <c r="G71">
        <v>1</v>
      </c>
      <c r="H71" t="s">
        <v>10606</v>
      </c>
    </row>
    <row r="72" spans="1:8" x14ac:dyDescent="0.25">
      <c r="A72" t="s">
        <v>10556</v>
      </c>
      <c r="B72" t="str">
        <f>HYPERLINK("http://amigo.geneontology.org/cgi-bin/amigo/term-details.cgi?term=GO:0032269","GO:0032269")</f>
        <v>GO:0032269</v>
      </c>
      <c r="C72" t="s">
        <v>6230</v>
      </c>
      <c r="D72">
        <v>128</v>
      </c>
      <c r="E72">
        <v>6</v>
      </c>
      <c r="F72">
        <v>2.6606303559758501E-2</v>
      </c>
      <c r="G72">
        <v>1</v>
      </c>
      <c r="H72" t="s">
        <v>13417</v>
      </c>
    </row>
    <row r="73" spans="1:8" x14ac:dyDescent="0.25">
      <c r="A73" t="s">
        <v>10559</v>
      </c>
      <c r="B73" t="str">
        <f>HYPERLINK("http://amigo.geneontology.org/cgi-bin/amigo/term-details.cgi?term=GO:0044042","GO:0044042")</f>
        <v>GO:0044042</v>
      </c>
      <c r="C73" t="s">
        <v>365</v>
      </c>
      <c r="D73">
        <v>203</v>
      </c>
      <c r="E73">
        <v>8</v>
      </c>
      <c r="F73">
        <v>2.8790362043754101E-2</v>
      </c>
      <c r="G73">
        <v>1</v>
      </c>
      <c r="H73" t="s">
        <v>13427</v>
      </c>
    </row>
    <row r="74" spans="1:8" x14ac:dyDescent="0.25">
      <c r="A74" t="s">
        <v>10561</v>
      </c>
      <c r="B74" t="str">
        <f>HYPERLINK("http://amigo.geneontology.org/cgi-bin/amigo/term-details.cgi?term=GO:0009209","GO:0009209")</f>
        <v>GO:0009209</v>
      </c>
      <c r="C74" t="s">
        <v>4424</v>
      </c>
      <c r="D74">
        <v>38</v>
      </c>
      <c r="E74">
        <v>3</v>
      </c>
      <c r="F74">
        <v>2.935825536528E-2</v>
      </c>
      <c r="G74">
        <v>1</v>
      </c>
      <c r="H74" t="s">
        <v>10555</v>
      </c>
    </row>
    <row r="75" spans="1:8" x14ac:dyDescent="0.25">
      <c r="A75" t="s">
        <v>10562</v>
      </c>
      <c r="B75" t="str">
        <f>HYPERLINK("http://amigo.geneontology.org/cgi-bin/amigo/term-details.cgi?term=GO:0046036","GO:0046036")</f>
        <v>GO:0046036</v>
      </c>
      <c r="C75" t="s">
        <v>4425</v>
      </c>
      <c r="D75">
        <v>38</v>
      </c>
      <c r="E75">
        <v>3</v>
      </c>
      <c r="F75">
        <v>2.935825536528E-2</v>
      </c>
      <c r="G75">
        <v>1</v>
      </c>
      <c r="H75" t="s">
        <v>10555</v>
      </c>
    </row>
    <row r="76" spans="1:8" x14ac:dyDescent="0.25">
      <c r="A76" t="s">
        <v>10564</v>
      </c>
      <c r="B76" t="str">
        <f>HYPERLINK("http://amigo.geneontology.org/cgi-bin/amigo/term-details.cgi?term=GO:0006241","GO:0006241")</f>
        <v>GO:0006241</v>
      </c>
      <c r="C76" t="s">
        <v>4426</v>
      </c>
      <c r="D76">
        <v>38</v>
      </c>
      <c r="E76">
        <v>3</v>
      </c>
      <c r="F76">
        <v>2.935825536528E-2</v>
      </c>
      <c r="G76">
        <v>1</v>
      </c>
      <c r="H76" t="s">
        <v>10555</v>
      </c>
    </row>
    <row r="77" spans="1:8" x14ac:dyDescent="0.25">
      <c r="A77" t="s">
        <v>10566</v>
      </c>
      <c r="B77" t="str">
        <f>HYPERLINK("http://amigo.geneontology.org/cgi-bin/amigo/term-details.cgi?term=GO:0055082","GO:0055082")</f>
        <v>GO:0055082</v>
      </c>
      <c r="C77" t="s">
        <v>10774</v>
      </c>
      <c r="D77">
        <v>98</v>
      </c>
      <c r="E77">
        <v>5</v>
      </c>
      <c r="F77">
        <v>3.0242889720771E-2</v>
      </c>
      <c r="G77">
        <v>1</v>
      </c>
      <c r="H77" t="s">
        <v>12995</v>
      </c>
    </row>
    <row r="78" spans="1:8" x14ac:dyDescent="0.25">
      <c r="A78" t="s">
        <v>10568</v>
      </c>
      <c r="B78" t="str">
        <f>HYPERLINK("http://amigo.geneontology.org/cgi-bin/amigo/term-details.cgi?term=GO:0048447","GO:0048447")</f>
        <v>GO:0048447</v>
      </c>
      <c r="C78" t="s">
        <v>13002</v>
      </c>
      <c r="D78">
        <v>42</v>
      </c>
      <c r="E78">
        <v>3</v>
      </c>
      <c r="F78">
        <v>3.7949032320803801E-2</v>
      </c>
      <c r="G78">
        <v>1</v>
      </c>
      <c r="H78" t="s">
        <v>13428</v>
      </c>
    </row>
    <row r="79" spans="1:8" x14ac:dyDescent="0.25">
      <c r="A79" t="s">
        <v>10569</v>
      </c>
      <c r="B79" t="str">
        <f>HYPERLINK("http://amigo.geneontology.org/cgi-bin/amigo/term-details.cgi?term=GO:0048453","GO:0048453")</f>
        <v>GO:0048453</v>
      </c>
      <c r="C79" t="s">
        <v>13004</v>
      </c>
      <c r="D79">
        <v>42</v>
      </c>
      <c r="E79">
        <v>3</v>
      </c>
      <c r="F79">
        <v>3.7949032320803801E-2</v>
      </c>
      <c r="G79">
        <v>1</v>
      </c>
      <c r="H79" t="s">
        <v>13428</v>
      </c>
    </row>
    <row r="80" spans="1:8" x14ac:dyDescent="0.25">
      <c r="A80" t="s">
        <v>10571</v>
      </c>
      <c r="B80" t="str">
        <f>HYPERLINK("http://amigo.geneontology.org/cgi-bin/amigo/term-details.cgi?term=GO:0048451","GO:0048451")</f>
        <v>GO:0048451</v>
      </c>
      <c r="C80" t="s">
        <v>13005</v>
      </c>
      <c r="D80">
        <v>43</v>
      </c>
      <c r="E80">
        <v>3</v>
      </c>
      <c r="F80">
        <v>4.0275388892051199E-2</v>
      </c>
      <c r="G80">
        <v>1</v>
      </c>
      <c r="H80" t="s">
        <v>13428</v>
      </c>
    </row>
    <row r="81" spans="1:8" x14ac:dyDescent="0.25">
      <c r="A81" t="s">
        <v>10573</v>
      </c>
      <c r="B81" t="str">
        <f>HYPERLINK("http://amigo.geneontology.org/cgi-bin/amigo/term-details.cgi?term=GO:0023052","GO:0023052")</f>
        <v>GO:0023052</v>
      </c>
      <c r="C81" t="s">
        <v>13299</v>
      </c>
      <c r="D81">
        <v>783</v>
      </c>
      <c r="E81">
        <v>21</v>
      </c>
      <c r="F81">
        <v>4.1101804530677397E-2</v>
      </c>
      <c r="G81">
        <v>1</v>
      </c>
      <c r="H81" t="s">
        <v>13429</v>
      </c>
    </row>
    <row r="82" spans="1:8" x14ac:dyDescent="0.25">
      <c r="A82" t="s">
        <v>10576</v>
      </c>
      <c r="B82" t="str">
        <f>HYPERLINK("http://amigo.geneontology.org/cgi-bin/amigo/term-details.cgi?term=GO:0044264","GO:0044264")</f>
        <v>GO:0044264</v>
      </c>
      <c r="C82" t="s">
        <v>469</v>
      </c>
      <c r="D82">
        <v>220</v>
      </c>
      <c r="E82">
        <v>8</v>
      </c>
      <c r="F82">
        <v>4.2965671300782597E-2</v>
      </c>
      <c r="G82">
        <v>1</v>
      </c>
      <c r="H82" t="s">
        <v>13427</v>
      </c>
    </row>
    <row r="83" spans="1:8" x14ac:dyDescent="0.25">
      <c r="A83" t="s">
        <v>10580</v>
      </c>
      <c r="B83" t="str">
        <f>HYPERLINK("http://amigo.geneontology.org/cgi-bin/amigo/term-details.cgi?term=GO:0009620","GO:0009620")</f>
        <v>GO:0009620</v>
      </c>
      <c r="C83" t="s">
        <v>9055</v>
      </c>
      <c r="D83">
        <v>260</v>
      </c>
      <c r="E83">
        <v>9</v>
      </c>
      <c r="F83">
        <v>4.2998917459306403E-2</v>
      </c>
      <c r="G83">
        <v>1</v>
      </c>
      <c r="H83" t="s">
        <v>13430</v>
      </c>
    </row>
    <row r="84" spans="1:8" x14ac:dyDescent="0.25">
      <c r="A84" t="s">
        <v>10582</v>
      </c>
      <c r="B84" t="str">
        <f>HYPERLINK("http://amigo.geneontology.org/cgi-bin/amigo/term-details.cgi?term=GO:0071554","GO:0071554")</f>
        <v>GO:0071554</v>
      </c>
      <c r="C84" t="s">
        <v>206</v>
      </c>
      <c r="D84">
        <v>788</v>
      </c>
      <c r="E84">
        <v>21</v>
      </c>
      <c r="F84">
        <v>4.3436436449181402E-2</v>
      </c>
      <c r="G84">
        <v>1</v>
      </c>
      <c r="H84" t="s">
        <v>13431</v>
      </c>
    </row>
    <row r="85" spans="1:8" x14ac:dyDescent="0.25">
      <c r="A85" t="s">
        <v>10584</v>
      </c>
      <c r="B85" t="str">
        <f>HYPERLINK("http://amigo.geneontology.org/cgi-bin/amigo/term-details.cgi?term=GO:0071840","GO:0071840")</f>
        <v>GO:0071840</v>
      </c>
      <c r="C85" t="s">
        <v>13432</v>
      </c>
      <c r="D85">
        <v>261</v>
      </c>
      <c r="E85">
        <v>9</v>
      </c>
      <c r="F85">
        <v>4.3868564921486601E-2</v>
      </c>
      <c r="G85">
        <v>1</v>
      </c>
      <c r="H85" t="s">
        <v>13433</v>
      </c>
    </row>
    <row r="86" spans="1:8" x14ac:dyDescent="0.25">
      <c r="A86" t="s">
        <v>8186</v>
      </c>
      <c r="B86" t="str">
        <f>HYPERLINK("http://amigo.geneontology.org/cgi-bin/amigo/term-details.cgi?term=GO:0048446","GO:0048446")</f>
        <v>GO:0048446</v>
      </c>
      <c r="C86" t="s">
        <v>13008</v>
      </c>
      <c r="D86">
        <v>46</v>
      </c>
      <c r="E86">
        <v>3</v>
      </c>
      <c r="F86">
        <v>4.7674638673100102E-2</v>
      </c>
      <c r="G86">
        <v>1</v>
      </c>
      <c r="H86" t="s">
        <v>13428</v>
      </c>
    </row>
    <row r="87" spans="1:8" x14ac:dyDescent="0.25">
      <c r="A87" t="s">
        <v>10586</v>
      </c>
      <c r="B87" t="str">
        <f>HYPERLINK("http://amigo.geneontology.org/cgi-bin/amigo/term-details.cgi?term=GO:0048442","GO:0048442")</f>
        <v>GO:0048442</v>
      </c>
      <c r="C87" t="s">
        <v>13010</v>
      </c>
      <c r="D87">
        <v>46</v>
      </c>
      <c r="E87">
        <v>3</v>
      </c>
      <c r="F87">
        <v>4.7674638673100102E-2</v>
      </c>
      <c r="G87">
        <v>1</v>
      </c>
      <c r="H87" t="s">
        <v>13428</v>
      </c>
    </row>
    <row r="88" spans="1:8" x14ac:dyDescent="0.25">
      <c r="A88" t="s">
        <v>10587</v>
      </c>
      <c r="B88" t="str">
        <f>HYPERLINK("http://amigo.geneontology.org/cgi-bin/amigo/term-details.cgi?term=GO:0006402","GO:0006402")</f>
        <v>GO:0006402</v>
      </c>
      <c r="C88" t="s">
        <v>13434</v>
      </c>
      <c r="D88">
        <v>112</v>
      </c>
      <c r="E88">
        <v>5</v>
      </c>
      <c r="F88">
        <v>4.9064312729335598E-2</v>
      </c>
      <c r="G88">
        <v>1</v>
      </c>
      <c r="H88" t="s">
        <v>10496</v>
      </c>
    </row>
    <row r="89" spans="1:8" x14ac:dyDescent="0.25">
      <c r="A89" t="s">
        <v>10590</v>
      </c>
    </row>
    <row r="90" spans="1:8" x14ac:dyDescent="0.25">
      <c r="A90" t="s">
        <v>10593</v>
      </c>
    </row>
    <row r="91" spans="1:8" x14ac:dyDescent="0.25">
      <c r="A91" t="s">
        <v>10594</v>
      </c>
    </row>
    <row r="92" spans="1:8" x14ac:dyDescent="0.25">
      <c r="A92" t="s">
        <v>10595</v>
      </c>
    </row>
    <row r="93" spans="1:8" x14ac:dyDescent="0.25">
      <c r="A93" t="s">
        <v>10597</v>
      </c>
    </row>
    <row r="94" spans="1:8" x14ac:dyDescent="0.25">
      <c r="A94" t="s">
        <v>8901</v>
      </c>
    </row>
    <row r="95" spans="1:8" x14ac:dyDescent="0.25">
      <c r="A95" t="s">
        <v>10601</v>
      </c>
    </row>
    <row r="96" spans="1:8" x14ac:dyDescent="0.25">
      <c r="A96" t="s">
        <v>10604</v>
      </c>
    </row>
    <row r="97" spans="1:1" x14ac:dyDescent="0.25">
      <c r="A97" t="s">
        <v>10607</v>
      </c>
    </row>
    <row r="98" spans="1:1" x14ac:dyDescent="0.25">
      <c r="A98" t="s">
        <v>10609</v>
      </c>
    </row>
    <row r="99" spans="1:1" x14ac:dyDescent="0.25">
      <c r="A99" t="s">
        <v>7001</v>
      </c>
    </row>
    <row r="100" spans="1:1" x14ac:dyDescent="0.25">
      <c r="A100" t="s">
        <v>7003</v>
      </c>
    </row>
    <row r="101" spans="1:1" x14ac:dyDescent="0.25">
      <c r="A101" t="s">
        <v>10612</v>
      </c>
    </row>
    <row r="102" spans="1:1" x14ac:dyDescent="0.25">
      <c r="A102" t="s">
        <v>10613</v>
      </c>
    </row>
    <row r="103" spans="1:1" x14ac:dyDescent="0.25">
      <c r="A103" t="s">
        <v>10620</v>
      </c>
    </row>
    <row r="104" spans="1:1" x14ac:dyDescent="0.25">
      <c r="A104" t="s">
        <v>10623</v>
      </c>
    </row>
    <row r="105" spans="1:1" x14ac:dyDescent="0.25">
      <c r="A105" t="s">
        <v>10625</v>
      </c>
    </row>
    <row r="106" spans="1:1" x14ac:dyDescent="0.25">
      <c r="A106" t="s">
        <v>10627</v>
      </c>
    </row>
    <row r="107" spans="1:1" x14ac:dyDescent="0.25">
      <c r="A107" t="s">
        <v>10628</v>
      </c>
    </row>
    <row r="108" spans="1:1" x14ac:dyDescent="0.25">
      <c r="A108" t="s">
        <v>10630</v>
      </c>
    </row>
    <row r="109" spans="1:1" x14ac:dyDescent="0.25">
      <c r="A109" t="s">
        <v>10631</v>
      </c>
    </row>
    <row r="110" spans="1:1" x14ac:dyDescent="0.25">
      <c r="A110" t="s">
        <v>10632</v>
      </c>
    </row>
    <row r="111" spans="1:1" x14ac:dyDescent="0.25">
      <c r="A111" t="s">
        <v>10635</v>
      </c>
    </row>
    <row r="112" spans="1:1" x14ac:dyDescent="0.25">
      <c r="A112" t="s">
        <v>10637</v>
      </c>
    </row>
    <row r="113" spans="1:1" x14ac:dyDescent="0.25">
      <c r="A113" t="s">
        <v>10641</v>
      </c>
    </row>
    <row r="114" spans="1:1" x14ac:dyDescent="0.25">
      <c r="A114" t="s">
        <v>10643</v>
      </c>
    </row>
    <row r="115" spans="1:1" x14ac:dyDescent="0.25">
      <c r="A115" t="s">
        <v>10646</v>
      </c>
    </row>
    <row r="116" spans="1:1" x14ac:dyDescent="0.25">
      <c r="A116" t="s">
        <v>10647</v>
      </c>
    </row>
    <row r="117" spans="1:1" x14ac:dyDescent="0.25">
      <c r="A117" t="s">
        <v>10649</v>
      </c>
    </row>
    <row r="118" spans="1:1" x14ac:dyDescent="0.25">
      <c r="A118" t="s">
        <v>10652</v>
      </c>
    </row>
    <row r="119" spans="1:1" x14ac:dyDescent="0.25">
      <c r="A119" t="s">
        <v>10654</v>
      </c>
    </row>
    <row r="120" spans="1:1" x14ac:dyDescent="0.25">
      <c r="A120" t="s">
        <v>7013</v>
      </c>
    </row>
    <row r="121" spans="1:1" x14ac:dyDescent="0.25">
      <c r="A121" t="s">
        <v>10657</v>
      </c>
    </row>
    <row r="122" spans="1:1" x14ac:dyDescent="0.25">
      <c r="A122" t="s">
        <v>10659</v>
      </c>
    </row>
    <row r="123" spans="1:1" x14ac:dyDescent="0.25">
      <c r="A123" t="s">
        <v>10661</v>
      </c>
    </row>
    <row r="124" spans="1:1" x14ac:dyDescent="0.25">
      <c r="A124" t="s">
        <v>10662</v>
      </c>
    </row>
    <row r="125" spans="1:1" x14ac:dyDescent="0.25">
      <c r="A125" t="s">
        <v>10666</v>
      </c>
    </row>
    <row r="126" spans="1:1" x14ac:dyDescent="0.25">
      <c r="A126" t="s">
        <v>10668</v>
      </c>
    </row>
    <row r="127" spans="1:1" x14ac:dyDescent="0.25">
      <c r="A127" t="s">
        <v>10671</v>
      </c>
    </row>
    <row r="128" spans="1:1" x14ac:dyDescent="0.25">
      <c r="A128" t="s">
        <v>10673</v>
      </c>
    </row>
    <row r="129" spans="1:1" x14ac:dyDescent="0.25">
      <c r="A129" t="s">
        <v>10676</v>
      </c>
    </row>
    <row r="130" spans="1:1" x14ac:dyDescent="0.25">
      <c r="A130" t="s">
        <v>10679</v>
      </c>
    </row>
    <row r="131" spans="1:1" x14ac:dyDescent="0.25">
      <c r="A131" t="s">
        <v>10680</v>
      </c>
    </row>
    <row r="132" spans="1:1" x14ac:dyDescent="0.25">
      <c r="A132" t="s">
        <v>10688</v>
      </c>
    </row>
    <row r="133" spans="1:1" x14ac:dyDescent="0.25">
      <c r="A133" t="s">
        <v>10691</v>
      </c>
    </row>
    <row r="134" spans="1:1" x14ac:dyDescent="0.25">
      <c r="A134" t="s">
        <v>10693</v>
      </c>
    </row>
    <row r="135" spans="1:1" x14ac:dyDescent="0.25">
      <c r="A135" t="s">
        <v>10695</v>
      </c>
    </row>
    <row r="136" spans="1:1" x14ac:dyDescent="0.25">
      <c r="A136" t="s">
        <v>10697</v>
      </c>
    </row>
    <row r="137" spans="1:1" x14ac:dyDescent="0.25">
      <c r="A137" t="s">
        <v>10699</v>
      </c>
    </row>
    <row r="138" spans="1:1" x14ac:dyDescent="0.25">
      <c r="A138" t="s">
        <v>10701</v>
      </c>
    </row>
    <row r="139" spans="1:1" x14ac:dyDescent="0.25">
      <c r="A139" t="s">
        <v>10703</v>
      </c>
    </row>
    <row r="140" spans="1:1" x14ac:dyDescent="0.25">
      <c r="A140" t="s">
        <v>10704</v>
      </c>
    </row>
    <row r="141" spans="1:1" x14ac:dyDescent="0.25">
      <c r="A141" t="s">
        <v>10706</v>
      </c>
    </row>
    <row r="142" spans="1:1" x14ac:dyDescent="0.25">
      <c r="A142" t="s">
        <v>10707</v>
      </c>
    </row>
    <row r="143" spans="1:1" x14ac:dyDescent="0.25">
      <c r="A143" t="s">
        <v>10712</v>
      </c>
    </row>
    <row r="144" spans="1:1" x14ac:dyDescent="0.25">
      <c r="A144" t="s">
        <v>10715</v>
      </c>
    </row>
    <row r="145" spans="1:1" x14ac:dyDescent="0.25">
      <c r="A145" t="s">
        <v>10718</v>
      </c>
    </row>
    <row r="146" spans="1:1" x14ac:dyDescent="0.25">
      <c r="A146" t="s">
        <v>10723</v>
      </c>
    </row>
    <row r="147" spans="1:1" x14ac:dyDescent="0.25">
      <c r="A147" t="s">
        <v>10725</v>
      </c>
    </row>
    <row r="148" spans="1:1" x14ac:dyDescent="0.25">
      <c r="A148" t="s">
        <v>10730</v>
      </c>
    </row>
    <row r="149" spans="1:1" x14ac:dyDescent="0.25">
      <c r="A149" t="s">
        <v>10734</v>
      </c>
    </row>
    <row r="150" spans="1:1" x14ac:dyDescent="0.25">
      <c r="A150" t="s">
        <v>10736</v>
      </c>
    </row>
    <row r="151" spans="1:1" x14ac:dyDescent="0.25">
      <c r="A151" t="s">
        <v>10741</v>
      </c>
    </row>
    <row r="152" spans="1:1" x14ac:dyDescent="0.25">
      <c r="A152" t="s">
        <v>10743</v>
      </c>
    </row>
    <row r="153" spans="1:1" x14ac:dyDescent="0.25">
      <c r="A153" t="s">
        <v>10750</v>
      </c>
    </row>
    <row r="154" spans="1:1" x14ac:dyDescent="0.25">
      <c r="A154" t="s">
        <v>10752</v>
      </c>
    </row>
    <row r="155" spans="1:1" x14ac:dyDescent="0.25">
      <c r="A155" t="s">
        <v>10756</v>
      </c>
    </row>
    <row r="156" spans="1:1" x14ac:dyDescent="0.25">
      <c r="A156" t="s">
        <v>10760</v>
      </c>
    </row>
    <row r="157" spans="1:1" x14ac:dyDescent="0.25">
      <c r="A157" t="s">
        <v>10764</v>
      </c>
    </row>
    <row r="158" spans="1:1" x14ac:dyDescent="0.25">
      <c r="A158" t="s">
        <v>10771</v>
      </c>
    </row>
    <row r="159" spans="1:1" x14ac:dyDescent="0.25">
      <c r="A159" t="s">
        <v>10773</v>
      </c>
    </row>
    <row r="160" spans="1:1" x14ac:dyDescent="0.25">
      <c r="A160" t="s">
        <v>10776</v>
      </c>
    </row>
    <row r="161" spans="1:1" x14ac:dyDescent="0.25">
      <c r="A161" t="s">
        <v>10777</v>
      </c>
    </row>
    <row r="162" spans="1:1" x14ac:dyDescent="0.25">
      <c r="A162" t="s">
        <v>10779</v>
      </c>
    </row>
    <row r="163" spans="1:1" x14ac:dyDescent="0.25">
      <c r="A163" t="s">
        <v>10781</v>
      </c>
    </row>
    <row r="164" spans="1:1" x14ac:dyDescent="0.25">
      <c r="A164" t="s">
        <v>10783</v>
      </c>
    </row>
    <row r="165" spans="1:1" x14ac:dyDescent="0.25">
      <c r="A165" t="s">
        <v>10788</v>
      </c>
    </row>
    <row r="166" spans="1:1" x14ac:dyDescent="0.25">
      <c r="A166" t="s">
        <v>10790</v>
      </c>
    </row>
    <row r="167" spans="1:1" x14ac:dyDescent="0.25">
      <c r="A167" t="s">
        <v>10792</v>
      </c>
    </row>
    <row r="168" spans="1:1" x14ac:dyDescent="0.25">
      <c r="A168" t="s">
        <v>10795</v>
      </c>
    </row>
    <row r="169" spans="1:1" x14ac:dyDescent="0.25">
      <c r="A169" t="s">
        <v>10798</v>
      </c>
    </row>
    <row r="170" spans="1:1" x14ac:dyDescent="0.25">
      <c r="A170" t="s">
        <v>10801</v>
      </c>
    </row>
    <row r="171" spans="1:1" x14ac:dyDescent="0.25">
      <c r="A171" t="s">
        <v>10803</v>
      </c>
    </row>
    <row r="172" spans="1:1" x14ac:dyDescent="0.25">
      <c r="A172" t="s">
        <v>10805</v>
      </c>
    </row>
    <row r="173" spans="1:1" x14ac:dyDescent="0.25">
      <c r="A173" t="s">
        <v>10807</v>
      </c>
    </row>
    <row r="174" spans="1:1" x14ac:dyDescent="0.25">
      <c r="A174" t="s">
        <v>10809</v>
      </c>
    </row>
    <row r="175" spans="1:1" x14ac:dyDescent="0.25">
      <c r="A175" t="s">
        <v>10811</v>
      </c>
    </row>
    <row r="176" spans="1:1" x14ac:dyDescent="0.25">
      <c r="A176" t="s">
        <v>10813</v>
      </c>
    </row>
    <row r="177" spans="1:1" x14ac:dyDescent="0.25">
      <c r="A177" t="s">
        <v>10814</v>
      </c>
    </row>
    <row r="178" spans="1:1" x14ac:dyDescent="0.25">
      <c r="A178" t="s">
        <v>10815</v>
      </c>
    </row>
    <row r="179" spans="1:1" x14ac:dyDescent="0.25">
      <c r="A179" t="s">
        <v>10816</v>
      </c>
    </row>
    <row r="180" spans="1:1" x14ac:dyDescent="0.25">
      <c r="A180" t="s">
        <v>10817</v>
      </c>
    </row>
    <row r="181" spans="1:1" x14ac:dyDescent="0.25">
      <c r="A181" t="s">
        <v>10818</v>
      </c>
    </row>
    <row r="182" spans="1:1" x14ac:dyDescent="0.25">
      <c r="A182" t="s">
        <v>7081</v>
      </c>
    </row>
    <row r="183" spans="1:1" x14ac:dyDescent="0.25">
      <c r="A183" t="s">
        <v>10820</v>
      </c>
    </row>
    <row r="184" spans="1:1" x14ac:dyDescent="0.25">
      <c r="A184" t="s">
        <v>10821</v>
      </c>
    </row>
    <row r="185" spans="1:1" x14ac:dyDescent="0.25">
      <c r="A185" t="s">
        <v>10822</v>
      </c>
    </row>
    <row r="186" spans="1:1" x14ac:dyDescent="0.25">
      <c r="A186" t="s">
        <v>10823</v>
      </c>
    </row>
    <row r="187" spans="1:1" x14ac:dyDescent="0.25">
      <c r="A187" t="s">
        <v>10824</v>
      </c>
    </row>
    <row r="188" spans="1:1" x14ac:dyDescent="0.25">
      <c r="A188" t="s">
        <v>10825</v>
      </c>
    </row>
    <row r="189" spans="1:1" x14ac:dyDescent="0.25">
      <c r="A189" t="s">
        <v>10826</v>
      </c>
    </row>
    <row r="190" spans="1:1" x14ac:dyDescent="0.25">
      <c r="A190" t="s">
        <v>10827</v>
      </c>
    </row>
    <row r="191" spans="1:1" x14ac:dyDescent="0.25">
      <c r="A191" t="s">
        <v>10828</v>
      </c>
    </row>
    <row r="192" spans="1:1" x14ac:dyDescent="0.25">
      <c r="A192" t="s">
        <v>8953</v>
      </c>
    </row>
    <row r="193" spans="1:1" x14ac:dyDescent="0.25">
      <c r="A193" t="s">
        <v>10829</v>
      </c>
    </row>
    <row r="194" spans="1:1" x14ac:dyDescent="0.25">
      <c r="A194" t="s">
        <v>10830</v>
      </c>
    </row>
    <row r="195" spans="1:1" x14ac:dyDescent="0.25">
      <c r="A195" t="s">
        <v>10831</v>
      </c>
    </row>
    <row r="196" spans="1:1" x14ac:dyDescent="0.25">
      <c r="A196" t="s">
        <v>10832</v>
      </c>
    </row>
    <row r="197" spans="1:1" x14ac:dyDescent="0.25">
      <c r="A197" t="s">
        <v>10833</v>
      </c>
    </row>
    <row r="198" spans="1:1" x14ac:dyDescent="0.25">
      <c r="A198" t="s">
        <v>10834</v>
      </c>
    </row>
    <row r="199" spans="1:1" x14ac:dyDescent="0.25">
      <c r="A199" t="s">
        <v>10836</v>
      </c>
    </row>
    <row r="200" spans="1:1" x14ac:dyDescent="0.25">
      <c r="A200" t="s">
        <v>10838</v>
      </c>
    </row>
    <row r="201" spans="1:1" x14ac:dyDescent="0.25">
      <c r="A201" t="s">
        <v>10839</v>
      </c>
    </row>
    <row r="202" spans="1:1" x14ac:dyDescent="0.25">
      <c r="A202" t="s">
        <v>10840</v>
      </c>
    </row>
    <row r="203" spans="1:1" x14ac:dyDescent="0.25">
      <c r="A203" t="s">
        <v>10841</v>
      </c>
    </row>
    <row r="204" spans="1:1" x14ac:dyDescent="0.25">
      <c r="A204" t="s">
        <v>10842</v>
      </c>
    </row>
    <row r="205" spans="1:1" x14ac:dyDescent="0.25">
      <c r="A205" t="s">
        <v>10843</v>
      </c>
    </row>
    <row r="206" spans="1:1" x14ac:dyDescent="0.25">
      <c r="A206" t="s">
        <v>10844</v>
      </c>
    </row>
    <row r="207" spans="1:1" x14ac:dyDescent="0.25">
      <c r="A207" t="s">
        <v>10845</v>
      </c>
    </row>
    <row r="208" spans="1:1" x14ac:dyDescent="0.25">
      <c r="A208" t="s">
        <v>10846</v>
      </c>
    </row>
    <row r="209" spans="1:1" x14ac:dyDescent="0.25">
      <c r="A209" t="s">
        <v>10847</v>
      </c>
    </row>
    <row r="210" spans="1:1" x14ac:dyDescent="0.25">
      <c r="A210" t="s">
        <v>10848</v>
      </c>
    </row>
    <row r="211" spans="1:1" x14ac:dyDescent="0.25">
      <c r="A211" t="s">
        <v>10849</v>
      </c>
    </row>
    <row r="212" spans="1:1" x14ac:dyDescent="0.25">
      <c r="A212" t="s">
        <v>10850</v>
      </c>
    </row>
    <row r="213" spans="1:1" x14ac:dyDescent="0.25">
      <c r="A213" t="s">
        <v>10851</v>
      </c>
    </row>
    <row r="214" spans="1:1" x14ac:dyDescent="0.25">
      <c r="A214" t="s">
        <v>10852</v>
      </c>
    </row>
    <row r="215" spans="1:1" x14ac:dyDescent="0.25">
      <c r="A215" t="s">
        <v>10854</v>
      </c>
    </row>
    <row r="216" spans="1:1" x14ac:dyDescent="0.25">
      <c r="A216" t="s">
        <v>10855</v>
      </c>
    </row>
    <row r="217" spans="1:1" x14ac:dyDescent="0.25">
      <c r="A217" t="s">
        <v>10856</v>
      </c>
    </row>
    <row r="218" spans="1:1" x14ac:dyDescent="0.25">
      <c r="A218" t="s">
        <v>10857</v>
      </c>
    </row>
    <row r="219" spans="1:1" x14ac:dyDescent="0.25">
      <c r="A219" t="s">
        <v>10860</v>
      </c>
    </row>
    <row r="220" spans="1:1" x14ac:dyDescent="0.25">
      <c r="A220" t="s">
        <v>10861</v>
      </c>
    </row>
    <row r="221" spans="1:1" x14ac:dyDescent="0.25">
      <c r="A221" t="s">
        <v>10862</v>
      </c>
    </row>
    <row r="222" spans="1:1" x14ac:dyDescent="0.25">
      <c r="A222" t="s">
        <v>10864</v>
      </c>
    </row>
    <row r="223" spans="1:1" x14ac:dyDescent="0.25">
      <c r="A223" t="s">
        <v>9573</v>
      </c>
    </row>
    <row r="224" spans="1:1" x14ac:dyDescent="0.25">
      <c r="A224" t="s">
        <v>10867</v>
      </c>
    </row>
    <row r="225" spans="1:1" x14ac:dyDescent="0.25">
      <c r="A225" t="s">
        <v>10870</v>
      </c>
    </row>
    <row r="226" spans="1:1" x14ac:dyDescent="0.25">
      <c r="A226" t="s">
        <v>10871</v>
      </c>
    </row>
    <row r="227" spans="1:1" x14ac:dyDescent="0.25">
      <c r="A227" t="s">
        <v>7130</v>
      </c>
    </row>
    <row r="228" spans="1:1" x14ac:dyDescent="0.25">
      <c r="A228" t="s">
        <v>10873</v>
      </c>
    </row>
    <row r="229" spans="1:1" x14ac:dyDescent="0.25">
      <c r="A229" t="s">
        <v>10874</v>
      </c>
    </row>
    <row r="230" spans="1:1" x14ac:dyDescent="0.25">
      <c r="A230" t="s">
        <v>10875</v>
      </c>
    </row>
    <row r="231" spans="1:1" x14ac:dyDescent="0.25">
      <c r="A231" t="s">
        <v>10876</v>
      </c>
    </row>
    <row r="232" spans="1:1" x14ac:dyDescent="0.25">
      <c r="A232" t="s">
        <v>10878</v>
      </c>
    </row>
    <row r="233" spans="1:1" x14ac:dyDescent="0.25">
      <c r="A233" t="s">
        <v>10879</v>
      </c>
    </row>
    <row r="234" spans="1:1" x14ac:dyDescent="0.25">
      <c r="A234" t="s">
        <v>10880</v>
      </c>
    </row>
    <row r="235" spans="1:1" x14ac:dyDescent="0.25">
      <c r="A235" t="s">
        <v>10881</v>
      </c>
    </row>
    <row r="236" spans="1:1" x14ac:dyDescent="0.25">
      <c r="A236" t="s">
        <v>10882</v>
      </c>
    </row>
    <row r="237" spans="1:1" x14ac:dyDescent="0.25">
      <c r="A237" t="s">
        <v>10883</v>
      </c>
    </row>
    <row r="238" spans="1:1" x14ac:dyDescent="0.25">
      <c r="A238" t="s">
        <v>10884</v>
      </c>
    </row>
    <row r="239" spans="1:1" x14ac:dyDescent="0.25">
      <c r="A239" t="s">
        <v>10887</v>
      </c>
    </row>
    <row r="240" spans="1:1" x14ac:dyDescent="0.25">
      <c r="A240" t="s">
        <v>10889</v>
      </c>
    </row>
    <row r="241" spans="1:1" x14ac:dyDescent="0.25">
      <c r="A241" t="s">
        <v>10890</v>
      </c>
    </row>
    <row r="242" spans="1:1" x14ac:dyDescent="0.25">
      <c r="A242" t="s">
        <v>10891</v>
      </c>
    </row>
    <row r="243" spans="1:1" x14ac:dyDescent="0.25">
      <c r="A243" t="s">
        <v>10892</v>
      </c>
    </row>
    <row r="244" spans="1:1" x14ac:dyDescent="0.25">
      <c r="A244" t="s">
        <v>10893</v>
      </c>
    </row>
    <row r="245" spans="1:1" x14ac:dyDescent="0.25">
      <c r="A245" t="s">
        <v>10894</v>
      </c>
    </row>
    <row r="246" spans="1:1" x14ac:dyDescent="0.25">
      <c r="A246" t="s">
        <v>10895</v>
      </c>
    </row>
    <row r="247" spans="1:1" x14ac:dyDescent="0.25">
      <c r="A247" t="s">
        <v>10896</v>
      </c>
    </row>
    <row r="248" spans="1:1" x14ac:dyDescent="0.25">
      <c r="A248" t="s">
        <v>10898</v>
      </c>
    </row>
    <row r="249" spans="1:1" x14ac:dyDescent="0.25">
      <c r="A249" t="s">
        <v>10899</v>
      </c>
    </row>
    <row r="250" spans="1:1" x14ac:dyDescent="0.25">
      <c r="A250" t="s">
        <v>10900</v>
      </c>
    </row>
    <row r="251" spans="1:1" x14ac:dyDescent="0.25">
      <c r="A251" t="s">
        <v>10901</v>
      </c>
    </row>
    <row r="252" spans="1:1" x14ac:dyDescent="0.25">
      <c r="A252" t="s">
        <v>10902</v>
      </c>
    </row>
    <row r="253" spans="1:1" x14ac:dyDescent="0.25">
      <c r="A253" t="s">
        <v>10903</v>
      </c>
    </row>
    <row r="254" spans="1:1" x14ac:dyDescent="0.25">
      <c r="A254" t="s">
        <v>10904</v>
      </c>
    </row>
    <row r="255" spans="1:1" x14ac:dyDescent="0.25">
      <c r="A255" t="s">
        <v>10905</v>
      </c>
    </row>
    <row r="256" spans="1:1" x14ac:dyDescent="0.25">
      <c r="A256" t="s">
        <v>10906</v>
      </c>
    </row>
    <row r="257" spans="1:1" x14ac:dyDescent="0.25">
      <c r="A257" t="s">
        <v>10907</v>
      </c>
    </row>
    <row r="258" spans="1:1" x14ac:dyDescent="0.25">
      <c r="A258" t="s">
        <v>10908</v>
      </c>
    </row>
    <row r="259" spans="1:1" x14ac:dyDescent="0.25">
      <c r="A259" t="s">
        <v>10909</v>
      </c>
    </row>
    <row r="260" spans="1:1" x14ac:dyDescent="0.25">
      <c r="A260" t="s">
        <v>10910</v>
      </c>
    </row>
    <row r="261" spans="1:1" x14ac:dyDescent="0.25">
      <c r="A261" t="s">
        <v>10911</v>
      </c>
    </row>
    <row r="262" spans="1:1" x14ac:dyDescent="0.25">
      <c r="A262" t="s">
        <v>10913</v>
      </c>
    </row>
    <row r="263" spans="1:1" x14ac:dyDescent="0.25">
      <c r="A263" t="s">
        <v>10914</v>
      </c>
    </row>
    <row r="264" spans="1:1" x14ac:dyDescent="0.25">
      <c r="A264" t="s">
        <v>10915</v>
      </c>
    </row>
    <row r="265" spans="1:1" x14ac:dyDescent="0.25">
      <c r="A265" t="s">
        <v>10916</v>
      </c>
    </row>
    <row r="266" spans="1:1" x14ac:dyDescent="0.25">
      <c r="A266" t="s">
        <v>10917</v>
      </c>
    </row>
    <row r="267" spans="1:1" x14ac:dyDescent="0.25">
      <c r="A267" t="s">
        <v>10919</v>
      </c>
    </row>
    <row r="268" spans="1:1" x14ac:dyDescent="0.25">
      <c r="A268" t="s">
        <v>8236</v>
      </c>
    </row>
    <row r="269" spans="1:1" x14ac:dyDescent="0.25">
      <c r="A269" t="s">
        <v>10920</v>
      </c>
    </row>
    <row r="270" spans="1:1" x14ac:dyDescent="0.25">
      <c r="A270" t="s">
        <v>10921</v>
      </c>
    </row>
    <row r="271" spans="1:1" x14ac:dyDescent="0.25">
      <c r="A271" t="s">
        <v>8782</v>
      </c>
    </row>
    <row r="272" spans="1:1" x14ac:dyDescent="0.25">
      <c r="A272" t="s">
        <v>10922</v>
      </c>
    </row>
    <row r="273" spans="1:1" x14ac:dyDescent="0.25">
      <c r="A273" t="s">
        <v>10923</v>
      </c>
    </row>
    <row r="274" spans="1:1" x14ac:dyDescent="0.25">
      <c r="A274" t="s">
        <v>10924</v>
      </c>
    </row>
    <row r="275" spans="1:1" x14ac:dyDescent="0.25">
      <c r="A275" t="s">
        <v>9582</v>
      </c>
    </row>
    <row r="276" spans="1:1" x14ac:dyDescent="0.25">
      <c r="A276" t="s">
        <v>10925</v>
      </c>
    </row>
    <row r="277" spans="1:1" x14ac:dyDescent="0.25">
      <c r="A277" t="s">
        <v>10926</v>
      </c>
    </row>
    <row r="278" spans="1:1" x14ac:dyDescent="0.25">
      <c r="A278" t="s">
        <v>10927</v>
      </c>
    </row>
    <row r="279" spans="1:1" x14ac:dyDescent="0.25">
      <c r="A279" t="s">
        <v>10928</v>
      </c>
    </row>
    <row r="280" spans="1:1" x14ac:dyDescent="0.25">
      <c r="A280" t="s">
        <v>10929</v>
      </c>
    </row>
    <row r="281" spans="1:1" x14ac:dyDescent="0.25">
      <c r="A281" t="s">
        <v>10930</v>
      </c>
    </row>
    <row r="282" spans="1:1" x14ac:dyDescent="0.25">
      <c r="A282" t="s">
        <v>10931</v>
      </c>
    </row>
    <row r="283" spans="1:1" x14ac:dyDescent="0.25">
      <c r="A283" t="s">
        <v>10933</v>
      </c>
    </row>
    <row r="284" spans="1:1" x14ac:dyDescent="0.25">
      <c r="A284" t="s">
        <v>7176</v>
      </c>
    </row>
    <row r="285" spans="1:1" x14ac:dyDescent="0.25">
      <c r="A285" t="s">
        <v>8698</v>
      </c>
    </row>
    <row r="286" spans="1:1" x14ac:dyDescent="0.25">
      <c r="A286" t="s">
        <v>10935</v>
      </c>
    </row>
    <row r="287" spans="1:1" x14ac:dyDescent="0.25">
      <c r="A287" t="s">
        <v>10937</v>
      </c>
    </row>
    <row r="288" spans="1:1" x14ac:dyDescent="0.25">
      <c r="A288" t="s">
        <v>8699</v>
      </c>
    </row>
    <row r="289" spans="1:1" x14ac:dyDescent="0.25">
      <c r="A289" t="s">
        <v>8700</v>
      </c>
    </row>
    <row r="290" spans="1:1" x14ac:dyDescent="0.25">
      <c r="A290" t="s">
        <v>8701</v>
      </c>
    </row>
    <row r="291" spans="1:1" x14ac:dyDescent="0.25">
      <c r="A291" t="s">
        <v>8702</v>
      </c>
    </row>
    <row r="292" spans="1:1" x14ac:dyDescent="0.25">
      <c r="A292" t="s">
        <v>8703</v>
      </c>
    </row>
    <row r="293" spans="1:1" x14ac:dyDescent="0.25">
      <c r="A293" t="s">
        <v>10939</v>
      </c>
    </row>
    <row r="294" spans="1:1" x14ac:dyDescent="0.25">
      <c r="A294" t="s">
        <v>10940</v>
      </c>
    </row>
    <row r="295" spans="1:1" x14ac:dyDescent="0.25">
      <c r="A295" t="s">
        <v>10941</v>
      </c>
    </row>
    <row r="296" spans="1:1" x14ac:dyDescent="0.25">
      <c r="A296" t="s">
        <v>10942</v>
      </c>
    </row>
    <row r="297" spans="1:1" x14ac:dyDescent="0.25">
      <c r="A297" t="s">
        <v>10944</v>
      </c>
    </row>
    <row r="298" spans="1:1" x14ac:dyDescent="0.25">
      <c r="A298" t="s">
        <v>10945</v>
      </c>
    </row>
    <row r="299" spans="1:1" x14ac:dyDescent="0.25">
      <c r="A299" t="s">
        <v>10946</v>
      </c>
    </row>
    <row r="300" spans="1:1" x14ac:dyDescent="0.25">
      <c r="A300" t="s">
        <v>10948</v>
      </c>
    </row>
    <row r="301" spans="1:1" x14ac:dyDescent="0.25">
      <c r="A301" t="s">
        <v>10949</v>
      </c>
    </row>
    <row r="302" spans="1:1" x14ac:dyDescent="0.25">
      <c r="A302" t="s">
        <v>10950</v>
      </c>
    </row>
    <row r="303" spans="1:1" x14ac:dyDescent="0.25">
      <c r="A303" t="s">
        <v>10951</v>
      </c>
    </row>
    <row r="304" spans="1:1" x14ac:dyDescent="0.25">
      <c r="A304" t="s">
        <v>10952</v>
      </c>
    </row>
    <row r="305" spans="1:1" x14ac:dyDescent="0.25">
      <c r="A305" t="s">
        <v>10953</v>
      </c>
    </row>
    <row r="306" spans="1:1" x14ac:dyDescent="0.25">
      <c r="A306" t="s">
        <v>10955</v>
      </c>
    </row>
    <row r="307" spans="1:1" x14ac:dyDescent="0.25">
      <c r="A307" t="s">
        <v>10956</v>
      </c>
    </row>
    <row r="308" spans="1:1" x14ac:dyDescent="0.25">
      <c r="A308" t="s">
        <v>10957</v>
      </c>
    </row>
    <row r="309" spans="1:1" x14ac:dyDescent="0.25">
      <c r="A309" t="s">
        <v>10958</v>
      </c>
    </row>
    <row r="310" spans="1:1" x14ac:dyDescent="0.25">
      <c r="A310" t="s">
        <v>7184</v>
      </c>
    </row>
    <row r="311" spans="1:1" x14ac:dyDescent="0.25">
      <c r="A311" t="s">
        <v>10961</v>
      </c>
    </row>
    <row r="312" spans="1:1" x14ac:dyDescent="0.25">
      <c r="A312" t="s">
        <v>10962</v>
      </c>
    </row>
    <row r="313" spans="1:1" x14ac:dyDescent="0.25">
      <c r="A313" t="s">
        <v>10963</v>
      </c>
    </row>
    <row r="314" spans="1:1" x14ac:dyDescent="0.25">
      <c r="A314" t="s">
        <v>10965</v>
      </c>
    </row>
    <row r="315" spans="1:1" x14ac:dyDescent="0.25">
      <c r="A315" t="s">
        <v>10966</v>
      </c>
    </row>
    <row r="316" spans="1:1" x14ac:dyDescent="0.25">
      <c r="A316" t="s">
        <v>10967</v>
      </c>
    </row>
    <row r="317" spans="1:1" x14ac:dyDescent="0.25">
      <c r="A317" t="s">
        <v>10968</v>
      </c>
    </row>
    <row r="318" spans="1:1" x14ac:dyDescent="0.25">
      <c r="A318" t="s">
        <v>10970</v>
      </c>
    </row>
    <row r="319" spans="1:1" x14ac:dyDescent="0.25">
      <c r="A319" t="s">
        <v>9599</v>
      </c>
    </row>
    <row r="320" spans="1:1" x14ac:dyDescent="0.25">
      <c r="A320" t="s">
        <v>8705</v>
      </c>
    </row>
    <row r="321" spans="1:1" x14ac:dyDescent="0.25">
      <c r="A321" t="s">
        <v>10972</v>
      </c>
    </row>
    <row r="322" spans="1:1" x14ac:dyDescent="0.25">
      <c r="A322" t="s">
        <v>10973</v>
      </c>
    </row>
    <row r="323" spans="1:1" x14ac:dyDescent="0.25">
      <c r="A323" t="s">
        <v>10974</v>
      </c>
    </row>
    <row r="324" spans="1:1" x14ac:dyDescent="0.25">
      <c r="A324" t="s">
        <v>10975</v>
      </c>
    </row>
    <row r="325" spans="1:1" x14ac:dyDescent="0.25">
      <c r="A325" t="s">
        <v>10976</v>
      </c>
    </row>
    <row r="326" spans="1:1" x14ac:dyDescent="0.25">
      <c r="A326" t="s">
        <v>10977</v>
      </c>
    </row>
    <row r="327" spans="1:1" x14ac:dyDescent="0.25">
      <c r="A327" t="s">
        <v>8258</v>
      </c>
    </row>
    <row r="328" spans="1:1" x14ac:dyDescent="0.25">
      <c r="A328" t="s">
        <v>10979</v>
      </c>
    </row>
    <row r="329" spans="1:1" x14ac:dyDescent="0.25">
      <c r="A329" t="s">
        <v>10980</v>
      </c>
    </row>
    <row r="330" spans="1:1" x14ac:dyDescent="0.25">
      <c r="A330" t="s">
        <v>8783</v>
      </c>
    </row>
    <row r="331" spans="1:1" x14ac:dyDescent="0.25">
      <c r="A331" t="s">
        <v>10981</v>
      </c>
    </row>
    <row r="332" spans="1:1" x14ac:dyDescent="0.25">
      <c r="A332" t="s">
        <v>10984</v>
      </c>
    </row>
    <row r="333" spans="1:1" x14ac:dyDescent="0.25">
      <c r="A333" t="s">
        <v>9051</v>
      </c>
    </row>
    <row r="334" spans="1:1" x14ac:dyDescent="0.25">
      <c r="A334" t="s">
        <v>10986</v>
      </c>
    </row>
    <row r="335" spans="1:1" x14ac:dyDescent="0.25">
      <c r="A335" t="s">
        <v>10988</v>
      </c>
    </row>
    <row r="336" spans="1:1" x14ac:dyDescent="0.25">
      <c r="A336" t="s">
        <v>10989</v>
      </c>
    </row>
    <row r="337" spans="1:1" x14ac:dyDescent="0.25">
      <c r="A337" t="s">
        <v>10991</v>
      </c>
    </row>
    <row r="338" spans="1:1" x14ac:dyDescent="0.25">
      <c r="A338" t="s">
        <v>7219</v>
      </c>
    </row>
    <row r="339" spans="1:1" x14ac:dyDescent="0.25">
      <c r="A339" t="s">
        <v>10992</v>
      </c>
    </row>
    <row r="340" spans="1:1" x14ac:dyDescent="0.25">
      <c r="A340" t="s">
        <v>10993</v>
      </c>
    </row>
    <row r="341" spans="1:1" x14ac:dyDescent="0.25">
      <c r="A341" t="s">
        <v>9052</v>
      </c>
    </row>
    <row r="342" spans="1:1" x14ac:dyDescent="0.25">
      <c r="A342" t="s">
        <v>10994</v>
      </c>
    </row>
    <row r="343" spans="1:1" x14ac:dyDescent="0.25">
      <c r="A343" t="s">
        <v>10996</v>
      </c>
    </row>
    <row r="344" spans="1:1" x14ac:dyDescent="0.25">
      <c r="A344" t="s">
        <v>10997</v>
      </c>
    </row>
    <row r="345" spans="1:1" x14ac:dyDescent="0.25">
      <c r="A345" t="s">
        <v>10998</v>
      </c>
    </row>
    <row r="346" spans="1:1" x14ac:dyDescent="0.25">
      <c r="A346" t="s">
        <v>10999</v>
      </c>
    </row>
    <row r="347" spans="1:1" x14ac:dyDescent="0.25">
      <c r="A347" t="s">
        <v>11000</v>
      </c>
    </row>
    <row r="348" spans="1:1" x14ac:dyDescent="0.25">
      <c r="A348" t="s">
        <v>11001</v>
      </c>
    </row>
    <row r="349" spans="1:1" x14ac:dyDescent="0.25">
      <c r="A349" t="s">
        <v>11004</v>
      </c>
    </row>
    <row r="350" spans="1:1" x14ac:dyDescent="0.25">
      <c r="A350" t="s">
        <v>11005</v>
      </c>
    </row>
    <row r="351" spans="1:1" x14ac:dyDescent="0.25">
      <c r="A351" t="s">
        <v>11006</v>
      </c>
    </row>
    <row r="352" spans="1:1" x14ac:dyDescent="0.25">
      <c r="A352" t="s">
        <v>11007</v>
      </c>
    </row>
    <row r="353" spans="1:1" x14ac:dyDescent="0.25">
      <c r="A353" t="s">
        <v>7253</v>
      </c>
    </row>
    <row r="354" spans="1:1" x14ac:dyDescent="0.25">
      <c r="A354" t="s">
        <v>11008</v>
      </c>
    </row>
    <row r="355" spans="1:1" x14ac:dyDescent="0.25">
      <c r="A355" t="s">
        <v>11009</v>
      </c>
    </row>
    <row r="356" spans="1:1" x14ac:dyDescent="0.25">
      <c r="A356" t="s">
        <v>11010</v>
      </c>
    </row>
    <row r="357" spans="1:1" x14ac:dyDescent="0.25">
      <c r="A357" t="s">
        <v>8710</v>
      </c>
    </row>
    <row r="358" spans="1:1" x14ac:dyDescent="0.25">
      <c r="A358" t="s">
        <v>11011</v>
      </c>
    </row>
    <row r="359" spans="1:1" x14ac:dyDescent="0.25">
      <c r="A359" t="s">
        <v>11012</v>
      </c>
    </row>
    <row r="360" spans="1:1" x14ac:dyDescent="0.25">
      <c r="A360" t="s">
        <v>11013</v>
      </c>
    </row>
    <row r="361" spans="1:1" x14ac:dyDescent="0.25">
      <c r="A361" t="s">
        <v>11014</v>
      </c>
    </row>
    <row r="362" spans="1:1" x14ac:dyDescent="0.25">
      <c r="A362" t="s">
        <v>11015</v>
      </c>
    </row>
    <row r="363" spans="1:1" x14ac:dyDescent="0.25">
      <c r="A363" t="s">
        <v>11016</v>
      </c>
    </row>
    <row r="364" spans="1:1" x14ac:dyDescent="0.25">
      <c r="A364" t="s">
        <v>11017</v>
      </c>
    </row>
    <row r="365" spans="1:1" x14ac:dyDescent="0.25">
      <c r="A365" t="s">
        <v>11019</v>
      </c>
    </row>
    <row r="366" spans="1:1" x14ac:dyDescent="0.25">
      <c r="A366" t="s">
        <v>9083</v>
      </c>
    </row>
    <row r="367" spans="1:1" x14ac:dyDescent="0.25">
      <c r="A367" t="s">
        <v>11020</v>
      </c>
    </row>
    <row r="368" spans="1:1" x14ac:dyDescent="0.25">
      <c r="A368" t="s">
        <v>7259</v>
      </c>
    </row>
    <row r="369" spans="1:1" x14ac:dyDescent="0.25">
      <c r="A369" t="s">
        <v>11022</v>
      </c>
    </row>
    <row r="370" spans="1:1" x14ac:dyDescent="0.25">
      <c r="A370" t="s">
        <v>11023</v>
      </c>
    </row>
    <row r="371" spans="1:1" x14ac:dyDescent="0.25">
      <c r="A371" t="s">
        <v>11024</v>
      </c>
    </row>
    <row r="372" spans="1:1" x14ac:dyDescent="0.25">
      <c r="A372" t="s">
        <v>11025</v>
      </c>
    </row>
    <row r="373" spans="1:1" x14ac:dyDescent="0.25">
      <c r="A373" t="s">
        <v>11026</v>
      </c>
    </row>
    <row r="374" spans="1:1" x14ac:dyDescent="0.25">
      <c r="A374" t="s">
        <v>11027</v>
      </c>
    </row>
    <row r="375" spans="1:1" x14ac:dyDescent="0.25">
      <c r="A375" t="s">
        <v>11028</v>
      </c>
    </row>
    <row r="376" spans="1:1" x14ac:dyDescent="0.25">
      <c r="A376" t="s">
        <v>11029</v>
      </c>
    </row>
    <row r="377" spans="1:1" x14ac:dyDescent="0.25">
      <c r="A377" t="s">
        <v>11031</v>
      </c>
    </row>
    <row r="378" spans="1:1" x14ac:dyDescent="0.25">
      <c r="A378" t="s">
        <v>11032</v>
      </c>
    </row>
    <row r="379" spans="1:1" x14ac:dyDescent="0.25">
      <c r="A379" t="s">
        <v>11033</v>
      </c>
    </row>
    <row r="380" spans="1:1" x14ac:dyDescent="0.25">
      <c r="A380" t="s">
        <v>7273</v>
      </c>
    </row>
    <row r="381" spans="1:1" x14ac:dyDescent="0.25">
      <c r="A381" t="s">
        <v>11034</v>
      </c>
    </row>
    <row r="382" spans="1:1" x14ac:dyDescent="0.25">
      <c r="A382" t="s">
        <v>11035</v>
      </c>
    </row>
    <row r="383" spans="1:1" x14ac:dyDescent="0.25">
      <c r="A383" t="s">
        <v>11037</v>
      </c>
    </row>
    <row r="384" spans="1:1" x14ac:dyDescent="0.25">
      <c r="A384" t="s">
        <v>11038</v>
      </c>
    </row>
    <row r="385" spans="1:1" x14ac:dyDescent="0.25">
      <c r="A385" t="s">
        <v>11039</v>
      </c>
    </row>
    <row r="386" spans="1:1" x14ac:dyDescent="0.25">
      <c r="A386" t="s">
        <v>11040</v>
      </c>
    </row>
    <row r="387" spans="1:1" x14ac:dyDescent="0.25">
      <c r="A387" t="s">
        <v>11041</v>
      </c>
    </row>
    <row r="388" spans="1:1" x14ac:dyDescent="0.25">
      <c r="A388" t="s">
        <v>11042</v>
      </c>
    </row>
    <row r="389" spans="1:1" x14ac:dyDescent="0.25">
      <c r="A389" t="s">
        <v>11045</v>
      </c>
    </row>
    <row r="390" spans="1:1" x14ac:dyDescent="0.25">
      <c r="A390" t="s">
        <v>11046</v>
      </c>
    </row>
    <row r="391" spans="1:1" x14ac:dyDescent="0.25">
      <c r="A391" t="s">
        <v>11047</v>
      </c>
    </row>
    <row r="392" spans="1:1" x14ac:dyDescent="0.25">
      <c r="A392" t="s">
        <v>11048</v>
      </c>
    </row>
    <row r="393" spans="1:1" x14ac:dyDescent="0.25">
      <c r="A393" t="s">
        <v>11049</v>
      </c>
    </row>
    <row r="394" spans="1:1" x14ac:dyDescent="0.25">
      <c r="A394" t="s">
        <v>11050</v>
      </c>
    </row>
    <row r="395" spans="1:1" x14ac:dyDescent="0.25">
      <c r="A395" t="s">
        <v>11051</v>
      </c>
    </row>
    <row r="396" spans="1:1" x14ac:dyDescent="0.25">
      <c r="A396" t="s">
        <v>11052</v>
      </c>
    </row>
    <row r="397" spans="1:1" x14ac:dyDescent="0.25">
      <c r="A397" t="s">
        <v>11053</v>
      </c>
    </row>
    <row r="398" spans="1:1" x14ac:dyDescent="0.25">
      <c r="A398" t="s">
        <v>9606</v>
      </c>
    </row>
    <row r="399" spans="1:1" x14ac:dyDescent="0.25">
      <c r="A399" t="s">
        <v>11056</v>
      </c>
    </row>
    <row r="400" spans="1:1" x14ac:dyDescent="0.25">
      <c r="A400" t="s">
        <v>11057</v>
      </c>
    </row>
    <row r="401" spans="1:1" x14ac:dyDescent="0.25">
      <c r="A401" t="s">
        <v>11058</v>
      </c>
    </row>
    <row r="402" spans="1:1" x14ac:dyDescent="0.25">
      <c r="A402" t="s">
        <v>11059</v>
      </c>
    </row>
    <row r="403" spans="1:1" x14ac:dyDescent="0.25">
      <c r="A403" t="s">
        <v>11061</v>
      </c>
    </row>
    <row r="404" spans="1:1" x14ac:dyDescent="0.25">
      <c r="A404" t="s">
        <v>11062</v>
      </c>
    </row>
    <row r="405" spans="1:1" x14ac:dyDescent="0.25">
      <c r="A405" t="s">
        <v>11063</v>
      </c>
    </row>
    <row r="406" spans="1:1" x14ac:dyDescent="0.25">
      <c r="A406" t="s">
        <v>11065</v>
      </c>
    </row>
    <row r="407" spans="1:1" x14ac:dyDescent="0.25">
      <c r="A407" t="s">
        <v>11066</v>
      </c>
    </row>
    <row r="408" spans="1:1" x14ac:dyDescent="0.25">
      <c r="A408" t="s">
        <v>11067</v>
      </c>
    </row>
    <row r="409" spans="1:1" x14ac:dyDescent="0.25">
      <c r="A409" t="s">
        <v>11068</v>
      </c>
    </row>
    <row r="410" spans="1:1" x14ac:dyDescent="0.25">
      <c r="A410" t="s">
        <v>11069</v>
      </c>
    </row>
    <row r="411" spans="1:1" x14ac:dyDescent="0.25">
      <c r="A411" t="s">
        <v>11070</v>
      </c>
    </row>
    <row r="412" spans="1:1" x14ac:dyDescent="0.25">
      <c r="A412" t="s">
        <v>11071</v>
      </c>
    </row>
    <row r="413" spans="1:1" x14ac:dyDescent="0.25">
      <c r="A413" t="s">
        <v>8714</v>
      </c>
    </row>
    <row r="414" spans="1:1" x14ac:dyDescent="0.25">
      <c r="A414" t="s">
        <v>9116</v>
      </c>
    </row>
    <row r="415" spans="1:1" x14ac:dyDescent="0.25">
      <c r="A415" t="s">
        <v>9608</v>
      </c>
    </row>
    <row r="416" spans="1:1" x14ac:dyDescent="0.25">
      <c r="A416" t="s">
        <v>8293</v>
      </c>
    </row>
    <row r="417" spans="1:1" x14ac:dyDescent="0.25">
      <c r="A417" t="s">
        <v>11073</v>
      </c>
    </row>
    <row r="418" spans="1:1" x14ac:dyDescent="0.25">
      <c r="A418" t="s">
        <v>11074</v>
      </c>
    </row>
    <row r="419" spans="1:1" x14ac:dyDescent="0.25">
      <c r="A419" t="s">
        <v>9610</v>
      </c>
    </row>
    <row r="420" spans="1:1" x14ac:dyDescent="0.25">
      <c r="A420" t="s">
        <v>9613</v>
      </c>
    </row>
    <row r="421" spans="1:1" x14ac:dyDescent="0.25">
      <c r="A421" t="s">
        <v>11077</v>
      </c>
    </row>
    <row r="422" spans="1:1" x14ac:dyDescent="0.25">
      <c r="A422" t="s">
        <v>11078</v>
      </c>
    </row>
    <row r="423" spans="1:1" x14ac:dyDescent="0.25">
      <c r="A423" t="s">
        <v>9617</v>
      </c>
    </row>
    <row r="424" spans="1:1" x14ac:dyDescent="0.25">
      <c r="A424" t="s">
        <v>11079</v>
      </c>
    </row>
    <row r="425" spans="1:1" x14ac:dyDescent="0.25">
      <c r="A425" t="s">
        <v>11080</v>
      </c>
    </row>
    <row r="426" spans="1:1" x14ac:dyDescent="0.25">
      <c r="A426" t="s">
        <v>11083</v>
      </c>
    </row>
    <row r="427" spans="1:1" x14ac:dyDescent="0.25">
      <c r="A427" t="s">
        <v>11084</v>
      </c>
    </row>
    <row r="428" spans="1:1" x14ac:dyDescent="0.25">
      <c r="A428" t="s">
        <v>11086</v>
      </c>
    </row>
    <row r="429" spans="1:1" x14ac:dyDescent="0.25">
      <c r="A429" t="s">
        <v>11087</v>
      </c>
    </row>
    <row r="430" spans="1:1" x14ac:dyDescent="0.25">
      <c r="A430" t="s">
        <v>8298</v>
      </c>
    </row>
    <row r="431" spans="1:1" x14ac:dyDescent="0.25">
      <c r="A431" t="s">
        <v>11089</v>
      </c>
    </row>
    <row r="432" spans="1:1" x14ac:dyDescent="0.25">
      <c r="A432" t="s">
        <v>11091</v>
      </c>
    </row>
    <row r="433" spans="1:1" x14ac:dyDescent="0.25">
      <c r="A433" t="s">
        <v>11092</v>
      </c>
    </row>
    <row r="434" spans="1:1" x14ac:dyDescent="0.25">
      <c r="A434" t="s">
        <v>11093</v>
      </c>
    </row>
    <row r="435" spans="1:1" x14ac:dyDescent="0.25">
      <c r="A435" t="s">
        <v>11094</v>
      </c>
    </row>
    <row r="436" spans="1:1" x14ac:dyDescent="0.25">
      <c r="A436" t="s">
        <v>11095</v>
      </c>
    </row>
    <row r="437" spans="1:1" x14ac:dyDescent="0.25">
      <c r="A437" t="s">
        <v>11096</v>
      </c>
    </row>
    <row r="438" spans="1:1" x14ac:dyDescent="0.25">
      <c r="A438" t="s">
        <v>11097</v>
      </c>
    </row>
    <row r="439" spans="1:1" x14ac:dyDescent="0.25">
      <c r="A439" t="s">
        <v>11098</v>
      </c>
    </row>
    <row r="440" spans="1:1" x14ac:dyDescent="0.25">
      <c r="A440" t="s">
        <v>11100</v>
      </c>
    </row>
    <row r="441" spans="1:1" x14ac:dyDescent="0.25">
      <c r="A441" t="s">
        <v>11103</v>
      </c>
    </row>
    <row r="442" spans="1:1" x14ac:dyDescent="0.25">
      <c r="A442" t="s">
        <v>11106</v>
      </c>
    </row>
    <row r="443" spans="1:1" x14ac:dyDescent="0.25">
      <c r="A443" t="s">
        <v>11108</v>
      </c>
    </row>
    <row r="444" spans="1:1" x14ac:dyDescent="0.25">
      <c r="A444" t="s">
        <v>11109</v>
      </c>
    </row>
    <row r="445" spans="1:1" x14ac:dyDescent="0.25">
      <c r="A445" t="s">
        <v>11111</v>
      </c>
    </row>
    <row r="446" spans="1:1" x14ac:dyDescent="0.25">
      <c r="A446" t="s">
        <v>11112</v>
      </c>
    </row>
    <row r="447" spans="1:1" x14ac:dyDescent="0.25">
      <c r="A447" t="s">
        <v>11115</v>
      </c>
    </row>
    <row r="448" spans="1:1" x14ac:dyDescent="0.25">
      <c r="A448" t="s">
        <v>11116</v>
      </c>
    </row>
    <row r="449" spans="1:1" x14ac:dyDescent="0.25">
      <c r="A449" t="s">
        <v>11117</v>
      </c>
    </row>
    <row r="450" spans="1:1" x14ac:dyDescent="0.25">
      <c r="A450" t="s">
        <v>8718</v>
      </c>
    </row>
    <row r="451" spans="1:1" x14ac:dyDescent="0.25">
      <c r="A451" t="s">
        <v>9622</v>
      </c>
    </row>
    <row r="452" spans="1:1" x14ac:dyDescent="0.25">
      <c r="A452" t="s">
        <v>11120</v>
      </c>
    </row>
    <row r="453" spans="1:1" x14ac:dyDescent="0.25">
      <c r="A453" t="s">
        <v>11122</v>
      </c>
    </row>
    <row r="454" spans="1:1" x14ac:dyDescent="0.25">
      <c r="A454" t="s">
        <v>11125</v>
      </c>
    </row>
    <row r="455" spans="1:1" x14ac:dyDescent="0.25">
      <c r="A455" t="s">
        <v>11126</v>
      </c>
    </row>
    <row r="456" spans="1:1" x14ac:dyDescent="0.25">
      <c r="A456" t="s">
        <v>11127</v>
      </c>
    </row>
    <row r="457" spans="1:1" x14ac:dyDescent="0.25">
      <c r="A457" t="s">
        <v>11128</v>
      </c>
    </row>
    <row r="458" spans="1:1" x14ac:dyDescent="0.25">
      <c r="A458" t="s">
        <v>11129</v>
      </c>
    </row>
    <row r="459" spans="1:1" x14ac:dyDescent="0.25">
      <c r="A459" t="s">
        <v>11130</v>
      </c>
    </row>
    <row r="460" spans="1:1" x14ac:dyDescent="0.25">
      <c r="A460" t="s">
        <v>11132</v>
      </c>
    </row>
    <row r="461" spans="1:1" x14ac:dyDescent="0.25">
      <c r="A461" t="s">
        <v>11133</v>
      </c>
    </row>
    <row r="462" spans="1:1" x14ac:dyDescent="0.25">
      <c r="A462" t="s">
        <v>11134</v>
      </c>
    </row>
    <row r="463" spans="1:1" x14ac:dyDescent="0.25">
      <c r="A463" t="s">
        <v>11137</v>
      </c>
    </row>
    <row r="464" spans="1:1" x14ac:dyDescent="0.25">
      <c r="A464" t="s">
        <v>8720</v>
      </c>
    </row>
    <row r="465" spans="1:1" x14ac:dyDescent="0.25">
      <c r="A465" t="s">
        <v>11139</v>
      </c>
    </row>
    <row r="466" spans="1:1" x14ac:dyDescent="0.25">
      <c r="A466" t="s">
        <v>11140</v>
      </c>
    </row>
    <row r="467" spans="1:1" x14ac:dyDescent="0.25">
      <c r="A467" t="s">
        <v>11141</v>
      </c>
    </row>
    <row r="468" spans="1:1" x14ac:dyDescent="0.25">
      <c r="A468" t="s">
        <v>11142</v>
      </c>
    </row>
    <row r="469" spans="1:1" x14ac:dyDescent="0.25">
      <c r="A469" t="s">
        <v>11143</v>
      </c>
    </row>
    <row r="470" spans="1:1" x14ac:dyDescent="0.25">
      <c r="A470" t="s">
        <v>8721</v>
      </c>
    </row>
    <row r="471" spans="1:1" x14ac:dyDescent="0.25">
      <c r="A471" t="s">
        <v>11144</v>
      </c>
    </row>
    <row r="472" spans="1:1" x14ac:dyDescent="0.25">
      <c r="A472" t="s">
        <v>11145</v>
      </c>
    </row>
    <row r="473" spans="1:1" x14ac:dyDescent="0.25">
      <c r="A473" t="s">
        <v>11146</v>
      </c>
    </row>
    <row r="474" spans="1:1" x14ac:dyDescent="0.25">
      <c r="A474" t="s">
        <v>11147</v>
      </c>
    </row>
    <row r="475" spans="1:1" x14ac:dyDescent="0.25">
      <c r="A475" t="s">
        <v>11148</v>
      </c>
    </row>
    <row r="476" spans="1:1" x14ac:dyDescent="0.25">
      <c r="A476" t="s">
        <v>11149</v>
      </c>
    </row>
    <row r="477" spans="1:1" x14ac:dyDescent="0.25">
      <c r="A477" t="s">
        <v>11150</v>
      </c>
    </row>
    <row r="478" spans="1:1" x14ac:dyDescent="0.25">
      <c r="A478" t="s">
        <v>11151</v>
      </c>
    </row>
    <row r="479" spans="1:1" x14ac:dyDescent="0.25">
      <c r="A479" t="s">
        <v>11152</v>
      </c>
    </row>
    <row r="480" spans="1:1" x14ac:dyDescent="0.25">
      <c r="A480" t="s">
        <v>11153</v>
      </c>
    </row>
    <row r="481" spans="1:1" x14ac:dyDescent="0.25">
      <c r="A481" t="s">
        <v>11154</v>
      </c>
    </row>
    <row r="482" spans="1:1" x14ac:dyDescent="0.25">
      <c r="A482" t="s">
        <v>11155</v>
      </c>
    </row>
    <row r="483" spans="1:1" x14ac:dyDescent="0.25">
      <c r="A483" t="s">
        <v>11156</v>
      </c>
    </row>
    <row r="484" spans="1:1" x14ac:dyDescent="0.25">
      <c r="A484" t="s">
        <v>11157</v>
      </c>
    </row>
    <row r="485" spans="1:1" x14ac:dyDescent="0.25">
      <c r="A485" t="s">
        <v>8722</v>
      </c>
    </row>
    <row r="486" spans="1:1" x14ac:dyDescent="0.25">
      <c r="A486" t="s">
        <v>11158</v>
      </c>
    </row>
    <row r="487" spans="1:1" x14ac:dyDescent="0.25">
      <c r="A487" t="s">
        <v>11159</v>
      </c>
    </row>
    <row r="488" spans="1:1" x14ac:dyDescent="0.25">
      <c r="A488" t="s">
        <v>11160</v>
      </c>
    </row>
    <row r="489" spans="1:1" x14ac:dyDescent="0.25">
      <c r="A489" t="s">
        <v>11161</v>
      </c>
    </row>
    <row r="490" spans="1:1" x14ac:dyDescent="0.25">
      <c r="A490" t="s">
        <v>11163</v>
      </c>
    </row>
    <row r="491" spans="1:1" x14ac:dyDescent="0.25">
      <c r="A491" t="s">
        <v>11164</v>
      </c>
    </row>
    <row r="492" spans="1:1" x14ac:dyDescent="0.25">
      <c r="A492" t="s">
        <v>11165</v>
      </c>
    </row>
    <row r="493" spans="1:1" x14ac:dyDescent="0.25">
      <c r="A493" t="s">
        <v>11166</v>
      </c>
    </row>
    <row r="494" spans="1:1" x14ac:dyDescent="0.25">
      <c r="A494" t="s">
        <v>11167</v>
      </c>
    </row>
    <row r="495" spans="1:1" x14ac:dyDescent="0.25">
      <c r="A495" t="s">
        <v>11168</v>
      </c>
    </row>
    <row r="496" spans="1:1" x14ac:dyDescent="0.25">
      <c r="A496" t="s">
        <v>11169</v>
      </c>
    </row>
    <row r="497" spans="1:1" x14ac:dyDescent="0.25">
      <c r="A497" t="s">
        <v>11171</v>
      </c>
    </row>
    <row r="498" spans="1:1" x14ac:dyDescent="0.25">
      <c r="A498" t="s">
        <v>11173</v>
      </c>
    </row>
    <row r="499" spans="1:1" x14ac:dyDescent="0.25">
      <c r="A499" t="s">
        <v>11174</v>
      </c>
    </row>
    <row r="500" spans="1:1" x14ac:dyDescent="0.25">
      <c r="A500" t="s">
        <v>11175</v>
      </c>
    </row>
    <row r="501" spans="1:1" x14ac:dyDescent="0.25">
      <c r="A501" t="s">
        <v>11176</v>
      </c>
    </row>
    <row r="502" spans="1:1" x14ac:dyDescent="0.25">
      <c r="A502" t="s">
        <v>11177</v>
      </c>
    </row>
    <row r="503" spans="1:1" x14ac:dyDescent="0.25">
      <c r="A503" t="s">
        <v>9193</v>
      </c>
    </row>
    <row r="504" spans="1:1" x14ac:dyDescent="0.25">
      <c r="A504" t="s">
        <v>11178</v>
      </c>
    </row>
    <row r="505" spans="1:1" x14ac:dyDescent="0.25">
      <c r="A505" t="s">
        <v>11179</v>
      </c>
    </row>
    <row r="506" spans="1:1" x14ac:dyDescent="0.25">
      <c r="A506" t="s">
        <v>11180</v>
      </c>
    </row>
    <row r="507" spans="1:1" x14ac:dyDescent="0.25">
      <c r="A507" t="s">
        <v>11181</v>
      </c>
    </row>
    <row r="508" spans="1:1" x14ac:dyDescent="0.25">
      <c r="A508" t="s">
        <v>11182</v>
      </c>
    </row>
    <row r="509" spans="1:1" x14ac:dyDescent="0.25">
      <c r="A509" t="s">
        <v>11183</v>
      </c>
    </row>
    <row r="510" spans="1:1" x14ac:dyDescent="0.25">
      <c r="A510" t="s">
        <v>11184</v>
      </c>
    </row>
    <row r="511" spans="1:1" x14ac:dyDescent="0.25">
      <c r="A511" t="s">
        <v>11185</v>
      </c>
    </row>
    <row r="512" spans="1:1" x14ac:dyDescent="0.25">
      <c r="A512" t="s">
        <v>11187</v>
      </c>
    </row>
    <row r="513" spans="1:1" x14ac:dyDescent="0.25">
      <c r="A513" t="s">
        <v>11188</v>
      </c>
    </row>
    <row r="514" spans="1:1" x14ac:dyDescent="0.25">
      <c r="A514" t="s">
        <v>8724</v>
      </c>
    </row>
    <row r="515" spans="1:1" x14ac:dyDescent="0.25">
      <c r="A515" t="s">
        <v>11190</v>
      </c>
    </row>
    <row r="516" spans="1:1" x14ac:dyDescent="0.25">
      <c r="A516" t="s">
        <v>11191</v>
      </c>
    </row>
    <row r="517" spans="1:1" x14ac:dyDescent="0.25">
      <c r="A517" t="s">
        <v>11194</v>
      </c>
    </row>
    <row r="518" spans="1:1" x14ac:dyDescent="0.25">
      <c r="A518" t="s">
        <v>11195</v>
      </c>
    </row>
    <row r="519" spans="1:1" x14ac:dyDescent="0.25">
      <c r="A519" t="s">
        <v>11196</v>
      </c>
    </row>
    <row r="520" spans="1:1" x14ac:dyDescent="0.25">
      <c r="A520" t="s">
        <v>11197</v>
      </c>
    </row>
    <row r="521" spans="1:1" x14ac:dyDescent="0.25">
      <c r="A521" t="s">
        <v>11198</v>
      </c>
    </row>
    <row r="522" spans="1:1" x14ac:dyDescent="0.25">
      <c r="A522" t="s">
        <v>11199</v>
      </c>
    </row>
    <row r="523" spans="1:1" x14ac:dyDescent="0.25">
      <c r="A523" t="s">
        <v>8725</v>
      </c>
    </row>
    <row r="524" spans="1:1" x14ac:dyDescent="0.25">
      <c r="A524" t="s">
        <v>11200</v>
      </c>
    </row>
    <row r="525" spans="1:1" x14ac:dyDescent="0.25">
      <c r="A525" t="s">
        <v>11201</v>
      </c>
    </row>
    <row r="526" spans="1:1" x14ac:dyDescent="0.25">
      <c r="A526" t="s">
        <v>7414</v>
      </c>
    </row>
    <row r="527" spans="1:1" x14ac:dyDescent="0.25">
      <c r="A527" t="s">
        <v>11202</v>
      </c>
    </row>
    <row r="528" spans="1:1" x14ac:dyDescent="0.25">
      <c r="A528" t="s">
        <v>11203</v>
      </c>
    </row>
    <row r="529" spans="1:1" x14ac:dyDescent="0.25">
      <c r="A529" t="s">
        <v>11204</v>
      </c>
    </row>
    <row r="530" spans="1:1" x14ac:dyDescent="0.25">
      <c r="A530" t="s">
        <v>11206</v>
      </c>
    </row>
    <row r="531" spans="1:1" x14ac:dyDescent="0.25">
      <c r="A531" t="s">
        <v>11207</v>
      </c>
    </row>
    <row r="532" spans="1:1" x14ac:dyDescent="0.25">
      <c r="A532" t="s">
        <v>11210</v>
      </c>
    </row>
    <row r="533" spans="1:1" x14ac:dyDescent="0.25">
      <c r="A533" t="s">
        <v>11211</v>
      </c>
    </row>
    <row r="534" spans="1:1" x14ac:dyDescent="0.25">
      <c r="A534" t="s">
        <v>8727</v>
      </c>
    </row>
    <row r="535" spans="1:1" x14ac:dyDescent="0.25">
      <c r="A535" t="s">
        <v>9208</v>
      </c>
    </row>
    <row r="536" spans="1:1" x14ac:dyDescent="0.25">
      <c r="A536" t="s">
        <v>11214</v>
      </c>
    </row>
    <row r="537" spans="1:1" x14ac:dyDescent="0.25">
      <c r="A537" t="s">
        <v>11215</v>
      </c>
    </row>
    <row r="538" spans="1:1" x14ac:dyDescent="0.25">
      <c r="A538" t="s">
        <v>11216</v>
      </c>
    </row>
    <row r="539" spans="1:1" x14ac:dyDescent="0.25">
      <c r="A539" t="s">
        <v>7446</v>
      </c>
    </row>
    <row r="540" spans="1:1" x14ac:dyDescent="0.25">
      <c r="A540" t="s">
        <v>11218</v>
      </c>
    </row>
    <row r="541" spans="1:1" x14ac:dyDescent="0.25">
      <c r="A541" t="s">
        <v>11219</v>
      </c>
    </row>
    <row r="542" spans="1:1" x14ac:dyDescent="0.25">
      <c r="A542" t="s">
        <v>11220</v>
      </c>
    </row>
    <row r="543" spans="1:1" x14ac:dyDescent="0.25">
      <c r="A543" t="s">
        <v>11223</v>
      </c>
    </row>
    <row r="544" spans="1:1" x14ac:dyDescent="0.25">
      <c r="A544" t="s">
        <v>11224</v>
      </c>
    </row>
    <row r="545" spans="1:1" x14ac:dyDescent="0.25">
      <c r="A545" t="s">
        <v>11227</v>
      </c>
    </row>
    <row r="546" spans="1:1" x14ac:dyDescent="0.25">
      <c r="A546" t="s">
        <v>11228</v>
      </c>
    </row>
    <row r="547" spans="1:1" x14ac:dyDescent="0.25">
      <c r="A547" t="s">
        <v>11229</v>
      </c>
    </row>
    <row r="548" spans="1:1" x14ac:dyDescent="0.25">
      <c r="A548" t="s">
        <v>11231</v>
      </c>
    </row>
    <row r="549" spans="1:1" x14ac:dyDescent="0.25">
      <c r="A549" t="s">
        <v>9652</v>
      </c>
    </row>
    <row r="550" spans="1:1" x14ac:dyDescent="0.25">
      <c r="A550" t="s">
        <v>8788</v>
      </c>
    </row>
    <row r="551" spans="1:1" x14ac:dyDescent="0.25">
      <c r="A551" t="s">
        <v>11232</v>
      </c>
    </row>
    <row r="552" spans="1:1" x14ac:dyDescent="0.25">
      <c r="A552" t="s">
        <v>11235</v>
      </c>
    </row>
    <row r="553" spans="1:1" x14ac:dyDescent="0.25">
      <c r="A553" t="s">
        <v>11236</v>
      </c>
    </row>
    <row r="554" spans="1:1" x14ac:dyDescent="0.25">
      <c r="A554" t="s">
        <v>11237</v>
      </c>
    </row>
    <row r="555" spans="1:1" x14ac:dyDescent="0.25">
      <c r="A555" t="s">
        <v>11238</v>
      </c>
    </row>
    <row r="556" spans="1:1" x14ac:dyDescent="0.25">
      <c r="A556" t="s">
        <v>11239</v>
      </c>
    </row>
    <row r="557" spans="1:1" x14ac:dyDescent="0.25">
      <c r="A557" t="s">
        <v>11240</v>
      </c>
    </row>
    <row r="558" spans="1:1" x14ac:dyDescent="0.25">
      <c r="A558" t="s">
        <v>11241</v>
      </c>
    </row>
    <row r="559" spans="1:1" x14ac:dyDescent="0.25">
      <c r="A559" t="s">
        <v>8731</v>
      </c>
    </row>
    <row r="560" spans="1:1" x14ac:dyDescent="0.25">
      <c r="A560" t="s">
        <v>11242</v>
      </c>
    </row>
    <row r="561" spans="1:1" x14ac:dyDescent="0.25">
      <c r="A561" t="s">
        <v>11243</v>
      </c>
    </row>
    <row r="562" spans="1:1" x14ac:dyDescent="0.25">
      <c r="A562" t="s">
        <v>11244</v>
      </c>
    </row>
    <row r="563" spans="1:1" x14ac:dyDescent="0.25">
      <c r="A563" t="s">
        <v>11245</v>
      </c>
    </row>
    <row r="564" spans="1:1" x14ac:dyDescent="0.25">
      <c r="A564" t="s">
        <v>11246</v>
      </c>
    </row>
    <row r="565" spans="1:1" x14ac:dyDescent="0.25">
      <c r="A565" t="s">
        <v>11247</v>
      </c>
    </row>
    <row r="566" spans="1:1" x14ac:dyDescent="0.25">
      <c r="A566" t="s">
        <v>11248</v>
      </c>
    </row>
    <row r="567" spans="1:1" x14ac:dyDescent="0.25">
      <c r="A567" t="s">
        <v>11249</v>
      </c>
    </row>
    <row r="568" spans="1:1" x14ac:dyDescent="0.25">
      <c r="A568" t="s">
        <v>11250</v>
      </c>
    </row>
    <row r="569" spans="1:1" x14ac:dyDescent="0.25">
      <c r="A569" t="s">
        <v>11251</v>
      </c>
    </row>
    <row r="570" spans="1:1" x14ac:dyDescent="0.25">
      <c r="A570" t="s">
        <v>7470</v>
      </c>
    </row>
    <row r="571" spans="1:1" x14ac:dyDescent="0.25">
      <c r="A571" t="s">
        <v>11252</v>
      </c>
    </row>
    <row r="572" spans="1:1" x14ac:dyDescent="0.25">
      <c r="A572" t="s">
        <v>11253</v>
      </c>
    </row>
    <row r="573" spans="1:1" x14ac:dyDescent="0.25">
      <c r="A573" t="s">
        <v>11254</v>
      </c>
    </row>
    <row r="574" spans="1:1" x14ac:dyDescent="0.25">
      <c r="A574" t="s">
        <v>11255</v>
      </c>
    </row>
    <row r="575" spans="1:1" x14ac:dyDescent="0.25">
      <c r="A575" t="s">
        <v>11256</v>
      </c>
    </row>
    <row r="576" spans="1:1" x14ac:dyDescent="0.25">
      <c r="A576" t="s">
        <v>11257</v>
      </c>
    </row>
    <row r="577" spans="1:1" x14ac:dyDescent="0.25">
      <c r="A577" t="s">
        <v>9217</v>
      </c>
    </row>
    <row r="578" spans="1:1" x14ac:dyDescent="0.25">
      <c r="A578" t="s">
        <v>11258</v>
      </c>
    </row>
    <row r="579" spans="1:1" x14ac:dyDescent="0.25">
      <c r="A579" t="s">
        <v>11259</v>
      </c>
    </row>
    <row r="580" spans="1:1" x14ac:dyDescent="0.25">
      <c r="A580" t="s">
        <v>11260</v>
      </c>
    </row>
    <row r="581" spans="1:1" x14ac:dyDescent="0.25">
      <c r="A581" t="s">
        <v>11261</v>
      </c>
    </row>
    <row r="582" spans="1:1" x14ac:dyDescent="0.25">
      <c r="A582" t="s">
        <v>11262</v>
      </c>
    </row>
    <row r="583" spans="1:1" x14ac:dyDescent="0.25">
      <c r="A583" t="s">
        <v>11263</v>
      </c>
    </row>
    <row r="584" spans="1:1" x14ac:dyDescent="0.25">
      <c r="A584" t="s">
        <v>11264</v>
      </c>
    </row>
    <row r="585" spans="1:1" x14ac:dyDescent="0.25">
      <c r="A585" t="s">
        <v>11265</v>
      </c>
    </row>
    <row r="586" spans="1:1" x14ac:dyDescent="0.25">
      <c r="A586" t="s">
        <v>11266</v>
      </c>
    </row>
    <row r="587" spans="1:1" x14ac:dyDescent="0.25">
      <c r="A587" t="s">
        <v>8357</v>
      </c>
    </row>
    <row r="588" spans="1:1" x14ac:dyDescent="0.25">
      <c r="A588" t="s">
        <v>11267</v>
      </c>
    </row>
    <row r="589" spans="1:1" x14ac:dyDescent="0.25">
      <c r="A589" t="s">
        <v>11270</v>
      </c>
    </row>
    <row r="590" spans="1:1" x14ac:dyDescent="0.25">
      <c r="A590" t="s">
        <v>11271</v>
      </c>
    </row>
    <row r="591" spans="1:1" x14ac:dyDescent="0.25">
      <c r="A591" t="s">
        <v>11272</v>
      </c>
    </row>
    <row r="592" spans="1:1" x14ac:dyDescent="0.25">
      <c r="A592" t="s">
        <v>11273</v>
      </c>
    </row>
    <row r="593" spans="1:1" x14ac:dyDescent="0.25">
      <c r="A593" t="s">
        <v>11274</v>
      </c>
    </row>
    <row r="594" spans="1:1" x14ac:dyDescent="0.25">
      <c r="A594" t="s">
        <v>11275</v>
      </c>
    </row>
    <row r="595" spans="1:1" x14ac:dyDescent="0.25">
      <c r="A595" t="s">
        <v>11278</v>
      </c>
    </row>
    <row r="596" spans="1:1" x14ac:dyDescent="0.25">
      <c r="A596" t="s">
        <v>8790</v>
      </c>
    </row>
    <row r="597" spans="1:1" x14ac:dyDescent="0.25">
      <c r="A597" t="s">
        <v>11279</v>
      </c>
    </row>
    <row r="598" spans="1:1" x14ac:dyDescent="0.25">
      <c r="A598" t="s">
        <v>11280</v>
      </c>
    </row>
    <row r="599" spans="1:1" x14ac:dyDescent="0.25">
      <c r="A599" t="s">
        <v>11281</v>
      </c>
    </row>
    <row r="600" spans="1:1" x14ac:dyDescent="0.25">
      <c r="A600" t="s">
        <v>11282</v>
      </c>
    </row>
    <row r="601" spans="1:1" x14ac:dyDescent="0.25">
      <c r="A601" t="s">
        <v>11285</v>
      </c>
    </row>
    <row r="602" spans="1:1" x14ac:dyDescent="0.25">
      <c r="A602" t="s">
        <v>11286</v>
      </c>
    </row>
    <row r="603" spans="1:1" x14ac:dyDescent="0.25">
      <c r="A603" t="s">
        <v>11288</v>
      </c>
    </row>
    <row r="604" spans="1:1" x14ac:dyDescent="0.25">
      <c r="A604" t="s">
        <v>11289</v>
      </c>
    </row>
    <row r="605" spans="1:1" x14ac:dyDescent="0.25">
      <c r="A605" t="s">
        <v>11290</v>
      </c>
    </row>
    <row r="606" spans="1:1" x14ac:dyDescent="0.25">
      <c r="A606" t="s">
        <v>11291</v>
      </c>
    </row>
    <row r="607" spans="1:1" x14ac:dyDescent="0.25">
      <c r="A607" t="s">
        <v>11294</v>
      </c>
    </row>
    <row r="608" spans="1:1" x14ac:dyDescent="0.25">
      <c r="A608" t="s">
        <v>11297</v>
      </c>
    </row>
    <row r="609" spans="1:1" x14ac:dyDescent="0.25">
      <c r="A609" t="s">
        <v>11298</v>
      </c>
    </row>
    <row r="610" spans="1:1" x14ac:dyDescent="0.25">
      <c r="A610" t="s">
        <v>8733</v>
      </c>
    </row>
    <row r="611" spans="1:1" x14ac:dyDescent="0.25">
      <c r="A611" t="s">
        <v>11299</v>
      </c>
    </row>
    <row r="612" spans="1:1" x14ac:dyDescent="0.25">
      <c r="A612" t="s">
        <v>11300</v>
      </c>
    </row>
    <row r="613" spans="1:1" x14ac:dyDescent="0.25">
      <c r="A613" t="s">
        <v>11301</v>
      </c>
    </row>
    <row r="614" spans="1:1" x14ac:dyDescent="0.25">
      <c r="A614" t="s">
        <v>11302</v>
      </c>
    </row>
    <row r="615" spans="1:1" x14ac:dyDescent="0.25">
      <c r="A615" t="s">
        <v>11303</v>
      </c>
    </row>
    <row r="616" spans="1:1" x14ac:dyDescent="0.25">
      <c r="A616" t="s">
        <v>11304</v>
      </c>
    </row>
    <row r="617" spans="1:1" x14ac:dyDescent="0.25">
      <c r="A617" t="s">
        <v>11305</v>
      </c>
    </row>
    <row r="618" spans="1:1" x14ac:dyDescent="0.25">
      <c r="A618" t="s">
        <v>9662</v>
      </c>
    </row>
    <row r="619" spans="1:1" x14ac:dyDescent="0.25">
      <c r="A619" t="s">
        <v>11306</v>
      </c>
    </row>
    <row r="620" spans="1:1" x14ac:dyDescent="0.25">
      <c r="A620" t="s">
        <v>11307</v>
      </c>
    </row>
    <row r="621" spans="1:1" x14ac:dyDescent="0.25">
      <c r="A621" t="s">
        <v>11308</v>
      </c>
    </row>
    <row r="622" spans="1:1" x14ac:dyDescent="0.25">
      <c r="A622" t="s">
        <v>11309</v>
      </c>
    </row>
    <row r="623" spans="1:1" x14ac:dyDescent="0.25">
      <c r="A623" t="s">
        <v>11310</v>
      </c>
    </row>
    <row r="624" spans="1:1" x14ac:dyDescent="0.25">
      <c r="A624" t="s">
        <v>11311</v>
      </c>
    </row>
    <row r="625" spans="1:1" x14ac:dyDescent="0.25">
      <c r="A625" t="s">
        <v>11312</v>
      </c>
    </row>
    <row r="626" spans="1:1" x14ac:dyDescent="0.25">
      <c r="A626" t="s">
        <v>11313</v>
      </c>
    </row>
    <row r="627" spans="1:1" x14ac:dyDescent="0.25">
      <c r="A627" t="s">
        <v>11315</v>
      </c>
    </row>
    <row r="628" spans="1:1" x14ac:dyDescent="0.25">
      <c r="A628" t="s">
        <v>11316</v>
      </c>
    </row>
    <row r="629" spans="1:1" x14ac:dyDescent="0.25">
      <c r="A629" t="s">
        <v>11319</v>
      </c>
    </row>
    <row r="630" spans="1:1" x14ac:dyDescent="0.25">
      <c r="A630" t="s">
        <v>11320</v>
      </c>
    </row>
    <row r="631" spans="1:1" x14ac:dyDescent="0.25">
      <c r="A631" t="s">
        <v>11321</v>
      </c>
    </row>
    <row r="632" spans="1:1" x14ac:dyDescent="0.25">
      <c r="A632" t="s">
        <v>11322</v>
      </c>
    </row>
    <row r="633" spans="1:1" x14ac:dyDescent="0.25">
      <c r="A633" t="s">
        <v>7531</v>
      </c>
    </row>
    <row r="634" spans="1:1" x14ac:dyDescent="0.25">
      <c r="A634" t="s">
        <v>11323</v>
      </c>
    </row>
    <row r="635" spans="1:1" x14ac:dyDescent="0.25">
      <c r="A635" t="s">
        <v>11324</v>
      </c>
    </row>
    <row r="636" spans="1:1" x14ac:dyDescent="0.25">
      <c r="A636" t="s">
        <v>11325</v>
      </c>
    </row>
    <row r="637" spans="1:1" x14ac:dyDescent="0.25">
      <c r="A637" t="s">
        <v>11326</v>
      </c>
    </row>
    <row r="638" spans="1:1" x14ac:dyDescent="0.25">
      <c r="A638" t="s">
        <v>11327</v>
      </c>
    </row>
    <row r="639" spans="1:1" x14ac:dyDescent="0.25">
      <c r="A639" t="s">
        <v>11328</v>
      </c>
    </row>
    <row r="640" spans="1:1" x14ac:dyDescent="0.25">
      <c r="A640" t="s">
        <v>11329</v>
      </c>
    </row>
    <row r="641" spans="1:1" x14ac:dyDescent="0.25">
      <c r="A641" t="s">
        <v>11330</v>
      </c>
    </row>
    <row r="642" spans="1:1" x14ac:dyDescent="0.25">
      <c r="A642" t="s">
        <v>11331</v>
      </c>
    </row>
    <row r="643" spans="1:1" x14ac:dyDescent="0.25">
      <c r="A643" t="s">
        <v>11332</v>
      </c>
    </row>
    <row r="644" spans="1:1" x14ac:dyDescent="0.25">
      <c r="A644" t="s">
        <v>11333</v>
      </c>
    </row>
    <row r="645" spans="1:1" x14ac:dyDescent="0.25">
      <c r="A645" t="s">
        <v>11334</v>
      </c>
    </row>
    <row r="646" spans="1:1" x14ac:dyDescent="0.25">
      <c r="A646" t="s">
        <v>11336</v>
      </c>
    </row>
    <row r="647" spans="1:1" x14ac:dyDescent="0.25">
      <c r="A647" t="s">
        <v>11337</v>
      </c>
    </row>
    <row r="648" spans="1:1" x14ac:dyDescent="0.25">
      <c r="A648" t="s">
        <v>11338</v>
      </c>
    </row>
    <row r="649" spans="1:1" x14ac:dyDescent="0.25">
      <c r="A649" t="s">
        <v>11339</v>
      </c>
    </row>
    <row r="650" spans="1:1" x14ac:dyDescent="0.25">
      <c r="A650" t="s">
        <v>11340</v>
      </c>
    </row>
    <row r="651" spans="1:1" x14ac:dyDescent="0.25">
      <c r="A651" t="s">
        <v>11341</v>
      </c>
    </row>
    <row r="652" spans="1:1" x14ac:dyDescent="0.25">
      <c r="A652" t="s">
        <v>11342</v>
      </c>
    </row>
    <row r="653" spans="1:1" x14ac:dyDescent="0.25">
      <c r="A653" t="s">
        <v>11343</v>
      </c>
    </row>
    <row r="654" spans="1:1" x14ac:dyDescent="0.25">
      <c r="A654" t="s">
        <v>11344</v>
      </c>
    </row>
    <row r="655" spans="1:1" x14ac:dyDescent="0.25">
      <c r="A655" t="s">
        <v>11345</v>
      </c>
    </row>
    <row r="656" spans="1:1" x14ac:dyDescent="0.25">
      <c r="A656" t="s">
        <v>8371</v>
      </c>
    </row>
    <row r="657" spans="1:1" x14ac:dyDescent="0.25">
      <c r="A657" t="s">
        <v>11346</v>
      </c>
    </row>
    <row r="658" spans="1:1" x14ac:dyDescent="0.25">
      <c r="A658" t="s">
        <v>7536</v>
      </c>
    </row>
    <row r="659" spans="1:1" x14ac:dyDescent="0.25">
      <c r="A659" t="s">
        <v>11350</v>
      </c>
    </row>
    <row r="660" spans="1:1" x14ac:dyDescent="0.25">
      <c r="A660" t="s">
        <v>11352</v>
      </c>
    </row>
    <row r="661" spans="1:1" x14ac:dyDescent="0.25">
      <c r="A661" t="s">
        <v>11353</v>
      </c>
    </row>
    <row r="662" spans="1:1" x14ac:dyDescent="0.25">
      <c r="A662" t="s">
        <v>11354</v>
      </c>
    </row>
    <row r="663" spans="1:1" x14ac:dyDescent="0.25">
      <c r="A663" t="s">
        <v>11355</v>
      </c>
    </row>
    <row r="664" spans="1:1" x14ac:dyDescent="0.25">
      <c r="A664" t="s">
        <v>11356</v>
      </c>
    </row>
    <row r="665" spans="1:1" x14ac:dyDescent="0.25">
      <c r="A665" t="s">
        <v>11357</v>
      </c>
    </row>
    <row r="666" spans="1:1" x14ac:dyDescent="0.25">
      <c r="A666" t="s">
        <v>11358</v>
      </c>
    </row>
    <row r="667" spans="1:1" x14ac:dyDescent="0.25">
      <c r="A667" t="s">
        <v>11359</v>
      </c>
    </row>
    <row r="668" spans="1:1" x14ac:dyDescent="0.25">
      <c r="A668" t="s">
        <v>7538</v>
      </c>
    </row>
    <row r="669" spans="1:1" x14ac:dyDescent="0.25">
      <c r="A669" t="s">
        <v>8373</v>
      </c>
    </row>
    <row r="670" spans="1:1" x14ac:dyDescent="0.25">
      <c r="A670" t="s">
        <v>11360</v>
      </c>
    </row>
    <row r="671" spans="1:1" x14ac:dyDescent="0.25">
      <c r="A671" t="s">
        <v>11361</v>
      </c>
    </row>
    <row r="672" spans="1:1" x14ac:dyDescent="0.25">
      <c r="A672" t="s">
        <v>11362</v>
      </c>
    </row>
    <row r="673" spans="1:1" x14ac:dyDescent="0.25">
      <c r="A673" t="s">
        <v>11363</v>
      </c>
    </row>
    <row r="674" spans="1:1" x14ac:dyDescent="0.25">
      <c r="A674" t="s">
        <v>11364</v>
      </c>
    </row>
    <row r="675" spans="1:1" x14ac:dyDescent="0.25">
      <c r="A675" t="s">
        <v>11366</v>
      </c>
    </row>
    <row r="676" spans="1:1" x14ac:dyDescent="0.25">
      <c r="A676" t="s">
        <v>11367</v>
      </c>
    </row>
    <row r="677" spans="1:1" x14ac:dyDescent="0.25">
      <c r="A677" t="s">
        <v>11368</v>
      </c>
    </row>
    <row r="678" spans="1:1" x14ac:dyDescent="0.25">
      <c r="A678" t="s">
        <v>11369</v>
      </c>
    </row>
    <row r="679" spans="1:1" x14ac:dyDescent="0.25">
      <c r="A679" t="s">
        <v>11370</v>
      </c>
    </row>
    <row r="680" spans="1:1" x14ac:dyDescent="0.25">
      <c r="A680" t="s">
        <v>11371</v>
      </c>
    </row>
    <row r="681" spans="1:1" x14ac:dyDescent="0.25">
      <c r="A681" t="s">
        <v>11372</v>
      </c>
    </row>
    <row r="682" spans="1:1" x14ac:dyDescent="0.25">
      <c r="A682" t="s">
        <v>11373</v>
      </c>
    </row>
    <row r="683" spans="1:1" x14ac:dyDescent="0.25">
      <c r="A683" t="s">
        <v>11374</v>
      </c>
    </row>
    <row r="684" spans="1:1" x14ac:dyDescent="0.25">
      <c r="A684" t="s">
        <v>11375</v>
      </c>
    </row>
    <row r="685" spans="1:1" x14ac:dyDescent="0.25">
      <c r="A685" t="s">
        <v>11376</v>
      </c>
    </row>
    <row r="686" spans="1:1" x14ac:dyDescent="0.25">
      <c r="A686" t="s">
        <v>8376</v>
      </c>
    </row>
    <row r="687" spans="1:1" x14ac:dyDescent="0.25">
      <c r="A687" t="s">
        <v>11377</v>
      </c>
    </row>
    <row r="688" spans="1:1" x14ac:dyDescent="0.25">
      <c r="A688" t="s">
        <v>11379</v>
      </c>
    </row>
    <row r="689" spans="1:1" x14ac:dyDescent="0.25">
      <c r="A689" t="s">
        <v>11380</v>
      </c>
    </row>
    <row r="690" spans="1:1" x14ac:dyDescent="0.25">
      <c r="A690" t="s">
        <v>11381</v>
      </c>
    </row>
    <row r="691" spans="1:1" x14ac:dyDescent="0.25">
      <c r="A691" t="s">
        <v>11382</v>
      </c>
    </row>
    <row r="692" spans="1:1" x14ac:dyDescent="0.25">
      <c r="A692" t="s">
        <v>11383</v>
      </c>
    </row>
    <row r="693" spans="1:1" x14ac:dyDescent="0.25">
      <c r="A693" t="s">
        <v>11384</v>
      </c>
    </row>
    <row r="694" spans="1:1" x14ac:dyDescent="0.25">
      <c r="A694" t="s">
        <v>11386</v>
      </c>
    </row>
    <row r="695" spans="1:1" x14ac:dyDescent="0.25">
      <c r="A695" t="s">
        <v>11387</v>
      </c>
    </row>
    <row r="696" spans="1:1" x14ac:dyDescent="0.25">
      <c r="A696" t="s">
        <v>11388</v>
      </c>
    </row>
    <row r="697" spans="1:1" x14ac:dyDescent="0.25">
      <c r="A697" t="s">
        <v>11389</v>
      </c>
    </row>
    <row r="698" spans="1:1" x14ac:dyDescent="0.25">
      <c r="A698" t="s">
        <v>11390</v>
      </c>
    </row>
    <row r="699" spans="1:1" x14ac:dyDescent="0.25">
      <c r="A699" t="s">
        <v>11391</v>
      </c>
    </row>
    <row r="700" spans="1:1" x14ac:dyDescent="0.25">
      <c r="A700" t="s">
        <v>11392</v>
      </c>
    </row>
    <row r="701" spans="1:1" x14ac:dyDescent="0.25">
      <c r="A701" t="s">
        <v>11393</v>
      </c>
    </row>
    <row r="702" spans="1:1" x14ac:dyDescent="0.25">
      <c r="A702" t="s">
        <v>11394</v>
      </c>
    </row>
    <row r="703" spans="1:1" x14ac:dyDescent="0.25">
      <c r="A703" t="s">
        <v>11395</v>
      </c>
    </row>
    <row r="704" spans="1:1" x14ac:dyDescent="0.25">
      <c r="A704" t="s">
        <v>11396</v>
      </c>
    </row>
    <row r="705" spans="1:1" x14ac:dyDescent="0.25">
      <c r="A705" t="s">
        <v>11397</v>
      </c>
    </row>
    <row r="706" spans="1:1" x14ac:dyDescent="0.25">
      <c r="A706" t="s">
        <v>11399</v>
      </c>
    </row>
    <row r="707" spans="1:1" x14ac:dyDescent="0.25">
      <c r="A707" t="s">
        <v>11400</v>
      </c>
    </row>
    <row r="708" spans="1:1" x14ac:dyDescent="0.25">
      <c r="A708" t="s">
        <v>11401</v>
      </c>
    </row>
    <row r="709" spans="1:1" x14ac:dyDescent="0.25">
      <c r="A709" t="s">
        <v>11402</v>
      </c>
    </row>
    <row r="710" spans="1:1" x14ac:dyDescent="0.25">
      <c r="A710" t="s">
        <v>9255</v>
      </c>
    </row>
    <row r="711" spans="1:1" x14ac:dyDescent="0.25">
      <c r="A711" t="s">
        <v>11403</v>
      </c>
    </row>
    <row r="712" spans="1:1" x14ac:dyDescent="0.25">
      <c r="A712" t="s">
        <v>11404</v>
      </c>
    </row>
    <row r="713" spans="1:1" x14ac:dyDescent="0.25">
      <c r="A713" t="s">
        <v>11405</v>
      </c>
    </row>
    <row r="714" spans="1:1" x14ac:dyDescent="0.25">
      <c r="A714" t="s">
        <v>11406</v>
      </c>
    </row>
    <row r="715" spans="1:1" x14ac:dyDescent="0.25">
      <c r="A715" t="s">
        <v>11407</v>
      </c>
    </row>
    <row r="716" spans="1:1" x14ac:dyDescent="0.25">
      <c r="A716" t="s">
        <v>11409</v>
      </c>
    </row>
    <row r="717" spans="1:1" x14ac:dyDescent="0.25">
      <c r="A717" t="s">
        <v>11411</v>
      </c>
    </row>
    <row r="718" spans="1:1" x14ac:dyDescent="0.25">
      <c r="A718" t="s">
        <v>11412</v>
      </c>
    </row>
    <row r="719" spans="1:1" x14ac:dyDescent="0.25">
      <c r="A719" t="s">
        <v>11416</v>
      </c>
    </row>
    <row r="720" spans="1:1" x14ac:dyDescent="0.25">
      <c r="A720" t="s">
        <v>11418</v>
      </c>
    </row>
    <row r="721" spans="1:1" x14ac:dyDescent="0.25">
      <c r="A721" t="s">
        <v>8735</v>
      </c>
    </row>
    <row r="722" spans="1:1" x14ac:dyDescent="0.25">
      <c r="A722" t="s">
        <v>11419</v>
      </c>
    </row>
    <row r="723" spans="1:1" x14ac:dyDescent="0.25">
      <c r="A723" t="s">
        <v>11420</v>
      </c>
    </row>
    <row r="724" spans="1:1" x14ac:dyDescent="0.25">
      <c r="A724" t="s">
        <v>7591</v>
      </c>
    </row>
    <row r="725" spans="1:1" x14ac:dyDescent="0.25">
      <c r="A725" t="s">
        <v>11422</v>
      </c>
    </row>
    <row r="726" spans="1:1" x14ac:dyDescent="0.25">
      <c r="A726" t="s">
        <v>11423</v>
      </c>
    </row>
    <row r="727" spans="1:1" x14ac:dyDescent="0.25">
      <c r="A727" t="s">
        <v>11424</v>
      </c>
    </row>
    <row r="728" spans="1:1" x14ac:dyDescent="0.25">
      <c r="A728" t="s">
        <v>11426</v>
      </c>
    </row>
    <row r="729" spans="1:1" x14ac:dyDescent="0.25">
      <c r="A729" t="s">
        <v>11427</v>
      </c>
    </row>
    <row r="730" spans="1:1" x14ac:dyDescent="0.25">
      <c r="A730" t="s">
        <v>11428</v>
      </c>
    </row>
    <row r="731" spans="1:1" x14ac:dyDescent="0.25">
      <c r="A731" t="s">
        <v>11429</v>
      </c>
    </row>
    <row r="732" spans="1:1" x14ac:dyDescent="0.25">
      <c r="A732" t="s">
        <v>11431</v>
      </c>
    </row>
    <row r="733" spans="1:1" x14ac:dyDescent="0.25">
      <c r="A733" t="s">
        <v>11434</v>
      </c>
    </row>
    <row r="734" spans="1:1" x14ac:dyDescent="0.25">
      <c r="A734" t="s">
        <v>11435</v>
      </c>
    </row>
    <row r="735" spans="1:1" x14ac:dyDescent="0.25">
      <c r="A735" t="s">
        <v>11437</v>
      </c>
    </row>
    <row r="736" spans="1:1" x14ac:dyDescent="0.25">
      <c r="A736" t="s">
        <v>11438</v>
      </c>
    </row>
    <row r="737" spans="1:1" x14ac:dyDescent="0.25">
      <c r="A737" t="s">
        <v>11439</v>
      </c>
    </row>
    <row r="738" spans="1:1" x14ac:dyDescent="0.25">
      <c r="A738" t="s">
        <v>11440</v>
      </c>
    </row>
    <row r="739" spans="1:1" x14ac:dyDescent="0.25">
      <c r="A739" t="s">
        <v>11441</v>
      </c>
    </row>
    <row r="740" spans="1:1" x14ac:dyDescent="0.25">
      <c r="A740" t="s">
        <v>11442</v>
      </c>
    </row>
    <row r="741" spans="1:1" x14ac:dyDescent="0.25">
      <c r="A741" t="s">
        <v>11443</v>
      </c>
    </row>
    <row r="742" spans="1:1" x14ac:dyDescent="0.25">
      <c r="A742" t="s">
        <v>11444</v>
      </c>
    </row>
    <row r="743" spans="1:1" x14ac:dyDescent="0.25">
      <c r="A743" t="s">
        <v>11445</v>
      </c>
    </row>
    <row r="744" spans="1:1" x14ac:dyDescent="0.25">
      <c r="A744" t="s">
        <v>11447</v>
      </c>
    </row>
    <row r="745" spans="1:1" x14ac:dyDescent="0.25">
      <c r="A745" t="s">
        <v>11448</v>
      </c>
    </row>
    <row r="746" spans="1:1" x14ac:dyDescent="0.25">
      <c r="A746" t="s">
        <v>11449</v>
      </c>
    </row>
    <row r="747" spans="1:1" x14ac:dyDescent="0.25">
      <c r="A747" t="s">
        <v>11450</v>
      </c>
    </row>
    <row r="748" spans="1:1" x14ac:dyDescent="0.25">
      <c r="A748" t="s">
        <v>8397</v>
      </c>
    </row>
    <row r="749" spans="1:1" x14ac:dyDescent="0.25">
      <c r="A749" t="s">
        <v>11451</v>
      </c>
    </row>
    <row r="750" spans="1:1" x14ac:dyDescent="0.25">
      <c r="A750" t="s">
        <v>11452</v>
      </c>
    </row>
    <row r="751" spans="1:1" x14ac:dyDescent="0.25">
      <c r="A751" t="s">
        <v>11453</v>
      </c>
    </row>
    <row r="752" spans="1:1" x14ac:dyDescent="0.25">
      <c r="A752" t="s">
        <v>11454</v>
      </c>
    </row>
    <row r="753" spans="1:1" x14ac:dyDescent="0.25">
      <c r="A753" t="s">
        <v>7605</v>
      </c>
    </row>
    <row r="754" spans="1:1" x14ac:dyDescent="0.25">
      <c r="A754" t="s">
        <v>11455</v>
      </c>
    </row>
    <row r="755" spans="1:1" x14ac:dyDescent="0.25">
      <c r="A755" t="s">
        <v>11456</v>
      </c>
    </row>
    <row r="756" spans="1:1" x14ac:dyDescent="0.25">
      <c r="A756" t="s">
        <v>11457</v>
      </c>
    </row>
    <row r="757" spans="1:1" x14ac:dyDescent="0.25">
      <c r="A757" t="s">
        <v>11458</v>
      </c>
    </row>
    <row r="758" spans="1:1" x14ac:dyDescent="0.25">
      <c r="A758" t="s">
        <v>11459</v>
      </c>
    </row>
    <row r="759" spans="1:1" x14ac:dyDescent="0.25">
      <c r="A759" t="s">
        <v>11460</v>
      </c>
    </row>
    <row r="760" spans="1:1" x14ac:dyDescent="0.25">
      <c r="A760" t="s">
        <v>11461</v>
      </c>
    </row>
    <row r="761" spans="1:1" x14ac:dyDescent="0.25">
      <c r="A761" t="s">
        <v>11462</v>
      </c>
    </row>
    <row r="762" spans="1:1" x14ac:dyDescent="0.25">
      <c r="A762" t="s">
        <v>11463</v>
      </c>
    </row>
    <row r="763" spans="1:1" x14ac:dyDescent="0.25">
      <c r="A763" t="s">
        <v>11464</v>
      </c>
    </row>
    <row r="764" spans="1:1" x14ac:dyDescent="0.25">
      <c r="A764" t="s">
        <v>11465</v>
      </c>
    </row>
    <row r="765" spans="1:1" x14ac:dyDescent="0.25">
      <c r="A765" t="s">
        <v>11467</v>
      </c>
    </row>
    <row r="766" spans="1:1" x14ac:dyDescent="0.25">
      <c r="A766" t="s">
        <v>11468</v>
      </c>
    </row>
    <row r="767" spans="1:1" x14ac:dyDescent="0.25">
      <c r="A767" t="s">
        <v>11469</v>
      </c>
    </row>
    <row r="768" spans="1:1" x14ac:dyDescent="0.25">
      <c r="A768" t="s">
        <v>11470</v>
      </c>
    </row>
    <row r="769" spans="1:1" x14ac:dyDescent="0.25">
      <c r="A769" t="s">
        <v>11471</v>
      </c>
    </row>
    <row r="770" spans="1:1" x14ac:dyDescent="0.25">
      <c r="A770" t="s">
        <v>11472</v>
      </c>
    </row>
    <row r="771" spans="1:1" x14ac:dyDescent="0.25">
      <c r="A771" t="s">
        <v>11473</v>
      </c>
    </row>
    <row r="772" spans="1:1" x14ac:dyDescent="0.25">
      <c r="A772" t="s">
        <v>11474</v>
      </c>
    </row>
    <row r="773" spans="1:1" x14ac:dyDescent="0.25">
      <c r="A773" t="s">
        <v>11475</v>
      </c>
    </row>
    <row r="774" spans="1:1" x14ac:dyDescent="0.25">
      <c r="A774" t="s">
        <v>7611</v>
      </c>
    </row>
    <row r="775" spans="1:1" x14ac:dyDescent="0.25">
      <c r="A775" t="s">
        <v>11477</v>
      </c>
    </row>
    <row r="776" spans="1:1" x14ac:dyDescent="0.25">
      <c r="A776" t="s">
        <v>11478</v>
      </c>
    </row>
    <row r="777" spans="1:1" x14ac:dyDescent="0.25">
      <c r="A777" t="s">
        <v>11479</v>
      </c>
    </row>
    <row r="778" spans="1:1" x14ac:dyDescent="0.25">
      <c r="A778" t="s">
        <v>11480</v>
      </c>
    </row>
    <row r="779" spans="1:1" x14ac:dyDescent="0.25">
      <c r="A779" t="s">
        <v>11481</v>
      </c>
    </row>
    <row r="780" spans="1:1" x14ac:dyDescent="0.25">
      <c r="A780" t="s">
        <v>11482</v>
      </c>
    </row>
    <row r="781" spans="1:1" x14ac:dyDescent="0.25">
      <c r="A781" t="s">
        <v>11485</v>
      </c>
    </row>
    <row r="782" spans="1:1" x14ac:dyDescent="0.25">
      <c r="A782" t="s">
        <v>11486</v>
      </c>
    </row>
    <row r="783" spans="1:1" x14ac:dyDescent="0.25">
      <c r="A783" t="s">
        <v>11487</v>
      </c>
    </row>
    <row r="784" spans="1:1" x14ac:dyDescent="0.25">
      <c r="A784" t="s">
        <v>7614</v>
      </c>
    </row>
    <row r="785" spans="1:1" x14ac:dyDescent="0.25">
      <c r="A785" t="s">
        <v>8737</v>
      </c>
    </row>
    <row r="786" spans="1:1" x14ac:dyDescent="0.25">
      <c r="A786" t="s">
        <v>11488</v>
      </c>
    </row>
    <row r="787" spans="1:1" x14ac:dyDescent="0.25">
      <c r="A787" t="s">
        <v>11489</v>
      </c>
    </row>
    <row r="788" spans="1:1" x14ac:dyDescent="0.25">
      <c r="A788" t="s">
        <v>11490</v>
      </c>
    </row>
    <row r="789" spans="1:1" x14ac:dyDescent="0.25">
      <c r="A789" t="s">
        <v>11491</v>
      </c>
    </row>
    <row r="790" spans="1:1" x14ac:dyDescent="0.25">
      <c r="A790" t="s">
        <v>11492</v>
      </c>
    </row>
    <row r="791" spans="1:1" x14ac:dyDescent="0.25">
      <c r="A791" t="s">
        <v>11493</v>
      </c>
    </row>
    <row r="792" spans="1:1" x14ac:dyDescent="0.25">
      <c r="A792" t="s">
        <v>11494</v>
      </c>
    </row>
    <row r="793" spans="1:1" x14ac:dyDescent="0.25">
      <c r="A793" t="s">
        <v>11495</v>
      </c>
    </row>
    <row r="794" spans="1:1" x14ac:dyDescent="0.25">
      <c r="A794" t="s">
        <v>11496</v>
      </c>
    </row>
    <row r="795" spans="1:1" x14ac:dyDescent="0.25">
      <c r="A795" t="s">
        <v>11497</v>
      </c>
    </row>
    <row r="796" spans="1:1" x14ac:dyDescent="0.25">
      <c r="A796" t="s">
        <v>11498</v>
      </c>
    </row>
    <row r="797" spans="1:1" x14ac:dyDescent="0.25">
      <c r="A797" t="s">
        <v>11499</v>
      </c>
    </row>
    <row r="798" spans="1:1" x14ac:dyDescent="0.25">
      <c r="A798" t="s">
        <v>11500</v>
      </c>
    </row>
    <row r="799" spans="1:1" x14ac:dyDescent="0.25">
      <c r="A799" t="s">
        <v>11501</v>
      </c>
    </row>
    <row r="800" spans="1:1" x14ac:dyDescent="0.25">
      <c r="A800" t="s">
        <v>11502</v>
      </c>
    </row>
    <row r="801" spans="1:1" x14ac:dyDescent="0.25">
      <c r="A801" t="s">
        <v>11503</v>
      </c>
    </row>
    <row r="802" spans="1:1" x14ac:dyDescent="0.25">
      <c r="A802" t="s">
        <v>11504</v>
      </c>
    </row>
    <row r="803" spans="1:1" x14ac:dyDescent="0.25">
      <c r="A803" t="s">
        <v>8405</v>
      </c>
    </row>
    <row r="804" spans="1:1" x14ac:dyDescent="0.25">
      <c r="A804" t="s">
        <v>11505</v>
      </c>
    </row>
    <row r="805" spans="1:1" x14ac:dyDescent="0.25">
      <c r="A805" t="s">
        <v>11506</v>
      </c>
    </row>
    <row r="806" spans="1:1" x14ac:dyDescent="0.25">
      <c r="A806" t="s">
        <v>11507</v>
      </c>
    </row>
    <row r="807" spans="1:1" x14ac:dyDescent="0.25">
      <c r="A807" t="s">
        <v>11508</v>
      </c>
    </row>
    <row r="808" spans="1:1" x14ac:dyDescent="0.25">
      <c r="A808" t="s">
        <v>11509</v>
      </c>
    </row>
    <row r="809" spans="1:1" x14ac:dyDescent="0.25">
      <c r="A809" t="s">
        <v>11510</v>
      </c>
    </row>
    <row r="810" spans="1:1" x14ac:dyDescent="0.25">
      <c r="A810" t="s">
        <v>11511</v>
      </c>
    </row>
    <row r="811" spans="1:1" x14ac:dyDescent="0.25">
      <c r="A811" t="s">
        <v>11512</v>
      </c>
    </row>
    <row r="812" spans="1:1" x14ac:dyDescent="0.25">
      <c r="A812" t="s">
        <v>11513</v>
      </c>
    </row>
    <row r="813" spans="1:1" x14ac:dyDescent="0.25">
      <c r="A813" t="s">
        <v>11514</v>
      </c>
    </row>
    <row r="814" spans="1:1" x14ac:dyDescent="0.25">
      <c r="A814" t="s">
        <v>8792</v>
      </c>
    </row>
    <row r="815" spans="1:1" x14ac:dyDescent="0.25">
      <c r="A815" t="s">
        <v>11515</v>
      </c>
    </row>
    <row r="816" spans="1:1" x14ac:dyDescent="0.25">
      <c r="A816" t="s">
        <v>11516</v>
      </c>
    </row>
    <row r="817" spans="1:1" x14ac:dyDescent="0.25">
      <c r="A817" t="s">
        <v>11517</v>
      </c>
    </row>
    <row r="818" spans="1:1" x14ac:dyDescent="0.25">
      <c r="A818" t="s">
        <v>11520</v>
      </c>
    </row>
    <row r="819" spans="1:1" x14ac:dyDescent="0.25">
      <c r="A819" t="s">
        <v>11522</v>
      </c>
    </row>
    <row r="820" spans="1:1" x14ac:dyDescent="0.25">
      <c r="A820" t="s">
        <v>11523</v>
      </c>
    </row>
    <row r="821" spans="1:1" x14ac:dyDescent="0.25">
      <c r="A821" t="s">
        <v>11524</v>
      </c>
    </row>
    <row r="822" spans="1:1" x14ac:dyDescent="0.25">
      <c r="A822" t="s">
        <v>11525</v>
      </c>
    </row>
    <row r="823" spans="1:1" x14ac:dyDescent="0.25">
      <c r="A823" t="s">
        <v>11526</v>
      </c>
    </row>
    <row r="824" spans="1:1" x14ac:dyDescent="0.25">
      <c r="A824" t="s">
        <v>11527</v>
      </c>
    </row>
    <row r="825" spans="1:1" x14ac:dyDescent="0.25">
      <c r="A825" t="s">
        <v>11529</v>
      </c>
    </row>
    <row r="826" spans="1:1" x14ac:dyDescent="0.25">
      <c r="A826" t="s">
        <v>11530</v>
      </c>
    </row>
    <row r="827" spans="1:1" x14ac:dyDescent="0.25">
      <c r="A827" t="s">
        <v>11531</v>
      </c>
    </row>
    <row r="828" spans="1:1" x14ac:dyDescent="0.25">
      <c r="A828" t="s">
        <v>11534</v>
      </c>
    </row>
    <row r="829" spans="1:1" x14ac:dyDescent="0.25">
      <c r="A829" t="s">
        <v>8741</v>
      </c>
    </row>
    <row r="830" spans="1:1" x14ac:dyDescent="0.25">
      <c r="A830" t="s">
        <v>11536</v>
      </c>
    </row>
    <row r="831" spans="1:1" x14ac:dyDescent="0.25">
      <c r="A831" t="s">
        <v>11537</v>
      </c>
    </row>
    <row r="832" spans="1:1" x14ac:dyDescent="0.25">
      <c r="A832" t="s">
        <v>11538</v>
      </c>
    </row>
    <row r="833" spans="1:1" x14ac:dyDescent="0.25">
      <c r="A833" t="s">
        <v>11541</v>
      </c>
    </row>
    <row r="834" spans="1:1" x14ac:dyDescent="0.25">
      <c r="A834" t="s">
        <v>11542</v>
      </c>
    </row>
    <row r="835" spans="1:1" x14ac:dyDescent="0.25">
      <c r="A835" t="s">
        <v>11543</v>
      </c>
    </row>
    <row r="836" spans="1:1" x14ac:dyDescent="0.25">
      <c r="A836" t="s">
        <v>11544</v>
      </c>
    </row>
    <row r="837" spans="1:1" x14ac:dyDescent="0.25">
      <c r="A837" t="s">
        <v>11546</v>
      </c>
    </row>
    <row r="838" spans="1:1" x14ac:dyDescent="0.25">
      <c r="A838" t="s">
        <v>11547</v>
      </c>
    </row>
    <row r="839" spans="1:1" x14ac:dyDescent="0.25">
      <c r="A839" t="s">
        <v>11549</v>
      </c>
    </row>
    <row r="840" spans="1:1" x14ac:dyDescent="0.25">
      <c r="A840" t="s">
        <v>11550</v>
      </c>
    </row>
    <row r="841" spans="1:1" x14ac:dyDescent="0.25">
      <c r="A841" t="s">
        <v>11551</v>
      </c>
    </row>
    <row r="842" spans="1:1" x14ac:dyDescent="0.25">
      <c r="A842" t="s">
        <v>11552</v>
      </c>
    </row>
    <row r="843" spans="1:1" x14ac:dyDescent="0.25">
      <c r="A843" t="s">
        <v>11555</v>
      </c>
    </row>
    <row r="844" spans="1:1" x14ac:dyDescent="0.25">
      <c r="A844" t="s">
        <v>11558</v>
      </c>
    </row>
    <row r="845" spans="1:1" x14ac:dyDescent="0.25">
      <c r="A845" t="s">
        <v>11559</v>
      </c>
    </row>
    <row r="846" spans="1:1" x14ac:dyDescent="0.25">
      <c r="A846" t="s">
        <v>11560</v>
      </c>
    </row>
    <row r="847" spans="1:1" x14ac:dyDescent="0.25">
      <c r="A847" t="s">
        <v>7641</v>
      </c>
    </row>
    <row r="848" spans="1:1" x14ac:dyDescent="0.25">
      <c r="A848" t="s">
        <v>11561</v>
      </c>
    </row>
    <row r="849" spans="1:1" x14ac:dyDescent="0.25">
      <c r="A849" t="s">
        <v>11562</v>
      </c>
    </row>
    <row r="850" spans="1:1" x14ac:dyDescent="0.25">
      <c r="A850" t="s">
        <v>11564</v>
      </c>
    </row>
    <row r="851" spans="1:1" x14ac:dyDescent="0.25">
      <c r="A851" t="s">
        <v>11565</v>
      </c>
    </row>
    <row r="852" spans="1:1" x14ac:dyDescent="0.25">
      <c r="A852" t="s">
        <v>11566</v>
      </c>
    </row>
    <row r="853" spans="1:1" x14ac:dyDescent="0.25">
      <c r="A853" t="s">
        <v>11567</v>
      </c>
    </row>
    <row r="854" spans="1:1" x14ac:dyDescent="0.25">
      <c r="A854" t="s">
        <v>11568</v>
      </c>
    </row>
    <row r="855" spans="1:1" x14ac:dyDescent="0.25">
      <c r="A855" t="s">
        <v>11569</v>
      </c>
    </row>
    <row r="856" spans="1:1" x14ac:dyDescent="0.25">
      <c r="A856" t="s">
        <v>11570</v>
      </c>
    </row>
    <row r="857" spans="1:1" x14ac:dyDescent="0.25">
      <c r="A857" t="s">
        <v>8427</v>
      </c>
    </row>
    <row r="858" spans="1:1" x14ac:dyDescent="0.25">
      <c r="A858" t="s">
        <v>11574</v>
      </c>
    </row>
    <row r="859" spans="1:1" x14ac:dyDescent="0.25">
      <c r="A859" t="s">
        <v>11575</v>
      </c>
    </row>
    <row r="860" spans="1:1" x14ac:dyDescent="0.25">
      <c r="A860" t="s">
        <v>11576</v>
      </c>
    </row>
    <row r="861" spans="1:1" x14ac:dyDescent="0.25">
      <c r="A861" t="s">
        <v>11577</v>
      </c>
    </row>
    <row r="862" spans="1:1" x14ac:dyDescent="0.25">
      <c r="A862" t="s">
        <v>8794</v>
      </c>
    </row>
    <row r="863" spans="1:1" x14ac:dyDescent="0.25">
      <c r="A863" t="s">
        <v>11579</v>
      </c>
    </row>
    <row r="864" spans="1:1" x14ac:dyDescent="0.25">
      <c r="A864" t="s">
        <v>11581</v>
      </c>
    </row>
    <row r="865" spans="1:1" x14ac:dyDescent="0.25">
      <c r="A865" t="s">
        <v>11582</v>
      </c>
    </row>
    <row r="866" spans="1:1" x14ac:dyDescent="0.25">
      <c r="A866" t="s">
        <v>11583</v>
      </c>
    </row>
    <row r="867" spans="1:1" x14ac:dyDescent="0.25">
      <c r="A867" t="s">
        <v>11584</v>
      </c>
    </row>
    <row r="868" spans="1:1" x14ac:dyDescent="0.25">
      <c r="A868" t="s">
        <v>11585</v>
      </c>
    </row>
    <row r="869" spans="1:1" x14ac:dyDescent="0.25">
      <c r="A869" t="s">
        <v>8428</v>
      </c>
    </row>
    <row r="870" spans="1:1" x14ac:dyDescent="0.25">
      <c r="A870" t="s">
        <v>11588</v>
      </c>
    </row>
    <row r="871" spans="1:1" x14ac:dyDescent="0.25">
      <c r="A871" t="s">
        <v>11589</v>
      </c>
    </row>
    <row r="872" spans="1:1" x14ac:dyDescent="0.25">
      <c r="A872" t="s">
        <v>11590</v>
      </c>
    </row>
    <row r="873" spans="1:1" x14ac:dyDescent="0.25">
      <c r="A873" t="s">
        <v>11592</v>
      </c>
    </row>
    <row r="874" spans="1:1" x14ac:dyDescent="0.25">
      <c r="A874" t="s">
        <v>11595</v>
      </c>
    </row>
    <row r="875" spans="1:1" x14ac:dyDescent="0.25">
      <c r="A875" t="s">
        <v>11596</v>
      </c>
    </row>
    <row r="876" spans="1:1" x14ac:dyDescent="0.25">
      <c r="A876" t="s">
        <v>11597</v>
      </c>
    </row>
    <row r="877" spans="1:1" x14ac:dyDescent="0.25">
      <c r="A877" t="s">
        <v>11598</v>
      </c>
    </row>
    <row r="878" spans="1:1" x14ac:dyDescent="0.25">
      <c r="A878" t="s">
        <v>11601</v>
      </c>
    </row>
    <row r="879" spans="1:1" x14ac:dyDescent="0.25">
      <c r="A879" t="s">
        <v>11602</v>
      </c>
    </row>
    <row r="880" spans="1:1" x14ac:dyDescent="0.25">
      <c r="A880" t="s">
        <v>11603</v>
      </c>
    </row>
    <row r="881" spans="1:1" x14ac:dyDescent="0.25">
      <c r="A881" t="s">
        <v>11604</v>
      </c>
    </row>
    <row r="882" spans="1:1" x14ac:dyDescent="0.25">
      <c r="A882" t="s">
        <v>11605</v>
      </c>
    </row>
    <row r="883" spans="1:1" x14ac:dyDescent="0.25">
      <c r="A883" t="s">
        <v>11606</v>
      </c>
    </row>
    <row r="884" spans="1:1" x14ac:dyDescent="0.25">
      <c r="A884" t="s">
        <v>11607</v>
      </c>
    </row>
    <row r="885" spans="1:1" x14ac:dyDescent="0.25">
      <c r="A885" t="s">
        <v>11608</v>
      </c>
    </row>
    <row r="886" spans="1:1" x14ac:dyDescent="0.25">
      <c r="A886" t="s">
        <v>11610</v>
      </c>
    </row>
    <row r="887" spans="1:1" x14ac:dyDescent="0.25">
      <c r="A887" t="s">
        <v>11611</v>
      </c>
    </row>
    <row r="888" spans="1:1" x14ac:dyDescent="0.25">
      <c r="A888" t="s">
        <v>11612</v>
      </c>
    </row>
    <row r="889" spans="1:1" x14ac:dyDescent="0.25">
      <c r="A889" t="s">
        <v>11613</v>
      </c>
    </row>
    <row r="890" spans="1:1" x14ac:dyDescent="0.25">
      <c r="A890" t="s">
        <v>11615</v>
      </c>
    </row>
    <row r="891" spans="1:1" x14ac:dyDescent="0.25">
      <c r="A891" t="s">
        <v>11616</v>
      </c>
    </row>
    <row r="892" spans="1:1" x14ac:dyDescent="0.25">
      <c r="A892" t="s">
        <v>11617</v>
      </c>
    </row>
    <row r="893" spans="1:1" x14ac:dyDescent="0.25">
      <c r="A893" t="s">
        <v>11618</v>
      </c>
    </row>
    <row r="894" spans="1:1" x14ac:dyDescent="0.25">
      <c r="A894" t="s">
        <v>11619</v>
      </c>
    </row>
    <row r="895" spans="1:1" x14ac:dyDescent="0.25">
      <c r="A895" t="s">
        <v>11620</v>
      </c>
    </row>
    <row r="896" spans="1:1" x14ac:dyDescent="0.25">
      <c r="A896" t="s">
        <v>11621</v>
      </c>
    </row>
    <row r="897" spans="1:1" x14ac:dyDescent="0.25">
      <c r="A897" t="s">
        <v>11622</v>
      </c>
    </row>
    <row r="898" spans="1:1" x14ac:dyDescent="0.25">
      <c r="A898" t="s">
        <v>11626</v>
      </c>
    </row>
    <row r="899" spans="1:1" x14ac:dyDescent="0.25">
      <c r="A899" t="s">
        <v>11627</v>
      </c>
    </row>
    <row r="900" spans="1:1" x14ac:dyDescent="0.25">
      <c r="A900" t="s">
        <v>11628</v>
      </c>
    </row>
    <row r="901" spans="1:1" x14ac:dyDescent="0.25">
      <c r="A901" t="s">
        <v>11631</v>
      </c>
    </row>
    <row r="902" spans="1:1" x14ac:dyDescent="0.25">
      <c r="A902" t="s">
        <v>11632</v>
      </c>
    </row>
    <row r="903" spans="1:1" x14ac:dyDescent="0.25">
      <c r="A903" t="s">
        <v>11633</v>
      </c>
    </row>
    <row r="904" spans="1:1" x14ac:dyDescent="0.25">
      <c r="A904" t="s">
        <v>11634</v>
      </c>
    </row>
    <row r="905" spans="1:1" x14ac:dyDescent="0.25">
      <c r="A905" t="s">
        <v>9316</v>
      </c>
    </row>
    <row r="906" spans="1:1" x14ac:dyDescent="0.25">
      <c r="A906" t="s">
        <v>11636</v>
      </c>
    </row>
    <row r="907" spans="1:1" x14ac:dyDescent="0.25">
      <c r="A907" t="s">
        <v>11637</v>
      </c>
    </row>
    <row r="908" spans="1:1" x14ac:dyDescent="0.25">
      <c r="A908" t="s">
        <v>11639</v>
      </c>
    </row>
    <row r="909" spans="1:1" x14ac:dyDescent="0.25">
      <c r="A909" t="s">
        <v>11640</v>
      </c>
    </row>
    <row r="910" spans="1:1" x14ac:dyDescent="0.25">
      <c r="A910" t="s">
        <v>11642</v>
      </c>
    </row>
    <row r="911" spans="1:1" x14ac:dyDescent="0.25">
      <c r="A911" t="s">
        <v>11644</v>
      </c>
    </row>
    <row r="912" spans="1:1" x14ac:dyDescent="0.25">
      <c r="A912" t="s">
        <v>11645</v>
      </c>
    </row>
    <row r="913" spans="1:1" x14ac:dyDescent="0.25">
      <c r="A913" t="s">
        <v>8438</v>
      </c>
    </row>
    <row r="914" spans="1:1" x14ac:dyDescent="0.25">
      <c r="A914" t="s">
        <v>11649</v>
      </c>
    </row>
    <row r="915" spans="1:1" x14ac:dyDescent="0.25">
      <c r="A915" t="s">
        <v>11650</v>
      </c>
    </row>
    <row r="916" spans="1:1" x14ac:dyDescent="0.25">
      <c r="A916" t="s">
        <v>11651</v>
      </c>
    </row>
    <row r="917" spans="1:1" x14ac:dyDescent="0.25">
      <c r="A917" t="s">
        <v>11652</v>
      </c>
    </row>
    <row r="918" spans="1:1" x14ac:dyDescent="0.25">
      <c r="A918" t="s">
        <v>11653</v>
      </c>
    </row>
    <row r="919" spans="1:1" x14ac:dyDescent="0.25">
      <c r="A919" t="s">
        <v>8439</v>
      </c>
    </row>
    <row r="920" spans="1:1" x14ac:dyDescent="0.25">
      <c r="A920" t="s">
        <v>11654</v>
      </c>
    </row>
    <row r="921" spans="1:1" x14ac:dyDescent="0.25">
      <c r="A921" t="s">
        <v>11655</v>
      </c>
    </row>
    <row r="922" spans="1:1" x14ac:dyDescent="0.25">
      <c r="A922" t="s">
        <v>11656</v>
      </c>
    </row>
    <row r="923" spans="1:1" x14ac:dyDescent="0.25">
      <c r="A923" t="s">
        <v>11657</v>
      </c>
    </row>
    <row r="924" spans="1:1" x14ac:dyDescent="0.25">
      <c r="A924" t="s">
        <v>11658</v>
      </c>
    </row>
    <row r="925" spans="1:1" x14ac:dyDescent="0.25">
      <c r="A925" t="s">
        <v>11659</v>
      </c>
    </row>
    <row r="926" spans="1:1" x14ac:dyDescent="0.25">
      <c r="A926" t="s">
        <v>7678</v>
      </c>
    </row>
    <row r="927" spans="1:1" x14ac:dyDescent="0.25">
      <c r="A927" t="s">
        <v>11660</v>
      </c>
    </row>
    <row r="928" spans="1:1" x14ac:dyDescent="0.25">
      <c r="A928" t="s">
        <v>9689</v>
      </c>
    </row>
    <row r="929" spans="1:1" x14ac:dyDescent="0.25">
      <c r="A929" t="s">
        <v>11662</v>
      </c>
    </row>
    <row r="930" spans="1:1" x14ac:dyDescent="0.25">
      <c r="A930" t="s">
        <v>11664</v>
      </c>
    </row>
    <row r="931" spans="1:1" x14ac:dyDescent="0.25">
      <c r="A931" t="s">
        <v>11665</v>
      </c>
    </row>
    <row r="932" spans="1:1" x14ac:dyDescent="0.25">
      <c r="A932" t="s">
        <v>11666</v>
      </c>
    </row>
    <row r="933" spans="1:1" x14ac:dyDescent="0.25">
      <c r="A933" t="s">
        <v>8443</v>
      </c>
    </row>
    <row r="934" spans="1:1" x14ac:dyDescent="0.25">
      <c r="A934" t="s">
        <v>11667</v>
      </c>
    </row>
    <row r="935" spans="1:1" x14ac:dyDescent="0.25">
      <c r="A935" t="s">
        <v>11669</v>
      </c>
    </row>
    <row r="936" spans="1:1" x14ac:dyDescent="0.25">
      <c r="A936" t="s">
        <v>11670</v>
      </c>
    </row>
    <row r="937" spans="1:1" x14ac:dyDescent="0.25">
      <c r="A937" t="s">
        <v>7682</v>
      </c>
    </row>
    <row r="938" spans="1:1" x14ac:dyDescent="0.25">
      <c r="A938" t="s">
        <v>11671</v>
      </c>
    </row>
    <row r="939" spans="1:1" x14ac:dyDescent="0.25">
      <c r="A939" t="s">
        <v>11673</v>
      </c>
    </row>
    <row r="940" spans="1:1" x14ac:dyDescent="0.25">
      <c r="A940" t="s">
        <v>11677</v>
      </c>
    </row>
    <row r="941" spans="1:1" x14ac:dyDescent="0.25">
      <c r="A941" t="s">
        <v>11678</v>
      </c>
    </row>
    <row r="942" spans="1:1" x14ac:dyDescent="0.25">
      <c r="A942" t="s">
        <v>11679</v>
      </c>
    </row>
    <row r="943" spans="1:1" x14ac:dyDescent="0.25">
      <c r="A943" t="s">
        <v>11682</v>
      </c>
    </row>
    <row r="944" spans="1:1" x14ac:dyDescent="0.25">
      <c r="A944" t="s">
        <v>11683</v>
      </c>
    </row>
    <row r="945" spans="1:1" x14ac:dyDescent="0.25">
      <c r="A945" t="s">
        <v>11684</v>
      </c>
    </row>
    <row r="946" spans="1:1" x14ac:dyDescent="0.25">
      <c r="A946" t="s">
        <v>11685</v>
      </c>
    </row>
    <row r="947" spans="1:1" x14ac:dyDescent="0.25">
      <c r="A947" t="s">
        <v>11686</v>
      </c>
    </row>
    <row r="948" spans="1:1" x14ac:dyDescent="0.25">
      <c r="A948" t="s">
        <v>11687</v>
      </c>
    </row>
    <row r="949" spans="1:1" x14ac:dyDescent="0.25">
      <c r="A949" t="s">
        <v>11688</v>
      </c>
    </row>
    <row r="950" spans="1:1" x14ac:dyDescent="0.25">
      <c r="A950" t="s">
        <v>11689</v>
      </c>
    </row>
    <row r="951" spans="1:1" x14ac:dyDescent="0.25">
      <c r="A951" t="s">
        <v>11690</v>
      </c>
    </row>
    <row r="952" spans="1:1" x14ac:dyDescent="0.25">
      <c r="A952" t="s">
        <v>11691</v>
      </c>
    </row>
    <row r="953" spans="1:1" x14ac:dyDescent="0.25">
      <c r="A953" t="s">
        <v>11692</v>
      </c>
    </row>
    <row r="954" spans="1:1" x14ac:dyDescent="0.25">
      <c r="A954" t="s">
        <v>11693</v>
      </c>
    </row>
    <row r="955" spans="1:1" x14ac:dyDescent="0.25">
      <c r="A955" t="s">
        <v>11694</v>
      </c>
    </row>
    <row r="956" spans="1:1" x14ac:dyDescent="0.25">
      <c r="A956" t="s">
        <v>11695</v>
      </c>
    </row>
    <row r="957" spans="1:1" x14ac:dyDescent="0.25">
      <c r="A957" t="s">
        <v>11696</v>
      </c>
    </row>
    <row r="958" spans="1:1" x14ac:dyDescent="0.25">
      <c r="A958" t="s">
        <v>11697</v>
      </c>
    </row>
    <row r="959" spans="1:1" x14ac:dyDescent="0.25">
      <c r="A959" t="s">
        <v>11698</v>
      </c>
    </row>
    <row r="960" spans="1:1" x14ac:dyDescent="0.25">
      <c r="A960" t="s">
        <v>11699</v>
      </c>
    </row>
    <row r="961" spans="1:1" x14ac:dyDescent="0.25">
      <c r="A961" t="s">
        <v>11700</v>
      </c>
    </row>
    <row r="962" spans="1:1" x14ac:dyDescent="0.25">
      <c r="A962" t="s">
        <v>11701</v>
      </c>
    </row>
    <row r="963" spans="1:1" x14ac:dyDescent="0.25">
      <c r="A963" t="s">
        <v>11702</v>
      </c>
    </row>
    <row r="964" spans="1:1" x14ac:dyDescent="0.25">
      <c r="A964" t="s">
        <v>11703</v>
      </c>
    </row>
    <row r="965" spans="1:1" x14ac:dyDescent="0.25">
      <c r="A965" t="s">
        <v>11704</v>
      </c>
    </row>
    <row r="966" spans="1:1" x14ac:dyDescent="0.25">
      <c r="A966" t="s">
        <v>11705</v>
      </c>
    </row>
    <row r="967" spans="1:1" x14ac:dyDescent="0.25">
      <c r="A967" t="s">
        <v>11706</v>
      </c>
    </row>
    <row r="968" spans="1:1" x14ac:dyDescent="0.25">
      <c r="A968" t="s">
        <v>11707</v>
      </c>
    </row>
    <row r="969" spans="1:1" x14ac:dyDescent="0.25">
      <c r="A969" t="s">
        <v>11708</v>
      </c>
    </row>
    <row r="970" spans="1:1" x14ac:dyDescent="0.25">
      <c r="A970" t="s">
        <v>11709</v>
      </c>
    </row>
    <row r="971" spans="1:1" x14ac:dyDescent="0.25">
      <c r="A971" t="s">
        <v>11710</v>
      </c>
    </row>
    <row r="972" spans="1:1" x14ac:dyDescent="0.25">
      <c r="A972" t="s">
        <v>11711</v>
      </c>
    </row>
    <row r="973" spans="1:1" x14ac:dyDescent="0.25">
      <c r="A973" t="s">
        <v>11712</v>
      </c>
    </row>
    <row r="974" spans="1:1" x14ac:dyDescent="0.25">
      <c r="A974" t="s">
        <v>11713</v>
      </c>
    </row>
    <row r="975" spans="1:1" x14ac:dyDescent="0.25">
      <c r="A975" t="s">
        <v>7702</v>
      </c>
    </row>
    <row r="976" spans="1:1" x14ac:dyDescent="0.25">
      <c r="A976" t="s">
        <v>11714</v>
      </c>
    </row>
    <row r="977" spans="1:1" x14ac:dyDescent="0.25">
      <c r="A977" t="s">
        <v>11716</v>
      </c>
    </row>
    <row r="978" spans="1:1" x14ac:dyDescent="0.25">
      <c r="A978" t="s">
        <v>11717</v>
      </c>
    </row>
    <row r="979" spans="1:1" x14ac:dyDescent="0.25">
      <c r="A979" t="s">
        <v>11718</v>
      </c>
    </row>
    <row r="980" spans="1:1" x14ac:dyDescent="0.25">
      <c r="A980" t="s">
        <v>11720</v>
      </c>
    </row>
    <row r="981" spans="1:1" x14ac:dyDescent="0.25">
      <c r="A981" t="s">
        <v>11721</v>
      </c>
    </row>
    <row r="982" spans="1:1" x14ac:dyDescent="0.25">
      <c r="A982" t="s">
        <v>11723</v>
      </c>
    </row>
    <row r="983" spans="1:1" x14ac:dyDescent="0.25">
      <c r="A983" t="s">
        <v>11724</v>
      </c>
    </row>
    <row r="984" spans="1:1" x14ac:dyDescent="0.25">
      <c r="A984" t="s">
        <v>11725</v>
      </c>
    </row>
    <row r="985" spans="1:1" x14ac:dyDescent="0.25">
      <c r="A985" t="s">
        <v>11726</v>
      </c>
    </row>
    <row r="986" spans="1:1" x14ac:dyDescent="0.25">
      <c r="A986" t="s">
        <v>11728</v>
      </c>
    </row>
    <row r="987" spans="1:1" x14ac:dyDescent="0.25">
      <c r="A987" t="s">
        <v>11729</v>
      </c>
    </row>
    <row r="988" spans="1:1" x14ac:dyDescent="0.25">
      <c r="A988" t="s">
        <v>9334</v>
      </c>
    </row>
    <row r="989" spans="1:1" x14ac:dyDescent="0.25">
      <c r="A989" t="s">
        <v>11733</v>
      </c>
    </row>
    <row r="990" spans="1:1" x14ac:dyDescent="0.25">
      <c r="A990" t="s">
        <v>11734</v>
      </c>
    </row>
    <row r="991" spans="1:1" x14ac:dyDescent="0.25">
      <c r="A991" t="s">
        <v>9339</v>
      </c>
    </row>
    <row r="992" spans="1:1" x14ac:dyDescent="0.25">
      <c r="A992" t="s">
        <v>11739</v>
      </c>
    </row>
    <row r="993" spans="1:1" x14ac:dyDescent="0.25">
      <c r="A993" t="s">
        <v>11740</v>
      </c>
    </row>
    <row r="994" spans="1:1" x14ac:dyDescent="0.25">
      <c r="A994" t="s">
        <v>11741</v>
      </c>
    </row>
    <row r="995" spans="1:1" x14ac:dyDescent="0.25">
      <c r="A995" t="s">
        <v>11742</v>
      </c>
    </row>
    <row r="996" spans="1:1" x14ac:dyDescent="0.25">
      <c r="A996" t="s">
        <v>11743</v>
      </c>
    </row>
    <row r="997" spans="1:1" x14ac:dyDescent="0.25">
      <c r="A997" t="s">
        <v>11745</v>
      </c>
    </row>
    <row r="998" spans="1:1" x14ac:dyDescent="0.25">
      <c r="A998" t="s">
        <v>11746</v>
      </c>
    </row>
    <row r="999" spans="1:1" x14ac:dyDescent="0.25">
      <c r="A999" t="s">
        <v>11748</v>
      </c>
    </row>
    <row r="1000" spans="1:1" x14ac:dyDescent="0.25">
      <c r="A1000" t="s">
        <v>11750</v>
      </c>
    </row>
    <row r="1001" spans="1:1" x14ac:dyDescent="0.25">
      <c r="A1001" t="s">
        <v>11752</v>
      </c>
    </row>
    <row r="1002" spans="1:1" x14ac:dyDescent="0.25">
      <c r="A1002" t="s">
        <v>11753</v>
      </c>
    </row>
    <row r="1003" spans="1:1" x14ac:dyDescent="0.25">
      <c r="A1003" t="s">
        <v>11755</v>
      </c>
    </row>
    <row r="1004" spans="1:1" x14ac:dyDescent="0.25">
      <c r="A1004" t="s">
        <v>11759</v>
      </c>
    </row>
    <row r="1005" spans="1:1" x14ac:dyDescent="0.25">
      <c r="A1005" t="s">
        <v>8459</v>
      </c>
    </row>
    <row r="1006" spans="1:1" x14ac:dyDescent="0.25">
      <c r="A1006" t="s">
        <v>11761</v>
      </c>
    </row>
    <row r="1007" spans="1:1" x14ac:dyDescent="0.25">
      <c r="A1007" t="s">
        <v>11762</v>
      </c>
    </row>
    <row r="1008" spans="1:1" x14ac:dyDescent="0.25">
      <c r="A1008" t="s">
        <v>11763</v>
      </c>
    </row>
    <row r="1009" spans="1:1" x14ac:dyDescent="0.25">
      <c r="A1009" t="s">
        <v>11764</v>
      </c>
    </row>
    <row r="1010" spans="1:1" x14ac:dyDescent="0.25">
      <c r="A1010" t="s">
        <v>8460</v>
      </c>
    </row>
    <row r="1011" spans="1:1" x14ac:dyDescent="0.25">
      <c r="A1011" t="s">
        <v>11766</v>
      </c>
    </row>
    <row r="1012" spans="1:1" x14ac:dyDescent="0.25">
      <c r="A1012" t="s">
        <v>7726</v>
      </c>
    </row>
    <row r="1013" spans="1:1" x14ac:dyDescent="0.25">
      <c r="A1013" t="s">
        <v>11767</v>
      </c>
    </row>
    <row r="1014" spans="1:1" x14ac:dyDescent="0.25">
      <c r="A1014" t="s">
        <v>11768</v>
      </c>
    </row>
    <row r="1015" spans="1:1" x14ac:dyDescent="0.25">
      <c r="A1015" t="s">
        <v>11769</v>
      </c>
    </row>
    <row r="1016" spans="1:1" x14ac:dyDescent="0.25">
      <c r="A1016" t="s">
        <v>11770</v>
      </c>
    </row>
    <row r="1017" spans="1:1" x14ac:dyDescent="0.25">
      <c r="A1017" t="s">
        <v>11771</v>
      </c>
    </row>
    <row r="1018" spans="1:1" x14ac:dyDescent="0.25">
      <c r="A1018" t="s">
        <v>11772</v>
      </c>
    </row>
    <row r="1019" spans="1:1" x14ac:dyDescent="0.25">
      <c r="A1019" t="s">
        <v>11774</v>
      </c>
    </row>
    <row r="1020" spans="1:1" x14ac:dyDescent="0.25">
      <c r="A1020" t="s">
        <v>11775</v>
      </c>
    </row>
    <row r="1021" spans="1:1" x14ac:dyDescent="0.25">
      <c r="A1021" t="s">
        <v>11776</v>
      </c>
    </row>
    <row r="1022" spans="1:1" x14ac:dyDescent="0.25">
      <c r="A1022" t="s">
        <v>11777</v>
      </c>
    </row>
    <row r="1023" spans="1:1" x14ac:dyDescent="0.25">
      <c r="A1023" t="s">
        <v>11778</v>
      </c>
    </row>
    <row r="1024" spans="1:1" x14ac:dyDescent="0.25">
      <c r="A1024" t="s">
        <v>11779</v>
      </c>
    </row>
    <row r="1025" spans="1:1" x14ac:dyDescent="0.25">
      <c r="A1025" t="s">
        <v>11780</v>
      </c>
    </row>
    <row r="1026" spans="1:1" x14ac:dyDescent="0.25">
      <c r="A1026" t="s">
        <v>11781</v>
      </c>
    </row>
    <row r="1027" spans="1:1" x14ac:dyDescent="0.25">
      <c r="A1027" t="s">
        <v>11782</v>
      </c>
    </row>
    <row r="1028" spans="1:1" x14ac:dyDescent="0.25">
      <c r="A1028" t="s">
        <v>11784</v>
      </c>
    </row>
    <row r="1029" spans="1:1" x14ac:dyDescent="0.25">
      <c r="A1029" t="s">
        <v>11785</v>
      </c>
    </row>
    <row r="1030" spans="1:1" x14ac:dyDescent="0.25">
      <c r="A1030" t="s">
        <v>11786</v>
      </c>
    </row>
    <row r="1031" spans="1:1" x14ac:dyDescent="0.25">
      <c r="A1031" t="s">
        <v>11787</v>
      </c>
    </row>
    <row r="1032" spans="1:1" x14ac:dyDescent="0.25">
      <c r="A1032" t="s">
        <v>11788</v>
      </c>
    </row>
    <row r="1033" spans="1:1" x14ac:dyDescent="0.25">
      <c r="A1033" t="s">
        <v>11789</v>
      </c>
    </row>
    <row r="1034" spans="1:1" x14ac:dyDescent="0.25">
      <c r="A1034" t="s">
        <v>11790</v>
      </c>
    </row>
    <row r="1035" spans="1:1" x14ac:dyDescent="0.25">
      <c r="A1035" t="s">
        <v>11791</v>
      </c>
    </row>
    <row r="1036" spans="1:1" x14ac:dyDescent="0.25">
      <c r="A1036" t="s">
        <v>11792</v>
      </c>
    </row>
    <row r="1037" spans="1:1" x14ac:dyDescent="0.25">
      <c r="A1037" t="s">
        <v>11793</v>
      </c>
    </row>
    <row r="1038" spans="1:1" x14ac:dyDescent="0.25">
      <c r="A1038" t="s">
        <v>11794</v>
      </c>
    </row>
    <row r="1039" spans="1:1" x14ac:dyDescent="0.25">
      <c r="A1039" t="s">
        <v>11795</v>
      </c>
    </row>
    <row r="1040" spans="1:1" x14ac:dyDescent="0.25">
      <c r="A1040" t="s">
        <v>11796</v>
      </c>
    </row>
    <row r="1041" spans="1:1" x14ac:dyDescent="0.25">
      <c r="A1041" t="s">
        <v>11797</v>
      </c>
    </row>
    <row r="1042" spans="1:1" x14ac:dyDescent="0.25">
      <c r="A1042" t="s">
        <v>7733</v>
      </c>
    </row>
    <row r="1043" spans="1:1" x14ac:dyDescent="0.25">
      <c r="A1043" t="s">
        <v>11798</v>
      </c>
    </row>
    <row r="1044" spans="1:1" x14ac:dyDescent="0.25">
      <c r="A1044" t="s">
        <v>11801</v>
      </c>
    </row>
    <row r="1045" spans="1:1" x14ac:dyDescent="0.25">
      <c r="A1045" t="s">
        <v>11802</v>
      </c>
    </row>
    <row r="1046" spans="1:1" x14ac:dyDescent="0.25">
      <c r="A1046" t="s">
        <v>11803</v>
      </c>
    </row>
    <row r="1047" spans="1:1" x14ac:dyDescent="0.25">
      <c r="A1047" t="s">
        <v>11804</v>
      </c>
    </row>
    <row r="1048" spans="1:1" x14ac:dyDescent="0.25">
      <c r="A1048" t="s">
        <v>11805</v>
      </c>
    </row>
    <row r="1049" spans="1:1" x14ac:dyDescent="0.25">
      <c r="A1049" t="s">
        <v>11806</v>
      </c>
    </row>
    <row r="1050" spans="1:1" x14ac:dyDescent="0.25">
      <c r="A1050" t="s">
        <v>11808</v>
      </c>
    </row>
    <row r="1051" spans="1:1" x14ac:dyDescent="0.25">
      <c r="A1051" t="s">
        <v>11809</v>
      </c>
    </row>
    <row r="1052" spans="1:1" x14ac:dyDescent="0.25">
      <c r="A1052" t="s">
        <v>11810</v>
      </c>
    </row>
    <row r="1053" spans="1:1" x14ac:dyDescent="0.25">
      <c r="A1053" t="s">
        <v>11811</v>
      </c>
    </row>
    <row r="1054" spans="1:1" x14ac:dyDescent="0.25">
      <c r="A1054" t="s">
        <v>11813</v>
      </c>
    </row>
    <row r="1055" spans="1:1" x14ac:dyDescent="0.25">
      <c r="A1055" t="s">
        <v>11816</v>
      </c>
    </row>
    <row r="1056" spans="1:1" x14ac:dyDescent="0.25">
      <c r="A1056" t="s">
        <v>11817</v>
      </c>
    </row>
    <row r="1057" spans="1:1" x14ac:dyDescent="0.25">
      <c r="A1057" t="s">
        <v>9352</v>
      </c>
    </row>
    <row r="1058" spans="1:1" x14ac:dyDescent="0.25">
      <c r="A1058" t="s">
        <v>8468</v>
      </c>
    </row>
    <row r="1059" spans="1:1" x14ac:dyDescent="0.25">
      <c r="A1059" t="s">
        <v>11818</v>
      </c>
    </row>
    <row r="1060" spans="1:1" x14ac:dyDescent="0.25">
      <c r="A1060" t="s">
        <v>11819</v>
      </c>
    </row>
    <row r="1061" spans="1:1" x14ac:dyDescent="0.25">
      <c r="A1061" t="s">
        <v>11820</v>
      </c>
    </row>
    <row r="1062" spans="1:1" x14ac:dyDescent="0.25">
      <c r="A1062" t="s">
        <v>11821</v>
      </c>
    </row>
    <row r="1063" spans="1:1" x14ac:dyDescent="0.25">
      <c r="A1063" t="s">
        <v>11824</v>
      </c>
    </row>
    <row r="1064" spans="1:1" x14ac:dyDescent="0.25">
      <c r="A1064" t="s">
        <v>11827</v>
      </c>
    </row>
    <row r="1065" spans="1:1" x14ac:dyDescent="0.25">
      <c r="A1065" t="s">
        <v>11831</v>
      </c>
    </row>
    <row r="1066" spans="1:1" x14ac:dyDescent="0.25">
      <c r="A1066" t="s">
        <v>11832</v>
      </c>
    </row>
    <row r="1067" spans="1:1" x14ac:dyDescent="0.25">
      <c r="A1067" t="s">
        <v>11833</v>
      </c>
    </row>
    <row r="1068" spans="1:1" x14ac:dyDescent="0.25">
      <c r="A1068" t="s">
        <v>11834</v>
      </c>
    </row>
    <row r="1069" spans="1:1" x14ac:dyDescent="0.25">
      <c r="A1069" t="s">
        <v>11835</v>
      </c>
    </row>
    <row r="1070" spans="1:1" x14ac:dyDescent="0.25">
      <c r="A1070" t="s">
        <v>11836</v>
      </c>
    </row>
    <row r="1071" spans="1:1" x14ac:dyDescent="0.25">
      <c r="A1071" t="s">
        <v>11837</v>
      </c>
    </row>
    <row r="1072" spans="1:1" x14ac:dyDescent="0.25">
      <c r="A1072" t="s">
        <v>11838</v>
      </c>
    </row>
    <row r="1073" spans="1:1" x14ac:dyDescent="0.25">
      <c r="A1073" t="s">
        <v>11839</v>
      </c>
    </row>
    <row r="1074" spans="1:1" x14ac:dyDescent="0.25">
      <c r="A1074" t="s">
        <v>11840</v>
      </c>
    </row>
    <row r="1075" spans="1:1" x14ac:dyDescent="0.25">
      <c r="A1075" t="s">
        <v>11841</v>
      </c>
    </row>
    <row r="1076" spans="1:1" x14ac:dyDescent="0.25">
      <c r="A1076" t="s">
        <v>11842</v>
      </c>
    </row>
    <row r="1077" spans="1:1" x14ac:dyDescent="0.25">
      <c r="A1077" t="s">
        <v>11843</v>
      </c>
    </row>
    <row r="1078" spans="1:1" x14ac:dyDescent="0.25">
      <c r="A1078" t="s">
        <v>9709</v>
      </c>
    </row>
    <row r="1079" spans="1:1" x14ac:dyDescent="0.25">
      <c r="A1079" t="s">
        <v>11844</v>
      </c>
    </row>
    <row r="1080" spans="1:1" x14ac:dyDescent="0.25">
      <c r="A1080" t="s">
        <v>11845</v>
      </c>
    </row>
    <row r="1081" spans="1:1" x14ac:dyDescent="0.25">
      <c r="A1081" t="s">
        <v>8797</v>
      </c>
    </row>
    <row r="1082" spans="1:1" x14ac:dyDescent="0.25">
      <c r="A1082" t="s">
        <v>11849</v>
      </c>
    </row>
    <row r="1083" spans="1:1" x14ac:dyDescent="0.25">
      <c r="A1083" t="s">
        <v>11850</v>
      </c>
    </row>
    <row r="1084" spans="1:1" x14ac:dyDescent="0.25">
      <c r="A1084" t="s">
        <v>11853</v>
      </c>
    </row>
    <row r="1085" spans="1:1" x14ac:dyDescent="0.25">
      <c r="A1085" t="s">
        <v>11854</v>
      </c>
    </row>
    <row r="1086" spans="1:1" x14ac:dyDescent="0.25">
      <c r="A1086" t="s">
        <v>11856</v>
      </c>
    </row>
    <row r="1087" spans="1:1" x14ac:dyDescent="0.25">
      <c r="A1087" t="s">
        <v>11858</v>
      </c>
    </row>
    <row r="1088" spans="1:1" x14ac:dyDescent="0.25">
      <c r="A1088" t="s">
        <v>11859</v>
      </c>
    </row>
    <row r="1089" spans="1:1" x14ac:dyDescent="0.25">
      <c r="A1089" t="s">
        <v>11860</v>
      </c>
    </row>
    <row r="1090" spans="1:1" x14ac:dyDescent="0.25">
      <c r="A1090" t="s">
        <v>11861</v>
      </c>
    </row>
    <row r="1091" spans="1:1" x14ac:dyDescent="0.25">
      <c r="A1091" t="s">
        <v>11862</v>
      </c>
    </row>
    <row r="1092" spans="1:1" x14ac:dyDescent="0.25">
      <c r="A1092" t="s">
        <v>11863</v>
      </c>
    </row>
    <row r="1093" spans="1:1" x14ac:dyDescent="0.25">
      <c r="A1093" t="s">
        <v>11864</v>
      </c>
    </row>
    <row r="1094" spans="1:1" x14ac:dyDescent="0.25">
      <c r="A1094" t="s">
        <v>11865</v>
      </c>
    </row>
    <row r="1095" spans="1:1" x14ac:dyDescent="0.25">
      <c r="A1095" t="s">
        <v>11866</v>
      </c>
    </row>
    <row r="1096" spans="1:1" x14ac:dyDescent="0.25">
      <c r="A1096" t="s">
        <v>11867</v>
      </c>
    </row>
    <row r="1097" spans="1:1" x14ac:dyDescent="0.25">
      <c r="A1097" t="s">
        <v>11868</v>
      </c>
    </row>
    <row r="1098" spans="1:1" x14ac:dyDescent="0.25">
      <c r="A1098" t="s">
        <v>11870</v>
      </c>
    </row>
    <row r="1099" spans="1:1" x14ac:dyDescent="0.25">
      <c r="A1099" t="s">
        <v>8745</v>
      </c>
    </row>
    <row r="1100" spans="1:1" x14ac:dyDescent="0.25">
      <c r="A1100" t="s">
        <v>11872</v>
      </c>
    </row>
    <row r="1101" spans="1:1" x14ac:dyDescent="0.25">
      <c r="A1101" t="s">
        <v>11874</v>
      </c>
    </row>
    <row r="1102" spans="1:1" x14ac:dyDescent="0.25">
      <c r="A1102" t="s">
        <v>11877</v>
      </c>
    </row>
    <row r="1103" spans="1:1" x14ac:dyDescent="0.25">
      <c r="A1103" t="s">
        <v>11878</v>
      </c>
    </row>
    <row r="1104" spans="1:1" x14ac:dyDescent="0.25">
      <c r="A1104" t="s">
        <v>11879</v>
      </c>
    </row>
    <row r="1105" spans="1:1" x14ac:dyDescent="0.25">
      <c r="A1105" t="s">
        <v>11880</v>
      </c>
    </row>
    <row r="1106" spans="1:1" x14ac:dyDescent="0.25">
      <c r="A1106" t="s">
        <v>11881</v>
      </c>
    </row>
    <row r="1107" spans="1:1" x14ac:dyDescent="0.25">
      <c r="A1107" t="s">
        <v>11882</v>
      </c>
    </row>
    <row r="1108" spans="1:1" x14ac:dyDescent="0.25">
      <c r="A1108" t="s">
        <v>11883</v>
      </c>
    </row>
    <row r="1109" spans="1:1" x14ac:dyDescent="0.25">
      <c r="A1109" t="s">
        <v>11886</v>
      </c>
    </row>
    <row r="1110" spans="1:1" x14ac:dyDescent="0.25">
      <c r="A1110" t="s">
        <v>11887</v>
      </c>
    </row>
    <row r="1111" spans="1:1" x14ac:dyDescent="0.25">
      <c r="A1111" t="s">
        <v>11888</v>
      </c>
    </row>
    <row r="1112" spans="1:1" x14ac:dyDescent="0.25">
      <c r="A1112" t="s">
        <v>11889</v>
      </c>
    </row>
    <row r="1113" spans="1:1" x14ac:dyDescent="0.25">
      <c r="A1113" t="s">
        <v>11890</v>
      </c>
    </row>
    <row r="1114" spans="1:1" x14ac:dyDescent="0.25">
      <c r="A1114" t="s">
        <v>11891</v>
      </c>
    </row>
    <row r="1115" spans="1:1" x14ac:dyDescent="0.25">
      <c r="A1115" t="s">
        <v>11892</v>
      </c>
    </row>
    <row r="1116" spans="1:1" x14ac:dyDescent="0.25">
      <c r="A1116" t="s">
        <v>11893</v>
      </c>
    </row>
    <row r="1117" spans="1:1" x14ac:dyDescent="0.25">
      <c r="A1117" t="s">
        <v>11895</v>
      </c>
    </row>
    <row r="1118" spans="1:1" x14ac:dyDescent="0.25">
      <c r="A1118" t="s">
        <v>11897</v>
      </c>
    </row>
    <row r="1119" spans="1:1" x14ac:dyDescent="0.25">
      <c r="A1119" t="s">
        <v>11898</v>
      </c>
    </row>
    <row r="1120" spans="1:1" x14ac:dyDescent="0.25">
      <c r="A1120" t="s">
        <v>11900</v>
      </c>
    </row>
    <row r="1121" spans="1:1" x14ac:dyDescent="0.25">
      <c r="A1121" t="s">
        <v>11901</v>
      </c>
    </row>
    <row r="1122" spans="1:1" x14ac:dyDescent="0.25">
      <c r="A1122" t="s">
        <v>11902</v>
      </c>
    </row>
    <row r="1123" spans="1:1" x14ac:dyDescent="0.25">
      <c r="A1123" t="s">
        <v>11903</v>
      </c>
    </row>
    <row r="1124" spans="1:1" x14ac:dyDescent="0.25">
      <c r="A1124" t="s">
        <v>11904</v>
      </c>
    </row>
    <row r="1125" spans="1:1" x14ac:dyDescent="0.25">
      <c r="A1125" t="s">
        <v>11905</v>
      </c>
    </row>
    <row r="1126" spans="1:1" x14ac:dyDescent="0.25">
      <c r="A1126" t="s">
        <v>11906</v>
      </c>
    </row>
    <row r="1127" spans="1:1" x14ac:dyDescent="0.25">
      <c r="A1127" t="s">
        <v>11907</v>
      </c>
    </row>
    <row r="1128" spans="1:1" x14ac:dyDescent="0.25">
      <c r="A1128" t="s">
        <v>8484</v>
      </c>
    </row>
    <row r="1129" spans="1:1" x14ac:dyDescent="0.25">
      <c r="A1129" t="s">
        <v>11908</v>
      </c>
    </row>
    <row r="1130" spans="1:1" x14ac:dyDescent="0.25">
      <c r="A1130" t="s">
        <v>11909</v>
      </c>
    </row>
    <row r="1131" spans="1:1" x14ac:dyDescent="0.25">
      <c r="A1131" t="s">
        <v>8801</v>
      </c>
    </row>
    <row r="1132" spans="1:1" x14ac:dyDescent="0.25">
      <c r="A1132" t="s">
        <v>11910</v>
      </c>
    </row>
    <row r="1133" spans="1:1" x14ac:dyDescent="0.25">
      <c r="A1133" t="s">
        <v>11911</v>
      </c>
    </row>
    <row r="1134" spans="1:1" x14ac:dyDescent="0.25">
      <c r="A1134" t="s">
        <v>11912</v>
      </c>
    </row>
    <row r="1135" spans="1:1" x14ac:dyDescent="0.25">
      <c r="A1135" t="s">
        <v>11913</v>
      </c>
    </row>
    <row r="1136" spans="1:1" x14ac:dyDescent="0.25">
      <c r="A1136" t="s">
        <v>11914</v>
      </c>
    </row>
    <row r="1137" spans="1:1" x14ac:dyDescent="0.25">
      <c r="A1137" t="s">
        <v>11915</v>
      </c>
    </row>
    <row r="1138" spans="1:1" x14ac:dyDescent="0.25">
      <c r="A1138" t="s">
        <v>8802</v>
      </c>
    </row>
    <row r="1139" spans="1:1" x14ac:dyDescent="0.25">
      <c r="A1139" t="s">
        <v>11916</v>
      </c>
    </row>
    <row r="1140" spans="1:1" x14ac:dyDescent="0.25">
      <c r="A1140" t="s">
        <v>11917</v>
      </c>
    </row>
    <row r="1141" spans="1:1" x14ac:dyDescent="0.25">
      <c r="A1141" t="s">
        <v>11919</v>
      </c>
    </row>
    <row r="1142" spans="1:1" x14ac:dyDescent="0.25">
      <c r="A1142" t="s">
        <v>11920</v>
      </c>
    </row>
    <row r="1143" spans="1:1" x14ac:dyDescent="0.25">
      <c r="A1143" t="s">
        <v>11921</v>
      </c>
    </row>
    <row r="1144" spans="1:1" x14ac:dyDescent="0.25">
      <c r="A1144" t="s">
        <v>11923</v>
      </c>
    </row>
    <row r="1145" spans="1:1" x14ac:dyDescent="0.25">
      <c r="A1145" t="s">
        <v>11924</v>
      </c>
    </row>
    <row r="1146" spans="1:1" x14ac:dyDescent="0.25">
      <c r="A1146" t="s">
        <v>11925</v>
      </c>
    </row>
    <row r="1147" spans="1:1" x14ac:dyDescent="0.25">
      <c r="A1147" t="s">
        <v>11926</v>
      </c>
    </row>
    <row r="1148" spans="1:1" x14ac:dyDescent="0.25">
      <c r="A1148" t="s">
        <v>9715</v>
      </c>
    </row>
    <row r="1149" spans="1:1" x14ac:dyDescent="0.25">
      <c r="A1149" t="s">
        <v>11929</v>
      </c>
    </row>
    <row r="1150" spans="1:1" x14ac:dyDescent="0.25">
      <c r="A1150" t="s">
        <v>11930</v>
      </c>
    </row>
    <row r="1151" spans="1:1" x14ac:dyDescent="0.25">
      <c r="A1151" t="s">
        <v>11931</v>
      </c>
    </row>
    <row r="1152" spans="1:1" x14ac:dyDescent="0.25">
      <c r="A1152" t="s">
        <v>11932</v>
      </c>
    </row>
    <row r="1153" spans="1:1" x14ac:dyDescent="0.25">
      <c r="A1153" t="s">
        <v>11934</v>
      </c>
    </row>
    <row r="1154" spans="1:1" x14ac:dyDescent="0.25">
      <c r="A1154" t="s">
        <v>9716</v>
      </c>
    </row>
    <row r="1155" spans="1:1" x14ac:dyDescent="0.25">
      <c r="A1155" t="s">
        <v>11938</v>
      </c>
    </row>
    <row r="1156" spans="1:1" x14ac:dyDescent="0.25">
      <c r="A1156" t="s">
        <v>11940</v>
      </c>
    </row>
    <row r="1157" spans="1:1" x14ac:dyDescent="0.25">
      <c r="A1157" t="s">
        <v>11941</v>
      </c>
    </row>
    <row r="1158" spans="1:1" x14ac:dyDescent="0.25">
      <c r="A1158" t="s">
        <v>11942</v>
      </c>
    </row>
    <row r="1159" spans="1:1" x14ac:dyDescent="0.25">
      <c r="A1159" t="s">
        <v>9717</v>
      </c>
    </row>
    <row r="1160" spans="1:1" x14ac:dyDescent="0.25">
      <c r="A1160" t="s">
        <v>11945</v>
      </c>
    </row>
    <row r="1161" spans="1:1" x14ac:dyDescent="0.25">
      <c r="A1161" t="s">
        <v>11946</v>
      </c>
    </row>
    <row r="1162" spans="1:1" x14ac:dyDescent="0.25">
      <c r="A1162" t="s">
        <v>9718</v>
      </c>
    </row>
    <row r="1163" spans="1:1" x14ac:dyDescent="0.25">
      <c r="A1163" t="s">
        <v>11947</v>
      </c>
    </row>
    <row r="1164" spans="1:1" x14ac:dyDescent="0.25">
      <c r="A1164" t="s">
        <v>11948</v>
      </c>
    </row>
    <row r="1165" spans="1:1" x14ac:dyDescent="0.25">
      <c r="A1165" t="s">
        <v>11949</v>
      </c>
    </row>
    <row r="1166" spans="1:1" x14ac:dyDescent="0.25">
      <c r="A1166" t="s">
        <v>11950</v>
      </c>
    </row>
    <row r="1167" spans="1:1" x14ac:dyDescent="0.25">
      <c r="A1167" t="s">
        <v>11951</v>
      </c>
    </row>
    <row r="1168" spans="1:1" x14ac:dyDescent="0.25">
      <c r="A1168" t="s">
        <v>11952</v>
      </c>
    </row>
    <row r="1169" spans="1:1" x14ac:dyDescent="0.25">
      <c r="A1169" t="s">
        <v>7794</v>
      </c>
    </row>
    <row r="1170" spans="1:1" x14ac:dyDescent="0.25">
      <c r="A1170" t="s">
        <v>11953</v>
      </c>
    </row>
    <row r="1171" spans="1:1" x14ac:dyDescent="0.25">
      <c r="A1171" t="s">
        <v>11954</v>
      </c>
    </row>
    <row r="1172" spans="1:1" x14ac:dyDescent="0.25">
      <c r="A1172" t="s">
        <v>11955</v>
      </c>
    </row>
    <row r="1173" spans="1:1" x14ac:dyDescent="0.25">
      <c r="A1173" t="s">
        <v>8494</v>
      </c>
    </row>
    <row r="1174" spans="1:1" x14ac:dyDescent="0.25">
      <c r="A1174" t="s">
        <v>7795</v>
      </c>
    </row>
    <row r="1175" spans="1:1" x14ac:dyDescent="0.25">
      <c r="A1175" t="s">
        <v>11957</v>
      </c>
    </row>
    <row r="1176" spans="1:1" x14ac:dyDescent="0.25">
      <c r="A1176" t="s">
        <v>11958</v>
      </c>
    </row>
    <row r="1177" spans="1:1" x14ac:dyDescent="0.25">
      <c r="A1177" t="s">
        <v>11959</v>
      </c>
    </row>
    <row r="1178" spans="1:1" x14ac:dyDescent="0.25">
      <c r="A1178" t="s">
        <v>11960</v>
      </c>
    </row>
    <row r="1179" spans="1:1" x14ac:dyDescent="0.25">
      <c r="A1179" t="s">
        <v>11961</v>
      </c>
    </row>
    <row r="1180" spans="1:1" x14ac:dyDescent="0.25">
      <c r="A1180" t="s">
        <v>11962</v>
      </c>
    </row>
    <row r="1181" spans="1:1" x14ac:dyDescent="0.25">
      <c r="A1181" t="s">
        <v>11963</v>
      </c>
    </row>
    <row r="1182" spans="1:1" x14ac:dyDescent="0.25">
      <c r="A1182" t="s">
        <v>11964</v>
      </c>
    </row>
    <row r="1183" spans="1:1" x14ac:dyDescent="0.25">
      <c r="A1183" t="s">
        <v>11967</v>
      </c>
    </row>
    <row r="1184" spans="1:1" x14ac:dyDescent="0.25">
      <c r="A1184" t="s">
        <v>11968</v>
      </c>
    </row>
    <row r="1185" spans="1:1" x14ac:dyDescent="0.25">
      <c r="A1185" t="s">
        <v>11969</v>
      </c>
    </row>
    <row r="1186" spans="1:1" x14ac:dyDescent="0.25">
      <c r="A1186" t="s">
        <v>11970</v>
      </c>
    </row>
    <row r="1187" spans="1:1" x14ac:dyDescent="0.25">
      <c r="A1187" t="s">
        <v>8804</v>
      </c>
    </row>
    <row r="1188" spans="1:1" x14ac:dyDescent="0.25">
      <c r="A1188" t="s">
        <v>11971</v>
      </c>
    </row>
    <row r="1189" spans="1:1" x14ac:dyDescent="0.25">
      <c r="A1189" t="s">
        <v>11972</v>
      </c>
    </row>
    <row r="1190" spans="1:1" x14ac:dyDescent="0.25">
      <c r="A1190" t="s">
        <v>11973</v>
      </c>
    </row>
    <row r="1191" spans="1:1" x14ac:dyDescent="0.25">
      <c r="A1191" t="s">
        <v>11974</v>
      </c>
    </row>
    <row r="1192" spans="1:1" x14ac:dyDescent="0.25">
      <c r="A1192" t="s">
        <v>11975</v>
      </c>
    </row>
    <row r="1193" spans="1:1" x14ac:dyDescent="0.25">
      <c r="A1193" t="s">
        <v>11976</v>
      </c>
    </row>
    <row r="1194" spans="1:1" x14ac:dyDescent="0.25">
      <c r="A1194" t="s">
        <v>11977</v>
      </c>
    </row>
    <row r="1195" spans="1:1" x14ac:dyDescent="0.25">
      <c r="A1195" t="s">
        <v>11979</v>
      </c>
    </row>
    <row r="1196" spans="1:1" x14ac:dyDescent="0.25">
      <c r="A1196" t="s">
        <v>11980</v>
      </c>
    </row>
    <row r="1197" spans="1:1" x14ac:dyDescent="0.25">
      <c r="A1197" t="s">
        <v>11981</v>
      </c>
    </row>
    <row r="1198" spans="1:1" x14ac:dyDescent="0.25">
      <c r="A1198" t="s">
        <v>11982</v>
      </c>
    </row>
    <row r="1199" spans="1:1" x14ac:dyDescent="0.25">
      <c r="A1199" t="s">
        <v>11983</v>
      </c>
    </row>
    <row r="1200" spans="1:1" x14ac:dyDescent="0.25">
      <c r="A1200" t="s">
        <v>11984</v>
      </c>
    </row>
    <row r="1201" spans="1:1" x14ac:dyDescent="0.25">
      <c r="A1201" t="s">
        <v>11985</v>
      </c>
    </row>
    <row r="1202" spans="1:1" x14ac:dyDescent="0.25">
      <c r="A1202" t="s">
        <v>11986</v>
      </c>
    </row>
    <row r="1203" spans="1:1" x14ac:dyDescent="0.25">
      <c r="A1203" t="s">
        <v>11987</v>
      </c>
    </row>
    <row r="1204" spans="1:1" x14ac:dyDescent="0.25">
      <c r="A1204" t="s">
        <v>11991</v>
      </c>
    </row>
    <row r="1205" spans="1:1" x14ac:dyDescent="0.25">
      <c r="A1205" t="s">
        <v>11992</v>
      </c>
    </row>
    <row r="1206" spans="1:1" x14ac:dyDescent="0.25">
      <c r="A1206" t="s">
        <v>8502</v>
      </c>
    </row>
    <row r="1207" spans="1:1" x14ac:dyDescent="0.25">
      <c r="A1207" t="s">
        <v>11995</v>
      </c>
    </row>
    <row r="1208" spans="1:1" x14ac:dyDescent="0.25">
      <c r="A1208" t="s">
        <v>11996</v>
      </c>
    </row>
    <row r="1209" spans="1:1" x14ac:dyDescent="0.25">
      <c r="A1209" t="s">
        <v>11997</v>
      </c>
    </row>
    <row r="1210" spans="1:1" x14ac:dyDescent="0.25">
      <c r="A1210" t="s">
        <v>11998</v>
      </c>
    </row>
    <row r="1211" spans="1:1" x14ac:dyDescent="0.25">
      <c r="A1211" t="s">
        <v>11999</v>
      </c>
    </row>
    <row r="1212" spans="1:1" x14ac:dyDescent="0.25">
      <c r="A1212" t="s">
        <v>12000</v>
      </c>
    </row>
    <row r="1213" spans="1:1" x14ac:dyDescent="0.25">
      <c r="A1213" t="s">
        <v>12001</v>
      </c>
    </row>
    <row r="1214" spans="1:1" x14ac:dyDescent="0.25">
      <c r="A1214" t="s">
        <v>12002</v>
      </c>
    </row>
    <row r="1215" spans="1:1" x14ac:dyDescent="0.25">
      <c r="A1215" t="s">
        <v>12003</v>
      </c>
    </row>
    <row r="1216" spans="1:1" x14ac:dyDescent="0.25">
      <c r="A1216" t="s">
        <v>12004</v>
      </c>
    </row>
    <row r="1217" spans="1:1" x14ac:dyDescent="0.25">
      <c r="A1217" t="s">
        <v>12005</v>
      </c>
    </row>
    <row r="1218" spans="1:1" x14ac:dyDescent="0.25">
      <c r="A1218" t="s">
        <v>8506</v>
      </c>
    </row>
    <row r="1219" spans="1:1" x14ac:dyDescent="0.25">
      <c r="A1219" t="s">
        <v>12007</v>
      </c>
    </row>
    <row r="1220" spans="1:1" x14ac:dyDescent="0.25">
      <c r="A1220" t="s">
        <v>12009</v>
      </c>
    </row>
    <row r="1221" spans="1:1" x14ac:dyDescent="0.25">
      <c r="A1221" t="s">
        <v>12010</v>
      </c>
    </row>
    <row r="1222" spans="1:1" x14ac:dyDescent="0.25">
      <c r="A1222" t="s">
        <v>12011</v>
      </c>
    </row>
    <row r="1223" spans="1:1" x14ac:dyDescent="0.25">
      <c r="A1223" t="s">
        <v>12013</v>
      </c>
    </row>
    <row r="1224" spans="1:1" x14ac:dyDescent="0.25">
      <c r="A1224" t="s">
        <v>12015</v>
      </c>
    </row>
    <row r="1225" spans="1:1" x14ac:dyDescent="0.25">
      <c r="A1225" t="s">
        <v>12016</v>
      </c>
    </row>
    <row r="1226" spans="1:1" x14ac:dyDescent="0.25">
      <c r="A1226" t="s">
        <v>12017</v>
      </c>
    </row>
    <row r="1227" spans="1:1" x14ac:dyDescent="0.25">
      <c r="A1227" t="s">
        <v>12018</v>
      </c>
    </row>
    <row r="1228" spans="1:1" x14ac:dyDescent="0.25">
      <c r="A1228" t="s">
        <v>12019</v>
      </c>
    </row>
    <row r="1229" spans="1:1" x14ac:dyDescent="0.25">
      <c r="A1229" t="s">
        <v>12021</v>
      </c>
    </row>
    <row r="1230" spans="1:1" x14ac:dyDescent="0.25">
      <c r="A1230" t="s">
        <v>12023</v>
      </c>
    </row>
    <row r="1231" spans="1:1" x14ac:dyDescent="0.25">
      <c r="A1231" t="s">
        <v>8807</v>
      </c>
    </row>
    <row r="1232" spans="1:1" x14ac:dyDescent="0.25">
      <c r="A1232" t="s">
        <v>12024</v>
      </c>
    </row>
    <row r="1233" spans="1:1" x14ac:dyDescent="0.25">
      <c r="A1233" t="s">
        <v>12026</v>
      </c>
    </row>
    <row r="1234" spans="1:1" x14ac:dyDescent="0.25">
      <c r="A1234" t="s">
        <v>12028</v>
      </c>
    </row>
    <row r="1235" spans="1:1" x14ac:dyDescent="0.25">
      <c r="A1235" t="s">
        <v>12029</v>
      </c>
    </row>
    <row r="1236" spans="1:1" x14ac:dyDescent="0.25">
      <c r="A1236" t="s">
        <v>12030</v>
      </c>
    </row>
    <row r="1237" spans="1:1" x14ac:dyDescent="0.25">
      <c r="A1237" t="s">
        <v>12031</v>
      </c>
    </row>
    <row r="1238" spans="1:1" x14ac:dyDescent="0.25">
      <c r="A1238" t="s">
        <v>8808</v>
      </c>
    </row>
    <row r="1239" spans="1:1" x14ac:dyDescent="0.25">
      <c r="A1239" t="s">
        <v>12032</v>
      </c>
    </row>
    <row r="1240" spans="1:1" x14ac:dyDescent="0.25">
      <c r="A1240" t="s">
        <v>12033</v>
      </c>
    </row>
    <row r="1241" spans="1:1" x14ac:dyDescent="0.25">
      <c r="A1241" t="s">
        <v>12036</v>
      </c>
    </row>
    <row r="1242" spans="1:1" x14ac:dyDescent="0.25">
      <c r="A1242" t="s">
        <v>12037</v>
      </c>
    </row>
    <row r="1243" spans="1:1" x14ac:dyDescent="0.25">
      <c r="A1243" t="s">
        <v>12038</v>
      </c>
    </row>
    <row r="1244" spans="1:1" x14ac:dyDescent="0.25">
      <c r="A1244" t="s">
        <v>9724</v>
      </c>
    </row>
    <row r="1245" spans="1:1" x14ac:dyDescent="0.25">
      <c r="A1245" t="s">
        <v>12041</v>
      </c>
    </row>
    <row r="1246" spans="1:1" x14ac:dyDescent="0.25">
      <c r="A1246" t="s">
        <v>12042</v>
      </c>
    </row>
    <row r="1247" spans="1:1" x14ac:dyDescent="0.25">
      <c r="A1247" t="s">
        <v>12043</v>
      </c>
    </row>
    <row r="1248" spans="1:1" x14ac:dyDescent="0.25">
      <c r="A1248" t="s">
        <v>7826</v>
      </c>
    </row>
    <row r="1249" spans="1:1" x14ac:dyDescent="0.25">
      <c r="A1249" t="s">
        <v>8514</v>
      </c>
    </row>
    <row r="1250" spans="1:1" x14ac:dyDescent="0.25">
      <c r="A1250" t="s">
        <v>12044</v>
      </c>
    </row>
    <row r="1251" spans="1:1" x14ac:dyDescent="0.25">
      <c r="A1251" t="s">
        <v>12045</v>
      </c>
    </row>
    <row r="1252" spans="1:1" x14ac:dyDescent="0.25">
      <c r="A1252" t="s">
        <v>12046</v>
      </c>
    </row>
    <row r="1253" spans="1:1" x14ac:dyDescent="0.25">
      <c r="A1253" t="s">
        <v>12048</v>
      </c>
    </row>
    <row r="1254" spans="1:1" x14ac:dyDescent="0.25">
      <c r="A1254" t="s">
        <v>12049</v>
      </c>
    </row>
    <row r="1255" spans="1:1" x14ac:dyDescent="0.25">
      <c r="A1255" t="s">
        <v>12050</v>
      </c>
    </row>
    <row r="1256" spans="1:1" x14ac:dyDescent="0.25">
      <c r="A1256" t="s">
        <v>12051</v>
      </c>
    </row>
    <row r="1257" spans="1:1" x14ac:dyDescent="0.25">
      <c r="A1257" t="s">
        <v>12052</v>
      </c>
    </row>
    <row r="1258" spans="1:1" x14ac:dyDescent="0.25">
      <c r="A1258" t="s">
        <v>12053</v>
      </c>
    </row>
    <row r="1259" spans="1:1" x14ac:dyDescent="0.25">
      <c r="A1259" t="s">
        <v>12054</v>
      </c>
    </row>
    <row r="1260" spans="1:1" x14ac:dyDescent="0.25">
      <c r="A1260" t="s">
        <v>12055</v>
      </c>
    </row>
    <row r="1261" spans="1:1" x14ac:dyDescent="0.25">
      <c r="A1261" t="s">
        <v>12056</v>
      </c>
    </row>
    <row r="1262" spans="1:1" x14ac:dyDescent="0.25">
      <c r="A1262" t="s">
        <v>12057</v>
      </c>
    </row>
    <row r="1263" spans="1:1" x14ac:dyDescent="0.25">
      <c r="A1263" t="s">
        <v>12058</v>
      </c>
    </row>
    <row r="1264" spans="1:1" x14ac:dyDescent="0.25">
      <c r="A1264" t="s">
        <v>12059</v>
      </c>
    </row>
    <row r="1265" spans="1:1" x14ac:dyDescent="0.25">
      <c r="A1265" t="s">
        <v>12060</v>
      </c>
    </row>
    <row r="1266" spans="1:1" x14ac:dyDescent="0.25">
      <c r="A1266" t="s">
        <v>12061</v>
      </c>
    </row>
    <row r="1267" spans="1:1" x14ac:dyDescent="0.25">
      <c r="A1267" t="s">
        <v>8521</v>
      </c>
    </row>
    <row r="1268" spans="1:1" x14ac:dyDescent="0.25">
      <c r="A1268" t="s">
        <v>12062</v>
      </c>
    </row>
    <row r="1269" spans="1:1" x14ac:dyDescent="0.25">
      <c r="A1269" t="s">
        <v>12063</v>
      </c>
    </row>
    <row r="1270" spans="1:1" x14ac:dyDescent="0.25">
      <c r="A1270" t="s">
        <v>12064</v>
      </c>
    </row>
    <row r="1271" spans="1:1" x14ac:dyDescent="0.25">
      <c r="A1271" t="s">
        <v>8522</v>
      </c>
    </row>
    <row r="1272" spans="1:1" x14ac:dyDescent="0.25">
      <c r="A1272" t="s">
        <v>7834</v>
      </c>
    </row>
    <row r="1273" spans="1:1" x14ac:dyDescent="0.25">
      <c r="A1273" t="s">
        <v>12069</v>
      </c>
    </row>
    <row r="1274" spans="1:1" x14ac:dyDescent="0.25">
      <c r="A1274" t="s">
        <v>12070</v>
      </c>
    </row>
    <row r="1275" spans="1:1" x14ac:dyDescent="0.25">
      <c r="A1275" t="s">
        <v>12071</v>
      </c>
    </row>
    <row r="1276" spans="1:1" x14ac:dyDescent="0.25">
      <c r="A1276" t="s">
        <v>12072</v>
      </c>
    </row>
    <row r="1277" spans="1:1" x14ac:dyDescent="0.25">
      <c r="A1277" t="s">
        <v>12073</v>
      </c>
    </row>
    <row r="1278" spans="1:1" x14ac:dyDescent="0.25">
      <c r="A1278" t="s">
        <v>12074</v>
      </c>
    </row>
    <row r="1279" spans="1:1" x14ac:dyDescent="0.25">
      <c r="A1279" t="s">
        <v>7835</v>
      </c>
    </row>
    <row r="1280" spans="1:1" x14ac:dyDescent="0.25">
      <c r="A1280" t="s">
        <v>12076</v>
      </c>
    </row>
    <row r="1281" spans="1:1" x14ac:dyDescent="0.25">
      <c r="A1281" t="s">
        <v>12077</v>
      </c>
    </row>
    <row r="1282" spans="1:1" x14ac:dyDescent="0.25">
      <c r="A1282" t="s">
        <v>12078</v>
      </c>
    </row>
    <row r="1283" spans="1:1" x14ac:dyDescent="0.25">
      <c r="A1283" t="s">
        <v>12079</v>
      </c>
    </row>
    <row r="1284" spans="1:1" x14ac:dyDescent="0.25">
      <c r="A1284" t="s">
        <v>12080</v>
      </c>
    </row>
    <row r="1285" spans="1:1" x14ac:dyDescent="0.25">
      <c r="A1285" t="s">
        <v>12081</v>
      </c>
    </row>
    <row r="1286" spans="1:1" x14ac:dyDescent="0.25">
      <c r="A1286" t="s">
        <v>12084</v>
      </c>
    </row>
    <row r="1287" spans="1:1" x14ac:dyDescent="0.25">
      <c r="A1287" t="s">
        <v>12085</v>
      </c>
    </row>
    <row r="1288" spans="1:1" x14ac:dyDescent="0.25">
      <c r="A1288" t="s">
        <v>12086</v>
      </c>
    </row>
    <row r="1289" spans="1:1" x14ac:dyDescent="0.25">
      <c r="A1289" t="s">
        <v>12088</v>
      </c>
    </row>
    <row r="1290" spans="1:1" x14ac:dyDescent="0.25">
      <c r="A1290" t="s">
        <v>12089</v>
      </c>
    </row>
    <row r="1291" spans="1:1" x14ac:dyDescent="0.25">
      <c r="A1291" t="s">
        <v>12090</v>
      </c>
    </row>
    <row r="1292" spans="1:1" x14ac:dyDescent="0.25">
      <c r="A1292" t="s">
        <v>12091</v>
      </c>
    </row>
    <row r="1293" spans="1:1" x14ac:dyDescent="0.25">
      <c r="A1293" t="s">
        <v>12092</v>
      </c>
    </row>
    <row r="1294" spans="1:1" x14ac:dyDescent="0.25">
      <c r="A1294" t="s">
        <v>12093</v>
      </c>
    </row>
    <row r="1295" spans="1:1" x14ac:dyDescent="0.25">
      <c r="A1295" t="s">
        <v>12094</v>
      </c>
    </row>
    <row r="1296" spans="1:1" x14ac:dyDescent="0.25">
      <c r="A1296" t="s">
        <v>7844</v>
      </c>
    </row>
    <row r="1297" spans="1:1" x14ac:dyDescent="0.25">
      <c r="A1297" t="s">
        <v>12096</v>
      </c>
    </row>
    <row r="1298" spans="1:1" x14ac:dyDescent="0.25">
      <c r="A1298" t="s">
        <v>12097</v>
      </c>
    </row>
    <row r="1299" spans="1:1" x14ac:dyDescent="0.25">
      <c r="A1299" t="s">
        <v>12099</v>
      </c>
    </row>
    <row r="1300" spans="1:1" x14ac:dyDescent="0.25">
      <c r="A1300" t="s">
        <v>8810</v>
      </c>
    </row>
    <row r="1301" spans="1:1" x14ac:dyDescent="0.25">
      <c r="A1301" t="s">
        <v>12100</v>
      </c>
    </row>
    <row r="1302" spans="1:1" x14ac:dyDescent="0.25">
      <c r="A1302" t="s">
        <v>12101</v>
      </c>
    </row>
    <row r="1303" spans="1:1" x14ac:dyDescent="0.25">
      <c r="A1303" t="s">
        <v>12103</v>
      </c>
    </row>
    <row r="1304" spans="1:1" x14ac:dyDescent="0.25">
      <c r="A1304" t="s">
        <v>12105</v>
      </c>
    </row>
    <row r="1305" spans="1:1" x14ac:dyDescent="0.25">
      <c r="A1305" t="s">
        <v>12106</v>
      </c>
    </row>
    <row r="1306" spans="1:1" x14ac:dyDescent="0.25">
      <c r="A1306" t="s">
        <v>12107</v>
      </c>
    </row>
    <row r="1307" spans="1:1" x14ac:dyDescent="0.25">
      <c r="A1307" t="s">
        <v>12108</v>
      </c>
    </row>
    <row r="1308" spans="1:1" x14ac:dyDescent="0.25">
      <c r="A1308" t="s">
        <v>12109</v>
      </c>
    </row>
    <row r="1309" spans="1:1" x14ac:dyDescent="0.25">
      <c r="A1309" t="s">
        <v>12110</v>
      </c>
    </row>
    <row r="1310" spans="1:1" x14ac:dyDescent="0.25">
      <c r="A1310" t="s">
        <v>12111</v>
      </c>
    </row>
    <row r="1311" spans="1:1" x14ac:dyDescent="0.25">
      <c r="A1311" t="s">
        <v>12112</v>
      </c>
    </row>
    <row r="1312" spans="1:1" x14ac:dyDescent="0.25">
      <c r="A1312" t="s">
        <v>12114</v>
      </c>
    </row>
    <row r="1313" spans="1:1" x14ac:dyDescent="0.25">
      <c r="A1313" t="s">
        <v>12116</v>
      </c>
    </row>
    <row r="1314" spans="1:1" x14ac:dyDescent="0.25">
      <c r="A1314" t="s">
        <v>12117</v>
      </c>
    </row>
    <row r="1315" spans="1:1" x14ac:dyDescent="0.25">
      <c r="A1315" t="s">
        <v>12118</v>
      </c>
    </row>
    <row r="1316" spans="1:1" x14ac:dyDescent="0.25">
      <c r="A1316" t="s">
        <v>12119</v>
      </c>
    </row>
    <row r="1317" spans="1:1" x14ac:dyDescent="0.25">
      <c r="A1317" t="s">
        <v>12121</v>
      </c>
    </row>
    <row r="1318" spans="1:1" x14ac:dyDescent="0.25">
      <c r="A1318" t="s">
        <v>12122</v>
      </c>
    </row>
    <row r="1319" spans="1:1" x14ac:dyDescent="0.25">
      <c r="A1319" t="s">
        <v>12124</v>
      </c>
    </row>
    <row r="1320" spans="1:1" x14ac:dyDescent="0.25">
      <c r="A1320" t="s">
        <v>12125</v>
      </c>
    </row>
    <row r="1321" spans="1:1" x14ac:dyDescent="0.25">
      <c r="A1321" t="s">
        <v>9732</v>
      </c>
    </row>
    <row r="1322" spans="1:1" x14ac:dyDescent="0.25">
      <c r="A1322" t="s">
        <v>12126</v>
      </c>
    </row>
    <row r="1323" spans="1:1" x14ac:dyDescent="0.25">
      <c r="A1323" t="s">
        <v>9410</v>
      </c>
    </row>
    <row r="1324" spans="1:1" x14ac:dyDescent="0.25">
      <c r="A1324" t="s">
        <v>12127</v>
      </c>
    </row>
    <row r="1325" spans="1:1" x14ac:dyDescent="0.25">
      <c r="A1325" t="s">
        <v>12128</v>
      </c>
    </row>
    <row r="1326" spans="1:1" x14ac:dyDescent="0.25">
      <c r="A1326" t="s">
        <v>12129</v>
      </c>
    </row>
    <row r="1327" spans="1:1" x14ac:dyDescent="0.25">
      <c r="A1327" t="s">
        <v>12130</v>
      </c>
    </row>
    <row r="1328" spans="1:1" x14ac:dyDescent="0.25">
      <c r="A1328" t="s">
        <v>12131</v>
      </c>
    </row>
    <row r="1329" spans="1:1" x14ac:dyDescent="0.25">
      <c r="A1329" t="s">
        <v>8539</v>
      </c>
    </row>
    <row r="1330" spans="1:1" x14ac:dyDescent="0.25">
      <c r="A1330" t="s">
        <v>12132</v>
      </c>
    </row>
    <row r="1331" spans="1:1" x14ac:dyDescent="0.25">
      <c r="A1331" t="s">
        <v>12134</v>
      </c>
    </row>
    <row r="1332" spans="1:1" x14ac:dyDescent="0.25">
      <c r="A1332" t="s">
        <v>12135</v>
      </c>
    </row>
    <row r="1333" spans="1:1" x14ac:dyDescent="0.25">
      <c r="A1333" t="s">
        <v>12136</v>
      </c>
    </row>
    <row r="1334" spans="1:1" x14ac:dyDescent="0.25">
      <c r="A1334" t="s">
        <v>8813</v>
      </c>
    </row>
    <row r="1335" spans="1:1" x14ac:dyDescent="0.25">
      <c r="A1335" t="s">
        <v>12137</v>
      </c>
    </row>
    <row r="1336" spans="1:1" x14ac:dyDescent="0.25">
      <c r="A1336" t="s">
        <v>12138</v>
      </c>
    </row>
    <row r="1337" spans="1:1" x14ac:dyDescent="0.25">
      <c r="A1337" t="s">
        <v>12139</v>
      </c>
    </row>
    <row r="1338" spans="1:1" x14ac:dyDescent="0.25">
      <c r="A1338" t="s">
        <v>12140</v>
      </c>
    </row>
    <row r="1339" spans="1:1" x14ac:dyDescent="0.25">
      <c r="A1339" t="s">
        <v>12141</v>
      </c>
    </row>
    <row r="1340" spans="1:1" x14ac:dyDescent="0.25">
      <c r="A1340" t="s">
        <v>12142</v>
      </c>
    </row>
    <row r="1341" spans="1:1" x14ac:dyDescent="0.25">
      <c r="A1341" t="s">
        <v>8750</v>
      </c>
    </row>
    <row r="1342" spans="1:1" x14ac:dyDescent="0.25">
      <c r="A1342" t="s">
        <v>12144</v>
      </c>
    </row>
    <row r="1343" spans="1:1" x14ac:dyDescent="0.25">
      <c r="A1343" t="s">
        <v>12145</v>
      </c>
    </row>
    <row r="1344" spans="1:1" x14ac:dyDescent="0.25">
      <c r="A1344" t="s">
        <v>9737</v>
      </c>
    </row>
    <row r="1345" spans="1:1" x14ac:dyDescent="0.25">
      <c r="A1345" t="s">
        <v>12148</v>
      </c>
    </row>
    <row r="1346" spans="1:1" x14ac:dyDescent="0.25">
      <c r="A1346" t="s">
        <v>9738</v>
      </c>
    </row>
    <row r="1347" spans="1:1" x14ac:dyDescent="0.25">
      <c r="A1347" t="s">
        <v>12149</v>
      </c>
    </row>
    <row r="1348" spans="1:1" x14ac:dyDescent="0.25">
      <c r="A1348" t="s">
        <v>12150</v>
      </c>
    </row>
    <row r="1349" spans="1:1" x14ac:dyDescent="0.25">
      <c r="A1349" t="s">
        <v>12152</v>
      </c>
    </row>
    <row r="1350" spans="1:1" x14ac:dyDescent="0.25">
      <c r="A1350" t="s">
        <v>12153</v>
      </c>
    </row>
    <row r="1351" spans="1:1" x14ac:dyDescent="0.25">
      <c r="A1351" t="s">
        <v>9421</v>
      </c>
    </row>
    <row r="1352" spans="1:1" x14ac:dyDescent="0.25">
      <c r="A1352" t="s">
        <v>12154</v>
      </c>
    </row>
    <row r="1353" spans="1:1" x14ac:dyDescent="0.25">
      <c r="A1353" t="s">
        <v>12155</v>
      </c>
    </row>
    <row r="1354" spans="1:1" x14ac:dyDescent="0.25">
      <c r="A1354" t="s">
        <v>12157</v>
      </c>
    </row>
    <row r="1355" spans="1:1" x14ac:dyDescent="0.25">
      <c r="A1355" t="s">
        <v>12158</v>
      </c>
    </row>
    <row r="1356" spans="1:1" x14ac:dyDescent="0.25">
      <c r="A1356" t="s">
        <v>12159</v>
      </c>
    </row>
    <row r="1357" spans="1:1" x14ac:dyDescent="0.25">
      <c r="A1357" t="s">
        <v>12160</v>
      </c>
    </row>
    <row r="1358" spans="1:1" x14ac:dyDescent="0.25">
      <c r="A1358" t="s">
        <v>12161</v>
      </c>
    </row>
    <row r="1359" spans="1:1" x14ac:dyDescent="0.25">
      <c r="A1359" t="s">
        <v>12162</v>
      </c>
    </row>
    <row r="1360" spans="1:1" x14ac:dyDescent="0.25">
      <c r="A1360" t="s">
        <v>12163</v>
      </c>
    </row>
    <row r="1361" spans="1:1" x14ac:dyDescent="0.25">
      <c r="A1361" t="s">
        <v>12164</v>
      </c>
    </row>
    <row r="1362" spans="1:1" x14ac:dyDescent="0.25">
      <c r="A1362" t="s">
        <v>12165</v>
      </c>
    </row>
    <row r="1363" spans="1:1" x14ac:dyDescent="0.25">
      <c r="A1363" t="s">
        <v>7876</v>
      </c>
    </row>
    <row r="1364" spans="1:1" x14ac:dyDescent="0.25">
      <c r="A1364" t="s">
        <v>12166</v>
      </c>
    </row>
    <row r="1365" spans="1:1" x14ac:dyDescent="0.25">
      <c r="A1365" t="s">
        <v>12167</v>
      </c>
    </row>
    <row r="1366" spans="1:1" x14ac:dyDescent="0.25">
      <c r="A1366" t="s">
        <v>12168</v>
      </c>
    </row>
    <row r="1367" spans="1:1" x14ac:dyDescent="0.25">
      <c r="A1367" t="s">
        <v>12169</v>
      </c>
    </row>
    <row r="1368" spans="1:1" x14ac:dyDescent="0.25">
      <c r="A1368" t="s">
        <v>12170</v>
      </c>
    </row>
    <row r="1369" spans="1:1" x14ac:dyDescent="0.25">
      <c r="A1369" t="s">
        <v>12171</v>
      </c>
    </row>
    <row r="1370" spans="1:1" x14ac:dyDescent="0.25">
      <c r="A1370" t="s">
        <v>12172</v>
      </c>
    </row>
    <row r="1371" spans="1:1" x14ac:dyDescent="0.25">
      <c r="A1371" t="s">
        <v>12173</v>
      </c>
    </row>
    <row r="1372" spans="1:1" x14ac:dyDescent="0.25">
      <c r="A1372" t="s">
        <v>12174</v>
      </c>
    </row>
    <row r="1373" spans="1:1" x14ac:dyDescent="0.25">
      <c r="A1373" t="s">
        <v>7878</v>
      </c>
    </row>
    <row r="1374" spans="1:1" x14ac:dyDescent="0.25">
      <c r="A1374" t="s">
        <v>12176</v>
      </c>
    </row>
    <row r="1375" spans="1:1" x14ac:dyDescent="0.25">
      <c r="A1375" t="s">
        <v>12177</v>
      </c>
    </row>
    <row r="1376" spans="1:1" x14ac:dyDescent="0.25">
      <c r="A1376" t="s">
        <v>12178</v>
      </c>
    </row>
    <row r="1377" spans="1:1" x14ac:dyDescent="0.25">
      <c r="A1377" t="s">
        <v>12179</v>
      </c>
    </row>
    <row r="1378" spans="1:1" x14ac:dyDescent="0.25">
      <c r="A1378" t="s">
        <v>12180</v>
      </c>
    </row>
    <row r="1379" spans="1:1" x14ac:dyDescent="0.25">
      <c r="A1379" t="s">
        <v>12181</v>
      </c>
    </row>
    <row r="1380" spans="1:1" x14ac:dyDescent="0.25">
      <c r="A1380" t="s">
        <v>12182</v>
      </c>
    </row>
    <row r="1381" spans="1:1" x14ac:dyDescent="0.25">
      <c r="A1381" t="s">
        <v>12183</v>
      </c>
    </row>
    <row r="1382" spans="1:1" x14ac:dyDescent="0.25">
      <c r="A1382" t="s">
        <v>12184</v>
      </c>
    </row>
    <row r="1383" spans="1:1" x14ac:dyDescent="0.25">
      <c r="A1383" t="s">
        <v>12185</v>
      </c>
    </row>
    <row r="1384" spans="1:1" x14ac:dyDescent="0.25">
      <c r="A1384" t="s">
        <v>12188</v>
      </c>
    </row>
    <row r="1385" spans="1:1" x14ac:dyDescent="0.25">
      <c r="A1385" t="s">
        <v>9741</v>
      </c>
    </row>
    <row r="1386" spans="1:1" x14ac:dyDescent="0.25">
      <c r="A1386" t="s">
        <v>12189</v>
      </c>
    </row>
    <row r="1387" spans="1:1" x14ac:dyDescent="0.25">
      <c r="A1387" t="s">
        <v>12190</v>
      </c>
    </row>
    <row r="1388" spans="1:1" x14ac:dyDescent="0.25">
      <c r="A1388" t="s">
        <v>12191</v>
      </c>
    </row>
    <row r="1389" spans="1:1" x14ac:dyDescent="0.25">
      <c r="A1389" t="s">
        <v>12192</v>
      </c>
    </row>
    <row r="1390" spans="1:1" x14ac:dyDescent="0.25">
      <c r="A1390" t="s">
        <v>12194</v>
      </c>
    </row>
    <row r="1391" spans="1:1" x14ac:dyDescent="0.25">
      <c r="A1391" t="s">
        <v>12195</v>
      </c>
    </row>
    <row r="1392" spans="1:1" x14ac:dyDescent="0.25">
      <c r="A1392" t="s">
        <v>12196</v>
      </c>
    </row>
    <row r="1393" spans="1:1" x14ac:dyDescent="0.25">
      <c r="A1393" t="s">
        <v>12197</v>
      </c>
    </row>
    <row r="1394" spans="1:1" x14ac:dyDescent="0.25">
      <c r="A1394" t="s">
        <v>12198</v>
      </c>
    </row>
    <row r="1395" spans="1:1" x14ac:dyDescent="0.25">
      <c r="A1395" t="s">
        <v>12199</v>
      </c>
    </row>
    <row r="1396" spans="1:1" x14ac:dyDescent="0.25">
      <c r="A1396" t="s">
        <v>12200</v>
      </c>
    </row>
    <row r="1397" spans="1:1" x14ac:dyDescent="0.25">
      <c r="A1397" t="s">
        <v>12201</v>
      </c>
    </row>
    <row r="1398" spans="1:1" x14ac:dyDescent="0.25">
      <c r="A1398" t="s">
        <v>12203</v>
      </c>
    </row>
    <row r="1399" spans="1:1" x14ac:dyDescent="0.25">
      <c r="A1399" t="s">
        <v>12204</v>
      </c>
    </row>
    <row r="1400" spans="1:1" x14ac:dyDescent="0.25">
      <c r="A1400" t="s">
        <v>12205</v>
      </c>
    </row>
    <row r="1401" spans="1:1" x14ac:dyDescent="0.25">
      <c r="A1401" t="s">
        <v>12206</v>
      </c>
    </row>
    <row r="1402" spans="1:1" x14ac:dyDescent="0.25">
      <c r="A1402" t="s">
        <v>12207</v>
      </c>
    </row>
    <row r="1403" spans="1:1" x14ac:dyDescent="0.25">
      <c r="A1403" t="s">
        <v>12208</v>
      </c>
    </row>
    <row r="1404" spans="1:1" x14ac:dyDescent="0.25">
      <c r="A1404" t="s">
        <v>12209</v>
      </c>
    </row>
    <row r="1405" spans="1:1" x14ac:dyDescent="0.25">
      <c r="A1405" t="s">
        <v>12210</v>
      </c>
    </row>
    <row r="1406" spans="1:1" x14ac:dyDescent="0.25">
      <c r="A1406" t="s">
        <v>12211</v>
      </c>
    </row>
    <row r="1407" spans="1:1" x14ac:dyDescent="0.25">
      <c r="A1407" t="s">
        <v>12212</v>
      </c>
    </row>
    <row r="1408" spans="1:1" x14ac:dyDescent="0.25">
      <c r="A1408" t="s">
        <v>12214</v>
      </c>
    </row>
    <row r="1409" spans="1:1" x14ac:dyDescent="0.25">
      <c r="A1409" t="s">
        <v>12215</v>
      </c>
    </row>
    <row r="1410" spans="1:1" x14ac:dyDescent="0.25">
      <c r="A1410" t="s">
        <v>12216</v>
      </c>
    </row>
    <row r="1411" spans="1:1" x14ac:dyDescent="0.25">
      <c r="A1411" t="s">
        <v>12217</v>
      </c>
    </row>
    <row r="1412" spans="1:1" x14ac:dyDescent="0.25">
      <c r="A1412" t="s">
        <v>12219</v>
      </c>
    </row>
    <row r="1413" spans="1:1" x14ac:dyDescent="0.25">
      <c r="A1413" t="s">
        <v>12220</v>
      </c>
    </row>
    <row r="1414" spans="1:1" x14ac:dyDescent="0.25">
      <c r="A1414" t="s">
        <v>12221</v>
      </c>
    </row>
    <row r="1415" spans="1:1" x14ac:dyDescent="0.25">
      <c r="A1415" t="s">
        <v>12222</v>
      </c>
    </row>
    <row r="1416" spans="1:1" x14ac:dyDescent="0.25">
      <c r="A1416" t="s">
        <v>12223</v>
      </c>
    </row>
    <row r="1417" spans="1:1" x14ac:dyDescent="0.25">
      <c r="A1417" t="s">
        <v>12224</v>
      </c>
    </row>
    <row r="1418" spans="1:1" x14ac:dyDescent="0.25">
      <c r="A1418" t="s">
        <v>12225</v>
      </c>
    </row>
    <row r="1419" spans="1:1" x14ac:dyDescent="0.25">
      <c r="A1419" t="s">
        <v>12228</v>
      </c>
    </row>
    <row r="1420" spans="1:1" x14ac:dyDescent="0.25">
      <c r="A1420" t="s">
        <v>12229</v>
      </c>
    </row>
    <row r="1421" spans="1:1" x14ac:dyDescent="0.25">
      <c r="A1421" t="s">
        <v>12231</v>
      </c>
    </row>
    <row r="1422" spans="1:1" x14ac:dyDescent="0.25">
      <c r="A1422" t="s">
        <v>12232</v>
      </c>
    </row>
    <row r="1423" spans="1:1" x14ac:dyDescent="0.25">
      <c r="A1423" t="s">
        <v>12233</v>
      </c>
    </row>
    <row r="1424" spans="1:1" x14ac:dyDescent="0.25">
      <c r="A1424" t="s">
        <v>12234</v>
      </c>
    </row>
    <row r="1425" spans="1:1" x14ac:dyDescent="0.25">
      <c r="A1425" t="s">
        <v>12235</v>
      </c>
    </row>
    <row r="1426" spans="1:1" x14ac:dyDescent="0.25">
      <c r="A1426" t="s">
        <v>12236</v>
      </c>
    </row>
    <row r="1427" spans="1:1" x14ac:dyDescent="0.25">
      <c r="A1427" t="s">
        <v>7889</v>
      </c>
    </row>
    <row r="1428" spans="1:1" x14ac:dyDescent="0.25">
      <c r="A1428" t="s">
        <v>12237</v>
      </c>
    </row>
    <row r="1429" spans="1:1" x14ac:dyDescent="0.25">
      <c r="A1429" t="s">
        <v>12238</v>
      </c>
    </row>
    <row r="1430" spans="1:1" x14ac:dyDescent="0.25">
      <c r="A1430" t="s">
        <v>12239</v>
      </c>
    </row>
    <row r="1431" spans="1:1" x14ac:dyDescent="0.25">
      <c r="A1431" t="s">
        <v>12240</v>
      </c>
    </row>
    <row r="1432" spans="1:1" x14ac:dyDescent="0.25">
      <c r="A1432" t="s">
        <v>12241</v>
      </c>
    </row>
    <row r="1433" spans="1:1" x14ac:dyDescent="0.25">
      <c r="A1433" t="s">
        <v>12242</v>
      </c>
    </row>
    <row r="1434" spans="1:1" x14ac:dyDescent="0.25">
      <c r="A1434" t="s">
        <v>12243</v>
      </c>
    </row>
    <row r="1435" spans="1:1" x14ac:dyDescent="0.25">
      <c r="A1435" t="s">
        <v>12244</v>
      </c>
    </row>
    <row r="1436" spans="1:1" x14ac:dyDescent="0.25">
      <c r="A1436" t="s">
        <v>12245</v>
      </c>
    </row>
    <row r="1437" spans="1:1" x14ac:dyDescent="0.25">
      <c r="A1437" t="s">
        <v>12246</v>
      </c>
    </row>
    <row r="1438" spans="1:1" x14ac:dyDescent="0.25">
      <c r="A1438" t="s">
        <v>12248</v>
      </c>
    </row>
    <row r="1439" spans="1:1" x14ac:dyDescent="0.25">
      <c r="A1439" t="s">
        <v>12249</v>
      </c>
    </row>
    <row r="1440" spans="1:1" x14ac:dyDescent="0.25">
      <c r="A1440" t="s">
        <v>12250</v>
      </c>
    </row>
    <row r="1441" spans="1:1" x14ac:dyDescent="0.25">
      <c r="A1441" t="s">
        <v>12251</v>
      </c>
    </row>
    <row r="1442" spans="1:1" x14ac:dyDescent="0.25">
      <c r="A1442" t="s">
        <v>12252</v>
      </c>
    </row>
    <row r="1443" spans="1:1" x14ac:dyDescent="0.25">
      <c r="A1443" t="s">
        <v>12254</v>
      </c>
    </row>
    <row r="1444" spans="1:1" x14ac:dyDescent="0.25">
      <c r="A1444" t="s">
        <v>12256</v>
      </c>
    </row>
    <row r="1445" spans="1:1" x14ac:dyDescent="0.25">
      <c r="A1445" t="s">
        <v>12257</v>
      </c>
    </row>
    <row r="1446" spans="1:1" x14ac:dyDescent="0.25">
      <c r="A1446" t="s">
        <v>12258</v>
      </c>
    </row>
    <row r="1447" spans="1:1" x14ac:dyDescent="0.25">
      <c r="A1447" t="s">
        <v>12260</v>
      </c>
    </row>
    <row r="1448" spans="1:1" x14ac:dyDescent="0.25">
      <c r="A1448" t="s">
        <v>12261</v>
      </c>
    </row>
    <row r="1449" spans="1:1" x14ac:dyDescent="0.25">
      <c r="A1449" t="s">
        <v>12262</v>
      </c>
    </row>
    <row r="1450" spans="1:1" x14ac:dyDescent="0.25">
      <c r="A1450" t="s">
        <v>12263</v>
      </c>
    </row>
    <row r="1451" spans="1:1" x14ac:dyDescent="0.25">
      <c r="A1451" t="s">
        <v>12264</v>
      </c>
    </row>
    <row r="1452" spans="1:1" x14ac:dyDescent="0.25">
      <c r="A1452" t="s">
        <v>12265</v>
      </c>
    </row>
    <row r="1453" spans="1:1" x14ac:dyDescent="0.25">
      <c r="A1453" t="s">
        <v>8818</v>
      </c>
    </row>
    <row r="1454" spans="1:1" x14ac:dyDescent="0.25">
      <c r="A1454" t="s">
        <v>9743</v>
      </c>
    </row>
    <row r="1455" spans="1:1" x14ac:dyDescent="0.25">
      <c r="A1455" t="s">
        <v>12268</v>
      </c>
    </row>
    <row r="1456" spans="1:1" x14ac:dyDescent="0.25">
      <c r="A1456" t="s">
        <v>12269</v>
      </c>
    </row>
    <row r="1457" spans="1:1" x14ac:dyDescent="0.25">
      <c r="A1457" t="s">
        <v>12270</v>
      </c>
    </row>
    <row r="1458" spans="1:1" x14ac:dyDescent="0.25">
      <c r="A1458" t="s">
        <v>12271</v>
      </c>
    </row>
    <row r="1459" spans="1:1" x14ac:dyDescent="0.25">
      <c r="A1459" t="s">
        <v>12273</v>
      </c>
    </row>
    <row r="1460" spans="1:1" x14ac:dyDescent="0.25">
      <c r="A1460" t="s">
        <v>12274</v>
      </c>
    </row>
    <row r="1461" spans="1:1" x14ac:dyDescent="0.25">
      <c r="A1461" t="s">
        <v>12275</v>
      </c>
    </row>
    <row r="1462" spans="1:1" x14ac:dyDescent="0.25">
      <c r="A1462" t="s">
        <v>12276</v>
      </c>
    </row>
    <row r="1463" spans="1:1" x14ac:dyDescent="0.25">
      <c r="A1463" t="s">
        <v>12277</v>
      </c>
    </row>
    <row r="1464" spans="1:1" x14ac:dyDescent="0.25">
      <c r="A1464" t="s">
        <v>12278</v>
      </c>
    </row>
    <row r="1465" spans="1:1" x14ac:dyDescent="0.25">
      <c r="A1465" t="s">
        <v>12279</v>
      </c>
    </row>
    <row r="1466" spans="1:1" x14ac:dyDescent="0.25">
      <c r="A1466" t="s">
        <v>12280</v>
      </c>
    </row>
    <row r="1467" spans="1:1" x14ac:dyDescent="0.25">
      <c r="A1467" t="s">
        <v>12281</v>
      </c>
    </row>
    <row r="1468" spans="1:1" x14ac:dyDescent="0.25">
      <c r="A1468" t="s">
        <v>12285</v>
      </c>
    </row>
    <row r="1469" spans="1:1" x14ac:dyDescent="0.25">
      <c r="A1469" t="s">
        <v>12286</v>
      </c>
    </row>
    <row r="1470" spans="1:1" x14ac:dyDescent="0.25">
      <c r="A1470" t="s">
        <v>12287</v>
      </c>
    </row>
    <row r="1471" spans="1:1" x14ac:dyDescent="0.25">
      <c r="A1471" t="s">
        <v>12288</v>
      </c>
    </row>
    <row r="1472" spans="1:1" x14ac:dyDescent="0.25">
      <c r="A1472" t="s">
        <v>12289</v>
      </c>
    </row>
    <row r="1473" spans="1:1" x14ac:dyDescent="0.25">
      <c r="A1473" t="s">
        <v>12290</v>
      </c>
    </row>
    <row r="1474" spans="1:1" x14ac:dyDescent="0.25">
      <c r="A1474" t="s">
        <v>12291</v>
      </c>
    </row>
    <row r="1475" spans="1:1" x14ac:dyDescent="0.25">
      <c r="A1475" t="s">
        <v>12292</v>
      </c>
    </row>
    <row r="1476" spans="1:1" x14ac:dyDescent="0.25">
      <c r="A1476" t="s">
        <v>12294</v>
      </c>
    </row>
    <row r="1477" spans="1:1" x14ac:dyDescent="0.25">
      <c r="A1477" t="s">
        <v>12295</v>
      </c>
    </row>
    <row r="1478" spans="1:1" x14ac:dyDescent="0.25">
      <c r="A1478" t="s">
        <v>12296</v>
      </c>
    </row>
    <row r="1479" spans="1:1" x14ac:dyDescent="0.25">
      <c r="A1479" t="s">
        <v>12297</v>
      </c>
    </row>
    <row r="1480" spans="1:1" x14ac:dyDescent="0.25">
      <c r="A1480" t="s">
        <v>12298</v>
      </c>
    </row>
    <row r="1481" spans="1:1" x14ac:dyDescent="0.25">
      <c r="A1481" t="s">
        <v>12299</v>
      </c>
    </row>
    <row r="1482" spans="1:1" x14ac:dyDescent="0.25">
      <c r="A1482" t="s">
        <v>12300</v>
      </c>
    </row>
    <row r="1483" spans="1:1" x14ac:dyDescent="0.25">
      <c r="A1483" t="s">
        <v>12301</v>
      </c>
    </row>
    <row r="1484" spans="1:1" x14ac:dyDescent="0.25">
      <c r="A1484" t="s">
        <v>12303</v>
      </c>
    </row>
    <row r="1485" spans="1:1" x14ac:dyDescent="0.25">
      <c r="A1485" t="s">
        <v>12304</v>
      </c>
    </row>
    <row r="1486" spans="1:1" x14ac:dyDescent="0.25">
      <c r="A1486" t="s">
        <v>12306</v>
      </c>
    </row>
    <row r="1487" spans="1:1" x14ac:dyDescent="0.25">
      <c r="A1487" t="s">
        <v>12307</v>
      </c>
    </row>
    <row r="1488" spans="1:1" x14ac:dyDescent="0.25">
      <c r="A1488" t="s">
        <v>12309</v>
      </c>
    </row>
    <row r="1489" spans="1:1" x14ac:dyDescent="0.25">
      <c r="A1489" t="s">
        <v>12310</v>
      </c>
    </row>
    <row r="1490" spans="1:1" x14ac:dyDescent="0.25">
      <c r="A1490" t="s">
        <v>7905</v>
      </c>
    </row>
    <row r="1491" spans="1:1" x14ac:dyDescent="0.25">
      <c r="A1491" t="s">
        <v>12312</v>
      </c>
    </row>
    <row r="1492" spans="1:1" x14ac:dyDescent="0.25">
      <c r="A1492" t="s">
        <v>12315</v>
      </c>
    </row>
    <row r="1493" spans="1:1" x14ac:dyDescent="0.25">
      <c r="A1493" t="s">
        <v>12316</v>
      </c>
    </row>
    <row r="1494" spans="1:1" x14ac:dyDescent="0.25">
      <c r="A1494" t="s">
        <v>12317</v>
      </c>
    </row>
    <row r="1495" spans="1:1" x14ac:dyDescent="0.25">
      <c r="A1495" t="s">
        <v>12318</v>
      </c>
    </row>
    <row r="1496" spans="1:1" x14ac:dyDescent="0.25">
      <c r="A1496" t="s">
        <v>12319</v>
      </c>
    </row>
    <row r="1497" spans="1:1" x14ac:dyDescent="0.25">
      <c r="A1497" t="s">
        <v>12320</v>
      </c>
    </row>
    <row r="1498" spans="1:1" x14ac:dyDescent="0.25">
      <c r="A1498" t="s">
        <v>12321</v>
      </c>
    </row>
    <row r="1499" spans="1:1" x14ac:dyDescent="0.25">
      <c r="A1499" t="s">
        <v>12326</v>
      </c>
    </row>
    <row r="1500" spans="1:1" x14ac:dyDescent="0.25">
      <c r="A1500" t="s">
        <v>7910</v>
      </c>
    </row>
    <row r="1501" spans="1:1" x14ac:dyDescent="0.25">
      <c r="A1501" t="s">
        <v>12328</v>
      </c>
    </row>
    <row r="1502" spans="1:1" x14ac:dyDescent="0.25">
      <c r="A1502" t="s">
        <v>12329</v>
      </c>
    </row>
    <row r="1503" spans="1:1" x14ac:dyDescent="0.25">
      <c r="A1503" t="s">
        <v>12330</v>
      </c>
    </row>
    <row r="1504" spans="1:1" x14ac:dyDescent="0.25">
      <c r="A1504" t="s">
        <v>12331</v>
      </c>
    </row>
    <row r="1505" spans="1:1" x14ac:dyDescent="0.25">
      <c r="A1505" t="s">
        <v>12332</v>
      </c>
    </row>
    <row r="1506" spans="1:1" x14ac:dyDescent="0.25">
      <c r="A1506" t="s">
        <v>12333</v>
      </c>
    </row>
    <row r="1507" spans="1:1" x14ac:dyDescent="0.25">
      <c r="A1507" t="s">
        <v>12334</v>
      </c>
    </row>
    <row r="1508" spans="1:1" x14ac:dyDescent="0.25">
      <c r="A1508" t="s">
        <v>12335</v>
      </c>
    </row>
    <row r="1509" spans="1:1" x14ac:dyDescent="0.25">
      <c r="A1509" t="s">
        <v>12336</v>
      </c>
    </row>
    <row r="1510" spans="1:1" x14ac:dyDescent="0.25">
      <c r="A1510" t="s">
        <v>12338</v>
      </c>
    </row>
    <row r="1511" spans="1:1" x14ac:dyDescent="0.25">
      <c r="A1511" t="s">
        <v>12340</v>
      </c>
    </row>
    <row r="1512" spans="1:1" x14ac:dyDescent="0.25">
      <c r="A1512" t="s">
        <v>12341</v>
      </c>
    </row>
    <row r="1513" spans="1:1" x14ac:dyDescent="0.25">
      <c r="A1513" t="s">
        <v>12342</v>
      </c>
    </row>
    <row r="1514" spans="1:1" x14ac:dyDescent="0.25">
      <c r="A1514" t="s">
        <v>12343</v>
      </c>
    </row>
    <row r="1515" spans="1:1" x14ac:dyDescent="0.25">
      <c r="A1515" t="s">
        <v>12344</v>
      </c>
    </row>
    <row r="1516" spans="1:1" x14ac:dyDescent="0.25">
      <c r="A1516" t="s">
        <v>12345</v>
      </c>
    </row>
    <row r="1517" spans="1:1" x14ac:dyDescent="0.25">
      <c r="A1517" t="s">
        <v>8754</v>
      </c>
    </row>
    <row r="1518" spans="1:1" x14ac:dyDescent="0.25">
      <c r="A1518" t="s">
        <v>12346</v>
      </c>
    </row>
    <row r="1519" spans="1:1" x14ac:dyDescent="0.25">
      <c r="A1519" t="s">
        <v>12347</v>
      </c>
    </row>
    <row r="1520" spans="1:1" x14ac:dyDescent="0.25">
      <c r="A1520" t="s">
        <v>12348</v>
      </c>
    </row>
    <row r="1521" spans="1:1" x14ac:dyDescent="0.25">
      <c r="A1521" t="s">
        <v>12349</v>
      </c>
    </row>
    <row r="1522" spans="1:1" x14ac:dyDescent="0.25">
      <c r="A1522" t="s">
        <v>12352</v>
      </c>
    </row>
    <row r="1523" spans="1:1" x14ac:dyDescent="0.25">
      <c r="A1523" t="s">
        <v>12353</v>
      </c>
    </row>
    <row r="1524" spans="1:1" x14ac:dyDescent="0.25">
      <c r="A1524" t="s">
        <v>12355</v>
      </c>
    </row>
    <row r="1525" spans="1:1" x14ac:dyDescent="0.25">
      <c r="A1525" t="s">
        <v>12356</v>
      </c>
    </row>
    <row r="1526" spans="1:1" x14ac:dyDescent="0.25">
      <c r="A1526" t="s">
        <v>12357</v>
      </c>
    </row>
    <row r="1527" spans="1:1" x14ac:dyDescent="0.25">
      <c r="A1527" t="s">
        <v>12359</v>
      </c>
    </row>
    <row r="1528" spans="1:1" x14ac:dyDescent="0.25">
      <c r="A1528" t="s">
        <v>12360</v>
      </c>
    </row>
    <row r="1529" spans="1:1" x14ac:dyDescent="0.25">
      <c r="A1529" t="s">
        <v>12361</v>
      </c>
    </row>
    <row r="1530" spans="1:1" x14ac:dyDescent="0.25">
      <c r="A1530" t="s">
        <v>12362</v>
      </c>
    </row>
    <row r="1531" spans="1:1" x14ac:dyDescent="0.25">
      <c r="A1531" t="s">
        <v>12363</v>
      </c>
    </row>
    <row r="1532" spans="1:1" x14ac:dyDescent="0.25">
      <c r="A1532" t="s">
        <v>12364</v>
      </c>
    </row>
    <row r="1533" spans="1:1" x14ac:dyDescent="0.25">
      <c r="A1533" t="s">
        <v>12365</v>
      </c>
    </row>
    <row r="1534" spans="1:1" x14ac:dyDescent="0.25">
      <c r="A1534" t="s">
        <v>12366</v>
      </c>
    </row>
    <row r="1535" spans="1:1" x14ac:dyDescent="0.25">
      <c r="A1535" t="s">
        <v>7938</v>
      </c>
    </row>
    <row r="1536" spans="1:1" x14ac:dyDescent="0.25">
      <c r="A1536" t="s">
        <v>12367</v>
      </c>
    </row>
    <row r="1537" spans="1:1" x14ac:dyDescent="0.25">
      <c r="A1537" t="s">
        <v>8002</v>
      </c>
    </row>
    <row r="1538" spans="1:1" x14ac:dyDescent="0.25">
      <c r="A1538" t="s">
        <v>12373</v>
      </c>
    </row>
    <row r="1539" spans="1:1" x14ac:dyDescent="0.25">
      <c r="A1539" t="s">
        <v>12375</v>
      </c>
    </row>
    <row r="1540" spans="1:1" x14ac:dyDescent="0.25">
      <c r="A1540" t="s">
        <v>12376</v>
      </c>
    </row>
    <row r="1541" spans="1:1" x14ac:dyDescent="0.25">
      <c r="A1541" t="s">
        <v>12377</v>
      </c>
    </row>
    <row r="1542" spans="1:1" x14ac:dyDescent="0.25">
      <c r="A1542" t="s">
        <v>8821</v>
      </c>
    </row>
    <row r="1543" spans="1:1" x14ac:dyDescent="0.25">
      <c r="A1543" t="s">
        <v>12380</v>
      </c>
    </row>
    <row r="1544" spans="1:1" x14ac:dyDescent="0.25">
      <c r="A1544" t="s">
        <v>8579</v>
      </c>
    </row>
    <row r="1545" spans="1:1" x14ac:dyDescent="0.25">
      <c r="A1545" t="s">
        <v>12382</v>
      </c>
    </row>
    <row r="1546" spans="1:1" x14ac:dyDescent="0.25">
      <c r="A1546" t="s">
        <v>12383</v>
      </c>
    </row>
    <row r="1547" spans="1:1" x14ac:dyDescent="0.25">
      <c r="A1547" t="s">
        <v>12384</v>
      </c>
    </row>
    <row r="1548" spans="1:1" x14ac:dyDescent="0.25">
      <c r="A1548" t="s">
        <v>12385</v>
      </c>
    </row>
    <row r="1549" spans="1:1" x14ac:dyDescent="0.25">
      <c r="A1549" t="s">
        <v>12386</v>
      </c>
    </row>
    <row r="1550" spans="1:1" x14ac:dyDescent="0.25">
      <c r="A1550" t="s">
        <v>12387</v>
      </c>
    </row>
    <row r="1551" spans="1:1" x14ac:dyDescent="0.25">
      <c r="A1551" t="s">
        <v>12388</v>
      </c>
    </row>
    <row r="1552" spans="1:1" x14ac:dyDescent="0.25">
      <c r="A1552" t="s">
        <v>12390</v>
      </c>
    </row>
    <row r="1553" spans="1:1" x14ac:dyDescent="0.25">
      <c r="A1553" t="s">
        <v>12391</v>
      </c>
    </row>
    <row r="1554" spans="1:1" x14ac:dyDescent="0.25">
      <c r="A1554" t="s">
        <v>12392</v>
      </c>
    </row>
    <row r="1555" spans="1:1" x14ac:dyDescent="0.25">
      <c r="A1555" t="s">
        <v>12393</v>
      </c>
    </row>
    <row r="1556" spans="1:1" x14ac:dyDescent="0.25">
      <c r="A1556" t="s">
        <v>12394</v>
      </c>
    </row>
    <row r="1557" spans="1:1" x14ac:dyDescent="0.25">
      <c r="A1557" t="s">
        <v>9460</v>
      </c>
    </row>
    <row r="1558" spans="1:1" x14ac:dyDescent="0.25">
      <c r="A1558" t="s">
        <v>12396</v>
      </c>
    </row>
    <row r="1559" spans="1:1" x14ac:dyDescent="0.25">
      <c r="A1559" t="s">
        <v>12397</v>
      </c>
    </row>
    <row r="1560" spans="1:1" x14ac:dyDescent="0.25">
      <c r="A1560" t="s">
        <v>12398</v>
      </c>
    </row>
    <row r="1561" spans="1:1" x14ac:dyDescent="0.25">
      <c r="A1561" t="s">
        <v>9461</v>
      </c>
    </row>
    <row r="1562" spans="1:1" x14ac:dyDescent="0.25">
      <c r="A1562" t="s">
        <v>12400</v>
      </c>
    </row>
    <row r="1563" spans="1:1" x14ac:dyDescent="0.25">
      <c r="A1563" t="s">
        <v>12401</v>
      </c>
    </row>
    <row r="1564" spans="1:1" x14ac:dyDescent="0.25">
      <c r="A1564" t="s">
        <v>12402</v>
      </c>
    </row>
    <row r="1565" spans="1:1" x14ac:dyDescent="0.25">
      <c r="A1565" t="s">
        <v>12403</v>
      </c>
    </row>
    <row r="1566" spans="1:1" x14ac:dyDescent="0.25">
      <c r="A1566" t="s">
        <v>12404</v>
      </c>
    </row>
    <row r="1567" spans="1:1" x14ac:dyDescent="0.25">
      <c r="A1567" t="s">
        <v>9747</v>
      </c>
    </row>
    <row r="1568" spans="1:1" x14ac:dyDescent="0.25">
      <c r="A1568" t="s">
        <v>9463</v>
      </c>
    </row>
    <row r="1569" spans="1:1" x14ac:dyDescent="0.25">
      <c r="A1569" t="s">
        <v>12405</v>
      </c>
    </row>
    <row r="1570" spans="1:1" x14ac:dyDescent="0.25">
      <c r="A1570" t="s">
        <v>12406</v>
      </c>
    </row>
    <row r="1571" spans="1:1" x14ac:dyDescent="0.25">
      <c r="A1571" t="s">
        <v>12407</v>
      </c>
    </row>
    <row r="1572" spans="1:1" x14ac:dyDescent="0.25">
      <c r="A1572" t="s">
        <v>12408</v>
      </c>
    </row>
    <row r="1573" spans="1:1" x14ac:dyDescent="0.25">
      <c r="A1573" t="s">
        <v>12409</v>
      </c>
    </row>
    <row r="1574" spans="1:1" x14ac:dyDescent="0.25">
      <c r="A1574" t="s">
        <v>12410</v>
      </c>
    </row>
    <row r="1575" spans="1:1" x14ac:dyDescent="0.25">
      <c r="A1575" t="s">
        <v>12411</v>
      </c>
    </row>
    <row r="1576" spans="1:1" x14ac:dyDescent="0.25">
      <c r="A1576" t="s">
        <v>9465</v>
      </c>
    </row>
    <row r="1577" spans="1:1" x14ac:dyDescent="0.25">
      <c r="A1577" t="s">
        <v>12413</v>
      </c>
    </row>
    <row r="1578" spans="1:1" x14ac:dyDescent="0.25">
      <c r="A1578" t="s">
        <v>12414</v>
      </c>
    </row>
    <row r="1579" spans="1:1" x14ac:dyDescent="0.25">
      <c r="A1579" t="s">
        <v>12415</v>
      </c>
    </row>
    <row r="1580" spans="1:1" x14ac:dyDescent="0.25">
      <c r="A1580" t="s">
        <v>12416</v>
      </c>
    </row>
    <row r="1581" spans="1:1" x14ac:dyDescent="0.25">
      <c r="A1581" t="s">
        <v>12417</v>
      </c>
    </row>
    <row r="1582" spans="1:1" x14ac:dyDescent="0.25">
      <c r="A1582" t="s">
        <v>12419</v>
      </c>
    </row>
    <row r="1583" spans="1:1" x14ac:dyDescent="0.25">
      <c r="A1583" t="s">
        <v>12420</v>
      </c>
    </row>
    <row r="1584" spans="1:1" x14ac:dyDescent="0.25">
      <c r="A1584" t="s">
        <v>12421</v>
      </c>
    </row>
    <row r="1585" spans="1:1" x14ac:dyDescent="0.25">
      <c r="A1585" t="s">
        <v>12422</v>
      </c>
    </row>
    <row r="1586" spans="1:1" x14ac:dyDescent="0.25">
      <c r="A1586" t="s">
        <v>12423</v>
      </c>
    </row>
    <row r="1587" spans="1:1" x14ac:dyDescent="0.25">
      <c r="A1587" t="s">
        <v>9466</v>
      </c>
    </row>
    <row r="1588" spans="1:1" x14ac:dyDescent="0.25">
      <c r="A1588" t="s">
        <v>12424</v>
      </c>
    </row>
    <row r="1589" spans="1:1" x14ac:dyDescent="0.25">
      <c r="A1589" t="s">
        <v>12425</v>
      </c>
    </row>
    <row r="1590" spans="1:1" x14ac:dyDescent="0.25">
      <c r="A1590" t="s">
        <v>12426</v>
      </c>
    </row>
    <row r="1591" spans="1:1" x14ac:dyDescent="0.25">
      <c r="A1591" t="s">
        <v>12427</v>
      </c>
    </row>
    <row r="1592" spans="1:1" x14ac:dyDescent="0.25">
      <c r="A1592" t="s">
        <v>12428</v>
      </c>
    </row>
    <row r="1593" spans="1:1" x14ac:dyDescent="0.25">
      <c r="A1593" t="s">
        <v>12429</v>
      </c>
    </row>
    <row r="1594" spans="1:1" x14ac:dyDescent="0.25">
      <c r="A1594" t="s">
        <v>12430</v>
      </c>
    </row>
    <row r="1595" spans="1:1" x14ac:dyDescent="0.25">
      <c r="A1595" t="s">
        <v>12431</v>
      </c>
    </row>
    <row r="1596" spans="1:1" x14ac:dyDescent="0.25">
      <c r="A1596" t="s">
        <v>12432</v>
      </c>
    </row>
    <row r="1597" spans="1:1" x14ac:dyDescent="0.25">
      <c r="A1597" t="s">
        <v>12433</v>
      </c>
    </row>
    <row r="1598" spans="1:1" x14ac:dyDescent="0.25">
      <c r="A1598" t="s">
        <v>12434</v>
      </c>
    </row>
    <row r="1599" spans="1:1" x14ac:dyDescent="0.25">
      <c r="A1599" t="s">
        <v>9749</v>
      </c>
    </row>
    <row r="1600" spans="1:1" x14ac:dyDescent="0.25">
      <c r="A1600" t="s">
        <v>12435</v>
      </c>
    </row>
    <row r="1601" spans="1:1" x14ac:dyDescent="0.25">
      <c r="A1601" t="s">
        <v>8029</v>
      </c>
    </row>
    <row r="1602" spans="1:1" x14ac:dyDescent="0.25">
      <c r="A1602" t="s">
        <v>12437</v>
      </c>
    </row>
    <row r="1603" spans="1:1" x14ac:dyDescent="0.25">
      <c r="A1603" t="s">
        <v>12438</v>
      </c>
    </row>
    <row r="1604" spans="1:1" x14ac:dyDescent="0.25">
      <c r="A1604" t="s">
        <v>8030</v>
      </c>
    </row>
    <row r="1605" spans="1:1" x14ac:dyDescent="0.25">
      <c r="A1605" t="s">
        <v>12439</v>
      </c>
    </row>
    <row r="1606" spans="1:1" x14ac:dyDescent="0.25">
      <c r="A1606" t="s">
        <v>12440</v>
      </c>
    </row>
    <row r="1607" spans="1:1" x14ac:dyDescent="0.25">
      <c r="A1607" t="s">
        <v>12445</v>
      </c>
    </row>
    <row r="1608" spans="1:1" x14ac:dyDescent="0.25">
      <c r="A1608" t="s">
        <v>12448</v>
      </c>
    </row>
    <row r="1609" spans="1:1" x14ac:dyDescent="0.25">
      <c r="A1609" t="s">
        <v>12449</v>
      </c>
    </row>
    <row r="1610" spans="1:1" x14ac:dyDescent="0.25">
      <c r="A1610" t="s">
        <v>12450</v>
      </c>
    </row>
    <row r="1611" spans="1:1" x14ac:dyDescent="0.25">
      <c r="A1611" t="s">
        <v>12452</v>
      </c>
    </row>
    <row r="1612" spans="1:1" x14ac:dyDescent="0.25">
      <c r="A1612" t="s">
        <v>12453</v>
      </c>
    </row>
    <row r="1613" spans="1:1" x14ac:dyDescent="0.25">
      <c r="A1613" t="s">
        <v>12455</v>
      </c>
    </row>
    <row r="1614" spans="1:1" x14ac:dyDescent="0.25">
      <c r="A1614" t="s">
        <v>12456</v>
      </c>
    </row>
    <row r="1615" spans="1:1" x14ac:dyDescent="0.25">
      <c r="A1615" t="s">
        <v>12457</v>
      </c>
    </row>
    <row r="1616" spans="1:1" x14ac:dyDescent="0.25">
      <c r="A1616" t="s">
        <v>12458</v>
      </c>
    </row>
    <row r="1617" spans="1:1" x14ac:dyDescent="0.25">
      <c r="A1617" t="s">
        <v>12459</v>
      </c>
    </row>
    <row r="1618" spans="1:1" x14ac:dyDescent="0.25">
      <c r="A1618" t="s">
        <v>12460</v>
      </c>
    </row>
    <row r="1619" spans="1:1" x14ac:dyDescent="0.25">
      <c r="A1619" t="s">
        <v>12461</v>
      </c>
    </row>
    <row r="1620" spans="1:1" x14ac:dyDescent="0.25">
      <c r="A1620" t="s">
        <v>12462</v>
      </c>
    </row>
    <row r="1621" spans="1:1" x14ac:dyDescent="0.25">
      <c r="A1621" t="s">
        <v>12463</v>
      </c>
    </row>
    <row r="1622" spans="1:1" x14ac:dyDescent="0.25">
      <c r="A1622" t="s">
        <v>12464</v>
      </c>
    </row>
    <row r="1623" spans="1:1" x14ac:dyDescent="0.25">
      <c r="A1623" t="s">
        <v>12465</v>
      </c>
    </row>
    <row r="1624" spans="1:1" x14ac:dyDescent="0.25">
      <c r="A1624" t="s">
        <v>12466</v>
      </c>
    </row>
    <row r="1625" spans="1:1" x14ac:dyDescent="0.25">
      <c r="A1625" t="s">
        <v>12470</v>
      </c>
    </row>
    <row r="1626" spans="1:1" x14ac:dyDescent="0.25">
      <c r="A1626" t="s">
        <v>12471</v>
      </c>
    </row>
    <row r="1627" spans="1:1" x14ac:dyDescent="0.25">
      <c r="A1627" t="s">
        <v>12473</v>
      </c>
    </row>
    <row r="1628" spans="1:1" x14ac:dyDescent="0.25">
      <c r="A1628" t="s">
        <v>12474</v>
      </c>
    </row>
    <row r="1629" spans="1:1" x14ac:dyDescent="0.25">
      <c r="A1629" t="s">
        <v>12475</v>
      </c>
    </row>
    <row r="1630" spans="1:1" x14ac:dyDescent="0.25">
      <c r="A1630" t="s">
        <v>12476</v>
      </c>
    </row>
    <row r="1631" spans="1:1" x14ac:dyDescent="0.25">
      <c r="A1631" t="s">
        <v>12477</v>
      </c>
    </row>
    <row r="1632" spans="1:1" x14ac:dyDescent="0.25">
      <c r="A1632" t="s">
        <v>12480</v>
      </c>
    </row>
    <row r="1633" spans="1:1" x14ac:dyDescent="0.25">
      <c r="A1633" t="s">
        <v>12481</v>
      </c>
    </row>
    <row r="1634" spans="1:1" x14ac:dyDescent="0.25">
      <c r="A1634" t="s">
        <v>12482</v>
      </c>
    </row>
    <row r="1635" spans="1:1" x14ac:dyDescent="0.25">
      <c r="A1635" t="s">
        <v>12484</v>
      </c>
    </row>
    <row r="1636" spans="1:1" x14ac:dyDescent="0.25">
      <c r="A1636" t="s">
        <v>12485</v>
      </c>
    </row>
    <row r="1637" spans="1:1" x14ac:dyDescent="0.25">
      <c r="A1637" t="s">
        <v>12486</v>
      </c>
    </row>
    <row r="1638" spans="1:1" x14ac:dyDescent="0.25">
      <c r="A1638" t="s">
        <v>12487</v>
      </c>
    </row>
    <row r="1639" spans="1:1" x14ac:dyDescent="0.25">
      <c r="A1639" t="s">
        <v>12488</v>
      </c>
    </row>
    <row r="1640" spans="1:1" x14ac:dyDescent="0.25">
      <c r="A1640" t="s">
        <v>12489</v>
      </c>
    </row>
    <row r="1641" spans="1:1" x14ac:dyDescent="0.25">
      <c r="A1641" t="s">
        <v>9752</v>
      </c>
    </row>
    <row r="1642" spans="1:1" x14ac:dyDescent="0.25">
      <c r="A1642" t="s">
        <v>12491</v>
      </c>
    </row>
    <row r="1643" spans="1:1" x14ac:dyDescent="0.25">
      <c r="A1643" t="s">
        <v>9476</v>
      </c>
    </row>
    <row r="1644" spans="1:1" x14ac:dyDescent="0.25">
      <c r="A1644" t="s">
        <v>12493</v>
      </c>
    </row>
    <row r="1645" spans="1:1" x14ac:dyDescent="0.25">
      <c r="A1645" t="s">
        <v>12494</v>
      </c>
    </row>
    <row r="1646" spans="1:1" x14ac:dyDescent="0.25">
      <c r="A1646" t="s">
        <v>12495</v>
      </c>
    </row>
    <row r="1647" spans="1:1" x14ac:dyDescent="0.25">
      <c r="A1647" t="s">
        <v>12496</v>
      </c>
    </row>
    <row r="1648" spans="1:1" x14ac:dyDescent="0.25">
      <c r="A1648" t="s">
        <v>12498</v>
      </c>
    </row>
    <row r="1649" spans="1:1" x14ac:dyDescent="0.25">
      <c r="A1649" t="s">
        <v>12499</v>
      </c>
    </row>
    <row r="1650" spans="1:1" x14ac:dyDescent="0.25">
      <c r="A1650" t="s">
        <v>12500</v>
      </c>
    </row>
    <row r="1651" spans="1:1" x14ac:dyDescent="0.25">
      <c r="A1651" t="s">
        <v>12501</v>
      </c>
    </row>
    <row r="1652" spans="1:1" x14ac:dyDescent="0.25">
      <c r="A1652" t="s">
        <v>12502</v>
      </c>
    </row>
    <row r="1653" spans="1:1" x14ac:dyDescent="0.25">
      <c r="A1653" t="s">
        <v>12503</v>
      </c>
    </row>
    <row r="1654" spans="1:1" x14ac:dyDescent="0.25">
      <c r="A1654" t="s">
        <v>12504</v>
      </c>
    </row>
    <row r="1655" spans="1:1" x14ac:dyDescent="0.25">
      <c r="A1655" t="s">
        <v>12505</v>
      </c>
    </row>
    <row r="1656" spans="1:1" x14ac:dyDescent="0.25">
      <c r="A1656" t="s">
        <v>12506</v>
      </c>
    </row>
    <row r="1657" spans="1:1" x14ac:dyDescent="0.25">
      <c r="A1657" t="s">
        <v>12507</v>
      </c>
    </row>
    <row r="1658" spans="1:1" x14ac:dyDescent="0.25">
      <c r="A1658" t="s">
        <v>12508</v>
      </c>
    </row>
    <row r="1659" spans="1:1" x14ac:dyDescent="0.25">
      <c r="A1659" t="s">
        <v>12510</v>
      </c>
    </row>
    <row r="1660" spans="1:1" x14ac:dyDescent="0.25">
      <c r="A1660" t="s">
        <v>8604</v>
      </c>
    </row>
    <row r="1661" spans="1:1" x14ac:dyDescent="0.25">
      <c r="A1661" t="s">
        <v>12511</v>
      </c>
    </row>
    <row r="1662" spans="1:1" x14ac:dyDescent="0.25">
      <c r="A1662" t="s">
        <v>12512</v>
      </c>
    </row>
    <row r="1663" spans="1:1" x14ac:dyDescent="0.25">
      <c r="A1663" t="s">
        <v>12513</v>
      </c>
    </row>
    <row r="1664" spans="1:1" x14ac:dyDescent="0.25">
      <c r="A1664" t="s">
        <v>12514</v>
      </c>
    </row>
    <row r="1665" spans="1:1" x14ac:dyDescent="0.25">
      <c r="A1665" t="s">
        <v>12515</v>
      </c>
    </row>
    <row r="1666" spans="1:1" x14ac:dyDescent="0.25">
      <c r="A1666" t="s">
        <v>12518</v>
      </c>
    </row>
    <row r="1667" spans="1:1" x14ac:dyDescent="0.25">
      <c r="A1667" t="s">
        <v>12519</v>
      </c>
    </row>
    <row r="1668" spans="1:1" x14ac:dyDescent="0.25">
      <c r="A1668" t="s">
        <v>12520</v>
      </c>
    </row>
    <row r="1669" spans="1:1" x14ac:dyDescent="0.25">
      <c r="A1669" t="s">
        <v>12521</v>
      </c>
    </row>
    <row r="1670" spans="1:1" x14ac:dyDescent="0.25">
      <c r="A1670" t="s">
        <v>12522</v>
      </c>
    </row>
    <row r="1671" spans="1:1" x14ac:dyDescent="0.25">
      <c r="A1671" t="s">
        <v>12523</v>
      </c>
    </row>
    <row r="1672" spans="1:1" x14ac:dyDescent="0.25">
      <c r="A1672" t="s">
        <v>12524</v>
      </c>
    </row>
    <row r="1673" spans="1:1" x14ac:dyDescent="0.25">
      <c r="A1673" t="s">
        <v>12525</v>
      </c>
    </row>
    <row r="1674" spans="1:1" x14ac:dyDescent="0.25">
      <c r="A1674" t="s">
        <v>12526</v>
      </c>
    </row>
    <row r="1675" spans="1:1" x14ac:dyDescent="0.25">
      <c r="A1675" t="s">
        <v>12527</v>
      </c>
    </row>
    <row r="1676" spans="1:1" x14ac:dyDescent="0.25">
      <c r="A1676" t="s">
        <v>12528</v>
      </c>
    </row>
    <row r="1677" spans="1:1" x14ac:dyDescent="0.25">
      <c r="A1677" t="s">
        <v>12529</v>
      </c>
    </row>
    <row r="1678" spans="1:1" x14ac:dyDescent="0.25">
      <c r="A1678" t="s">
        <v>12530</v>
      </c>
    </row>
    <row r="1679" spans="1:1" x14ac:dyDescent="0.25">
      <c r="A1679" t="s">
        <v>12531</v>
      </c>
    </row>
    <row r="1680" spans="1:1" x14ac:dyDescent="0.25">
      <c r="A1680" t="s">
        <v>12532</v>
      </c>
    </row>
    <row r="1681" spans="1:1" x14ac:dyDescent="0.25">
      <c r="A1681" t="s">
        <v>12533</v>
      </c>
    </row>
    <row r="1682" spans="1:1" x14ac:dyDescent="0.25">
      <c r="A1682" t="s">
        <v>12534</v>
      </c>
    </row>
    <row r="1683" spans="1:1" x14ac:dyDescent="0.25">
      <c r="A1683" t="s">
        <v>12535</v>
      </c>
    </row>
    <row r="1684" spans="1:1" x14ac:dyDescent="0.25">
      <c r="A1684" t="s">
        <v>12538</v>
      </c>
    </row>
    <row r="1685" spans="1:1" x14ac:dyDescent="0.25">
      <c r="A1685" t="s">
        <v>12540</v>
      </c>
    </row>
    <row r="1686" spans="1:1" x14ac:dyDescent="0.25">
      <c r="A1686" t="s">
        <v>12541</v>
      </c>
    </row>
    <row r="1687" spans="1:1" x14ac:dyDescent="0.25">
      <c r="A1687" t="s">
        <v>12542</v>
      </c>
    </row>
    <row r="1688" spans="1:1" x14ac:dyDescent="0.25">
      <c r="A1688" t="s">
        <v>12543</v>
      </c>
    </row>
    <row r="1689" spans="1:1" x14ac:dyDescent="0.25">
      <c r="A1689" t="s">
        <v>12544</v>
      </c>
    </row>
    <row r="1690" spans="1:1" x14ac:dyDescent="0.25">
      <c r="A1690" t="s">
        <v>12545</v>
      </c>
    </row>
    <row r="1691" spans="1:1" x14ac:dyDescent="0.25">
      <c r="A1691" t="s">
        <v>12547</v>
      </c>
    </row>
    <row r="1692" spans="1:1" x14ac:dyDescent="0.25">
      <c r="A1692" t="s">
        <v>12548</v>
      </c>
    </row>
    <row r="1693" spans="1:1" x14ac:dyDescent="0.25">
      <c r="A1693" t="s">
        <v>12550</v>
      </c>
    </row>
    <row r="1694" spans="1:1" x14ac:dyDescent="0.25">
      <c r="A1694" t="s">
        <v>12552</v>
      </c>
    </row>
    <row r="1695" spans="1:1" x14ac:dyDescent="0.25">
      <c r="A1695" t="s">
        <v>12553</v>
      </c>
    </row>
    <row r="1696" spans="1:1" x14ac:dyDescent="0.25">
      <c r="A1696" t="s">
        <v>12554</v>
      </c>
    </row>
    <row r="1697" spans="1:1" x14ac:dyDescent="0.25">
      <c r="A1697" t="s">
        <v>12555</v>
      </c>
    </row>
    <row r="1698" spans="1:1" x14ac:dyDescent="0.25">
      <c r="A1698" t="s">
        <v>12556</v>
      </c>
    </row>
    <row r="1699" spans="1:1" x14ac:dyDescent="0.25">
      <c r="A1699" t="s">
        <v>12557</v>
      </c>
    </row>
    <row r="1700" spans="1:1" x14ac:dyDescent="0.25">
      <c r="A1700" t="s">
        <v>12558</v>
      </c>
    </row>
    <row r="1701" spans="1:1" x14ac:dyDescent="0.25">
      <c r="A1701" t="s">
        <v>12559</v>
      </c>
    </row>
    <row r="1702" spans="1:1" x14ac:dyDescent="0.25">
      <c r="A1702" t="s">
        <v>12560</v>
      </c>
    </row>
    <row r="1703" spans="1:1" x14ac:dyDescent="0.25">
      <c r="A1703" t="s">
        <v>12561</v>
      </c>
    </row>
    <row r="1704" spans="1:1" x14ac:dyDescent="0.25">
      <c r="A1704" t="s">
        <v>8608</v>
      </c>
    </row>
    <row r="1705" spans="1:1" x14ac:dyDescent="0.25">
      <c r="A1705" t="s">
        <v>12562</v>
      </c>
    </row>
    <row r="1706" spans="1:1" x14ac:dyDescent="0.25">
      <c r="A1706" t="s">
        <v>12563</v>
      </c>
    </row>
    <row r="1707" spans="1:1" x14ac:dyDescent="0.25">
      <c r="A1707" t="s">
        <v>12564</v>
      </c>
    </row>
    <row r="1708" spans="1:1" x14ac:dyDescent="0.25">
      <c r="A1708" t="s">
        <v>12565</v>
      </c>
    </row>
    <row r="1709" spans="1:1" x14ac:dyDescent="0.25">
      <c r="A1709" t="s">
        <v>12566</v>
      </c>
    </row>
    <row r="1710" spans="1:1" x14ac:dyDescent="0.25">
      <c r="A1710" t="s">
        <v>12568</v>
      </c>
    </row>
    <row r="1711" spans="1:1" x14ac:dyDescent="0.25">
      <c r="A1711" t="s">
        <v>12569</v>
      </c>
    </row>
    <row r="1712" spans="1:1" x14ac:dyDescent="0.25">
      <c r="A1712" t="s">
        <v>12570</v>
      </c>
    </row>
    <row r="1713" spans="1:1" x14ac:dyDescent="0.25">
      <c r="A1713" t="s">
        <v>12571</v>
      </c>
    </row>
    <row r="1714" spans="1:1" x14ac:dyDescent="0.25">
      <c r="A1714" t="s">
        <v>12572</v>
      </c>
    </row>
    <row r="1715" spans="1:1" x14ac:dyDescent="0.25">
      <c r="A1715" t="s">
        <v>8610</v>
      </c>
    </row>
    <row r="1716" spans="1:1" x14ac:dyDescent="0.25">
      <c r="A1716" t="s">
        <v>12573</v>
      </c>
    </row>
    <row r="1717" spans="1:1" x14ac:dyDescent="0.25">
      <c r="A1717" t="s">
        <v>12574</v>
      </c>
    </row>
    <row r="1718" spans="1:1" x14ac:dyDescent="0.25">
      <c r="A1718" t="s">
        <v>12575</v>
      </c>
    </row>
    <row r="1719" spans="1:1" x14ac:dyDescent="0.25">
      <c r="A1719" t="s">
        <v>12577</v>
      </c>
    </row>
    <row r="1720" spans="1:1" x14ac:dyDescent="0.25">
      <c r="A1720" t="s">
        <v>12579</v>
      </c>
    </row>
    <row r="1721" spans="1:1" x14ac:dyDescent="0.25">
      <c r="A1721" t="s">
        <v>12581</v>
      </c>
    </row>
    <row r="1722" spans="1:1" x14ac:dyDescent="0.25">
      <c r="A1722" t="s">
        <v>12583</v>
      </c>
    </row>
    <row r="1723" spans="1:1" x14ac:dyDescent="0.25">
      <c r="A1723" t="s">
        <v>12584</v>
      </c>
    </row>
    <row r="1724" spans="1:1" x14ac:dyDescent="0.25">
      <c r="A1724" t="s">
        <v>12585</v>
      </c>
    </row>
    <row r="1725" spans="1:1" x14ac:dyDescent="0.25">
      <c r="A1725" t="s">
        <v>9490</v>
      </c>
    </row>
    <row r="1726" spans="1:1" x14ac:dyDescent="0.25">
      <c r="A1726" t="s">
        <v>12587</v>
      </c>
    </row>
    <row r="1727" spans="1:1" x14ac:dyDescent="0.25">
      <c r="A1727" t="s">
        <v>12588</v>
      </c>
    </row>
    <row r="1728" spans="1:1" x14ac:dyDescent="0.25">
      <c r="A1728" t="s">
        <v>12589</v>
      </c>
    </row>
    <row r="1729" spans="1:1" x14ac:dyDescent="0.25">
      <c r="A1729" t="s">
        <v>12590</v>
      </c>
    </row>
    <row r="1730" spans="1:1" x14ac:dyDescent="0.25">
      <c r="A1730" t="s">
        <v>12591</v>
      </c>
    </row>
    <row r="1731" spans="1:1" x14ac:dyDescent="0.25">
      <c r="A1731" t="s">
        <v>12592</v>
      </c>
    </row>
    <row r="1732" spans="1:1" x14ac:dyDescent="0.25">
      <c r="A1732" t="s">
        <v>12593</v>
      </c>
    </row>
    <row r="1733" spans="1:1" x14ac:dyDescent="0.25">
      <c r="A1733" t="s">
        <v>12594</v>
      </c>
    </row>
    <row r="1734" spans="1:1" x14ac:dyDescent="0.25">
      <c r="A1734" t="s">
        <v>12595</v>
      </c>
    </row>
    <row r="1735" spans="1:1" x14ac:dyDescent="0.25">
      <c r="A1735" t="s">
        <v>12596</v>
      </c>
    </row>
    <row r="1736" spans="1:1" x14ac:dyDescent="0.25">
      <c r="A1736" t="s">
        <v>12597</v>
      </c>
    </row>
    <row r="1737" spans="1:1" x14ac:dyDescent="0.25">
      <c r="A1737" t="s">
        <v>12599</v>
      </c>
    </row>
    <row r="1738" spans="1:1" x14ac:dyDescent="0.25">
      <c r="A1738" t="s">
        <v>12600</v>
      </c>
    </row>
    <row r="1739" spans="1:1" x14ac:dyDescent="0.25">
      <c r="A1739" t="s">
        <v>12601</v>
      </c>
    </row>
    <row r="1740" spans="1:1" x14ac:dyDescent="0.25">
      <c r="A1740" t="s">
        <v>12602</v>
      </c>
    </row>
    <row r="1741" spans="1:1" x14ac:dyDescent="0.25">
      <c r="A1741" t="s">
        <v>12603</v>
      </c>
    </row>
    <row r="1742" spans="1:1" x14ac:dyDescent="0.25">
      <c r="A1742" t="s">
        <v>12604</v>
      </c>
    </row>
    <row r="1743" spans="1:1" x14ac:dyDescent="0.25">
      <c r="A1743" t="s">
        <v>12605</v>
      </c>
    </row>
    <row r="1744" spans="1:1" x14ac:dyDescent="0.25">
      <c r="A1744" t="s">
        <v>9498</v>
      </c>
    </row>
    <row r="1745" spans="1:1" x14ac:dyDescent="0.25">
      <c r="A1745" t="s">
        <v>12606</v>
      </c>
    </row>
    <row r="1746" spans="1:1" x14ac:dyDescent="0.25">
      <c r="A1746" t="s">
        <v>12609</v>
      </c>
    </row>
    <row r="1747" spans="1:1" x14ac:dyDescent="0.25">
      <c r="A1747" t="s">
        <v>12612</v>
      </c>
    </row>
    <row r="1748" spans="1:1" x14ac:dyDescent="0.25">
      <c r="A1748" t="s">
        <v>12616</v>
      </c>
    </row>
    <row r="1749" spans="1:1" x14ac:dyDescent="0.25">
      <c r="A1749" t="s">
        <v>12617</v>
      </c>
    </row>
    <row r="1750" spans="1:1" x14ac:dyDescent="0.25">
      <c r="A1750" t="s">
        <v>12618</v>
      </c>
    </row>
    <row r="1751" spans="1:1" x14ac:dyDescent="0.25">
      <c r="A1751" t="s">
        <v>12620</v>
      </c>
    </row>
    <row r="1752" spans="1:1" x14ac:dyDescent="0.25">
      <c r="A1752" t="s">
        <v>12621</v>
      </c>
    </row>
    <row r="1753" spans="1:1" x14ac:dyDescent="0.25">
      <c r="A1753" t="s">
        <v>12622</v>
      </c>
    </row>
    <row r="1754" spans="1:1" x14ac:dyDescent="0.25">
      <c r="A1754" t="s">
        <v>12623</v>
      </c>
    </row>
    <row r="1755" spans="1:1" x14ac:dyDescent="0.25">
      <c r="A1755" t="s">
        <v>12624</v>
      </c>
    </row>
    <row r="1756" spans="1:1" x14ac:dyDescent="0.25">
      <c r="A1756" t="s">
        <v>8826</v>
      </c>
    </row>
    <row r="1757" spans="1:1" x14ac:dyDescent="0.25">
      <c r="A1757" t="s">
        <v>12625</v>
      </c>
    </row>
    <row r="1758" spans="1:1" x14ac:dyDescent="0.25">
      <c r="A1758" t="s">
        <v>12626</v>
      </c>
    </row>
    <row r="1759" spans="1:1" x14ac:dyDescent="0.25">
      <c r="A1759" t="s">
        <v>12627</v>
      </c>
    </row>
    <row r="1760" spans="1:1" x14ac:dyDescent="0.25">
      <c r="A1760" t="s">
        <v>12628</v>
      </c>
    </row>
    <row r="1761" spans="1:1" x14ac:dyDescent="0.25">
      <c r="A1761" t="s">
        <v>12629</v>
      </c>
    </row>
    <row r="1762" spans="1:1" x14ac:dyDescent="0.25">
      <c r="A1762" t="s">
        <v>12630</v>
      </c>
    </row>
    <row r="1763" spans="1:1" x14ac:dyDescent="0.25">
      <c r="A1763" t="s">
        <v>12631</v>
      </c>
    </row>
    <row r="1764" spans="1:1" x14ac:dyDescent="0.25">
      <c r="A1764" t="s">
        <v>12632</v>
      </c>
    </row>
    <row r="1765" spans="1:1" x14ac:dyDescent="0.25">
      <c r="A1765" t="s">
        <v>8765</v>
      </c>
    </row>
    <row r="1766" spans="1:1" x14ac:dyDescent="0.25">
      <c r="A1766" t="s">
        <v>12633</v>
      </c>
    </row>
    <row r="1767" spans="1:1" x14ac:dyDescent="0.25">
      <c r="A1767" t="s">
        <v>12634</v>
      </c>
    </row>
    <row r="1768" spans="1:1" x14ac:dyDescent="0.25">
      <c r="A1768" t="s">
        <v>9506</v>
      </c>
    </row>
    <row r="1769" spans="1:1" x14ac:dyDescent="0.25">
      <c r="A1769" t="s">
        <v>12635</v>
      </c>
    </row>
    <row r="1770" spans="1:1" x14ac:dyDescent="0.25">
      <c r="A1770" t="s">
        <v>12636</v>
      </c>
    </row>
    <row r="1771" spans="1:1" x14ac:dyDescent="0.25">
      <c r="A1771" t="s">
        <v>12637</v>
      </c>
    </row>
    <row r="1772" spans="1:1" x14ac:dyDescent="0.25">
      <c r="A1772" t="s">
        <v>12638</v>
      </c>
    </row>
    <row r="1773" spans="1:1" x14ac:dyDescent="0.25">
      <c r="A1773" t="s">
        <v>12639</v>
      </c>
    </row>
    <row r="1774" spans="1:1" x14ac:dyDescent="0.25">
      <c r="A1774" t="s">
        <v>12640</v>
      </c>
    </row>
    <row r="1775" spans="1:1" x14ac:dyDescent="0.25">
      <c r="A1775" t="s">
        <v>12641</v>
      </c>
    </row>
    <row r="1776" spans="1:1" x14ac:dyDescent="0.25">
      <c r="A1776" t="s">
        <v>12642</v>
      </c>
    </row>
    <row r="1777" spans="1:1" x14ac:dyDescent="0.25">
      <c r="A1777" t="s">
        <v>12643</v>
      </c>
    </row>
    <row r="1778" spans="1:1" x14ac:dyDescent="0.25">
      <c r="A1778" t="s">
        <v>12644</v>
      </c>
    </row>
    <row r="1779" spans="1:1" x14ac:dyDescent="0.25">
      <c r="A1779" t="s">
        <v>12645</v>
      </c>
    </row>
    <row r="1780" spans="1:1" x14ac:dyDescent="0.25">
      <c r="A1780" t="s">
        <v>12646</v>
      </c>
    </row>
    <row r="1781" spans="1:1" x14ac:dyDescent="0.25">
      <c r="A1781" t="s">
        <v>12647</v>
      </c>
    </row>
    <row r="1782" spans="1:1" x14ac:dyDescent="0.25">
      <c r="A1782" t="s">
        <v>12648</v>
      </c>
    </row>
    <row r="1783" spans="1:1" x14ac:dyDescent="0.25">
      <c r="A1783" t="s">
        <v>12649</v>
      </c>
    </row>
    <row r="1784" spans="1:1" x14ac:dyDescent="0.25">
      <c r="A1784" t="s">
        <v>12650</v>
      </c>
    </row>
    <row r="1785" spans="1:1" x14ac:dyDescent="0.25">
      <c r="A1785" t="s">
        <v>12651</v>
      </c>
    </row>
    <row r="1786" spans="1:1" x14ac:dyDescent="0.25">
      <c r="A1786" t="s">
        <v>12652</v>
      </c>
    </row>
    <row r="1787" spans="1:1" x14ac:dyDescent="0.25">
      <c r="A1787" t="s">
        <v>12653</v>
      </c>
    </row>
    <row r="1788" spans="1:1" x14ac:dyDescent="0.25">
      <c r="A1788" t="s">
        <v>12655</v>
      </c>
    </row>
    <row r="1789" spans="1:1" x14ac:dyDescent="0.25">
      <c r="A1789" t="s">
        <v>12656</v>
      </c>
    </row>
    <row r="1790" spans="1:1" x14ac:dyDescent="0.25">
      <c r="A1790" t="s">
        <v>12657</v>
      </c>
    </row>
    <row r="1791" spans="1:1" x14ac:dyDescent="0.25">
      <c r="A1791" t="s">
        <v>12658</v>
      </c>
    </row>
    <row r="1792" spans="1:1" x14ac:dyDescent="0.25">
      <c r="A1792" t="s">
        <v>12659</v>
      </c>
    </row>
    <row r="1793" spans="1:1" x14ac:dyDescent="0.25">
      <c r="A1793" t="s">
        <v>12661</v>
      </c>
    </row>
    <row r="1794" spans="1:1" x14ac:dyDescent="0.25">
      <c r="A1794" t="s">
        <v>12662</v>
      </c>
    </row>
    <row r="1795" spans="1:1" x14ac:dyDescent="0.25">
      <c r="A1795" t="s">
        <v>12663</v>
      </c>
    </row>
    <row r="1796" spans="1:1" x14ac:dyDescent="0.25">
      <c r="A1796" t="s">
        <v>12664</v>
      </c>
    </row>
    <row r="1797" spans="1:1" x14ac:dyDescent="0.25">
      <c r="A1797" t="s">
        <v>12665</v>
      </c>
    </row>
    <row r="1798" spans="1:1" x14ac:dyDescent="0.25">
      <c r="A1798" t="s">
        <v>12666</v>
      </c>
    </row>
    <row r="1799" spans="1:1" x14ac:dyDescent="0.25">
      <c r="A1799" t="s">
        <v>12667</v>
      </c>
    </row>
    <row r="1800" spans="1:1" x14ac:dyDescent="0.25">
      <c r="A1800" t="s">
        <v>8767</v>
      </c>
    </row>
    <row r="1801" spans="1:1" x14ac:dyDescent="0.25">
      <c r="A1801" t="s">
        <v>8828</v>
      </c>
    </row>
    <row r="1802" spans="1:1" x14ac:dyDescent="0.25">
      <c r="A1802" t="s">
        <v>12668</v>
      </c>
    </row>
    <row r="1803" spans="1:1" x14ac:dyDescent="0.25">
      <c r="A1803" t="s">
        <v>12669</v>
      </c>
    </row>
    <row r="1804" spans="1:1" x14ac:dyDescent="0.25">
      <c r="A1804" t="s">
        <v>12671</v>
      </c>
    </row>
    <row r="1805" spans="1:1" x14ac:dyDescent="0.25">
      <c r="A1805" t="s">
        <v>12672</v>
      </c>
    </row>
    <row r="1806" spans="1:1" x14ac:dyDescent="0.25">
      <c r="A1806" t="s">
        <v>12676</v>
      </c>
    </row>
    <row r="1807" spans="1:1" x14ac:dyDescent="0.25">
      <c r="A1807" t="s">
        <v>12677</v>
      </c>
    </row>
    <row r="1808" spans="1:1" x14ac:dyDescent="0.25">
      <c r="A1808" t="s">
        <v>12679</v>
      </c>
    </row>
    <row r="1809" spans="1:1" x14ac:dyDescent="0.25">
      <c r="A1809" t="s">
        <v>9509</v>
      </c>
    </row>
    <row r="1810" spans="1:1" x14ac:dyDescent="0.25">
      <c r="A1810" t="s">
        <v>12682</v>
      </c>
    </row>
    <row r="1811" spans="1:1" x14ac:dyDescent="0.25">
      <c r="A1811" t="s">
        <v>12683</v>
      </c>
    </row>
    <row r="1812" spans="1:1" x14ac:dyDescent="0.25">
      <c r="A1812" t="s">
        <v>12684</v>
      </c>
    </row>
    <row r="1813" spans="1:1" x14ac:dyDescent="0.25">
      <c r="A1813" t="s">
        <v>12685</v>
      </c>
    </row>
    <row r="1814" spans="1:1" x14ac:dyDescent="0.25">
      <c r="A1814" t="s">
        <v>12686</v>
      </c>
    </row>
    <row r="1815" spans="1:1" x14ac:dyDescent="0.25">
      <c r="A1815" t="s">
        <v>12688</v>
      </c>
    </row>
    <row r="1816" spans="1:1" x14ac:dyDescent="0.25">
      <c r="A1816" t="s">
        <v>12689</v>
      </c>
    </row>
    <row r="1817" spans="1:1" x14ac:dyDescent="0.25">
      <c r="A1817" t="s">
        <v>12690</v>
      </c>
    </row>
    <row r="1818" spans="1:1" x14ac:dyDescent="0.25">
      <c r="A1818" t="s">
        <v>12692</v>
      </c>
    </row>
    <row r="1819" spans="1:1" x14ac:dyDescent="0.25">
      <c r="A1819" t="s">
        <v>12693</v>
      </c>
    </row>
    <row r="1820" spans="1:1" x14ac:dyDescent="0.25">
      <c r="A1820" t="s">
        <v>8106</v>
      </c>
    </row>
    <row r="1821" spans="1:1" x14ac:dyDescent="0.25">
      <c r="A1821" t="s">
        <v>12694</v>
      </c>
    </row>
    <row r="1822" spans="1:1" x14ac:dyDescent="0.25">
      <c r="A1822" t="s">
        <v>12695</v>
      </c>
    </row>
    <row r="1823" spans="1:1" x14ac:dyDescent="0.25">
      <c r="A1823" t="s">
        <v>12696</v>
      </c>
    </row>
    <row r="1824" spans="1:1" x14ac:dyDescent="0.25">
      <c r="A1824" t="s">
        <v>12697</v>
      </c>
    </row>
    <row r="1825" spans="1:1" x14ac:dyDescent="0.25">
      <c r="A1825" t="s">
        <v>12698</v>
      </c>
    </row>
    <row r="1826" spans="1:1" x14ac:dyDescent="0.25">
      <c r="A1826" t="s">
        <v>8112</v>
      </c>
    </row>
    <row r="1827" spans="1:1" x14ac:dyDescent="0.25">
      <c r="A1827" t="s">
        <v>12699</v>
      </c>
    </row>
    <row r="1828" spans="1:1" x14ac:dyDescent="0.25">
      <c r="A1828" t="s">
        <v>12701</v>
      </c>
    </row>
    <row r="1829" spans="1:1" x14ac:dyDescent="0.25">
      <c r="A1829" t="s">
        <v>12702</v>
      </c>
    </row>
    <row r="1830" spans="1:1" x14ac:dyDescent="0.25">
      <c r="A1830" t="s">
        <v>12703</v>
      </c>
    </row>
    <row r="1831" spans="1:1" x14ac:dyDescent="0.25">
      <c r="A1831" t="s">
        <v>12704</v>
      </c>
    </row>
    <row r="1832" spans="1:1" x14ac:dyDescent="0.25">
      <c r="A1832" t="s">
        <v>12705</v>
      </c>
    </row>
    <row r="1833" spans="1:1" x14ac:dyDescent="0.25">
      <c r="A1833" t="s">
        <v>12706</v>
      </c>
    </row>
    <row r="1834" spans="1:1" x14ac:dyDescent="0.25">
      <c r="A1834" t="s">
        <v>12710</v>
      </c>
    </row>
    <row r="1835" spans="1:1" x14ac:dyDescent="0.25">
      <c r="A1835" t="s">
        <v>12711</v>
      </c>
    </row>
    <row r="1836" spans="1:1" x14ac:dyDescent="0.25">
      <c r="A1836" t="s">
        <v>12712</v>
      </c>
    </row>
    <row r="1837" spans="1:1" x14ac:dyDescent="0.25">
      <c r="A1837" t="s">
        <v>12713</v>
      </c>
    </row>
    <row r="1838" spans="1:1" x14ac:dyDescent="0.25">
      <c r="A1838" t="s">
        <v>12714</v>
      </c>
    </row>
    <row r="1839" spans="1:1" x14ac:dyDescent="0.25">
      <c r="A1839" t="s">
        <v>12715</v>
      </c>
    </row>
    <row r="1840" spans="1:1" x14ac:dyDescent="0.25">
      <c r="A1840" t="s">
        <v>12716</v>
      </c>
    </row>
    <row r="1841" spans="1:1" x14ac:dyDescent="0.25">
      <c r="A1841" t="s">
        <v>12717</v>
      </c>
    </row>
    <row r="1842" spans="1:1" x14ac:dyDescent="0.25">
      <c r="A1842" t="s">
        <v>12719</v>
      </c>
    </row>
    <row r="1843" spans="1:1" x14ac:dyDescent="0.25">
      <c r="A1843" t="s">
        <v>12720</v>
      </c>
    </row>
    <row r="1844" spans="1:1" x14ac:dyDescent="0.25">
      <c r="A1844" t="s">
        <v>12721</v>
      </c>
    </row>
    <row r="1845" spans="1:1" x14ac:dyDescent="0.25">
      <c r="A1845" t="s">
        <v>10800</v>
      </c>
    </row>
    <row r="1846" spans="1:1" x14ac:dyDescent="0.25">
      <c r="A1846" t="s">
        <v>9524</v>
      </c>
    </row>
    <row r="1847" spans="1:1" x14ac:dyDescent="0.25">
      <c r="A1847" t="s">
        <v>12724</v>
      </c>
    </row>
    <row r="1848" spans="1:1" x14ac:dyDescent="0.25">
      <c r="A1848" t="s">
        <v>12727</v>
      </c>
    </row>
    <row r="1849" spans="1:1" x14ac:dyDescent="0.25">
      <c r="A1849" t="s">
        <v>12728</v>
      </c>
    </row>
    <row r="1850" spans="1:1" x14ac:dyDescent="0.25">
      <c r="A1850" t="s">
        <v>12729</v>
      </c>
    </row>
    <row r="1851" spans="1:1" x14ac:dyDescent="0.25">
      <c r="A1851" t="s">
        <v>12730</v>
      </c>
    </row>
    <row r="1852" spans="1:1" x14ac:dyDescent="0.25">
      <c r="A1852" t="s">
        <v>12731</v>
      </c>
    </row>
    <row r="1853" spans="1:1" x14ac:dyDescent="0.25">
      <c r="A1853" t="s">
        <v>12733</v>
      </c>
    </row>
    <row r="1854" spans="1:1" x14ac:dyDescent="0.25">
      <c r="A1854" t="s">
        <v>12734</v>
      </c>
    </row>
    <row r="1855" spans="1:1" x14ac:dyDescent="0.25">
      <c r="A1855" t="s">
        <v>12735</v>
      </c>
    </row>
    <row r="1856" spans="1:1" x14ac:dyDescent="0.25">
      <c r="A1856" t="s">
        <v>12736</v>
      </c>
    </row>
    <row r="1857" spans="1:1" x14ac:dyDescent="0.25">
      <c r="A1857" t="s">
        <v>12737</v>
      </c>
    </row>
    <row r="1858" spans="1:1" x14ac:dyDescent="0.25">
      <c r="A1858" t="s">
        <v>12738</v>
      </c>
    </row>
    <row r="1859" spans="1:1" x14ac:dyDescent="0.25">
      <c r="A1859" t="s">
        <v>12739</v>
      </c>
    </row>
    <row r="1860" spans="1:1" x14ac:dyDescent="0.25">
      <c r="A1860" t="s">
        <v>12740</v>
      </c>
    </row>
    <row r="1861" spans="1:1" x14ac:dyDescent="0.25">
      <c r="A1861" t="s">
        <v>12741</v>
      </c>
    </row>
    <row r="1862" spans="1:1" x14ac:dyDescent="0.25">
      <c r="A1862" t="s">
        <v>12742</v>
      </c>
    </row>
    <row r="1863" spans="1:1" x14ac:dyDescent="0.25">
      <c r="A1863" t="s">
        <v>12743</v>
      </c>
    </row>
    <row r="1864" spans="1:1" x14ac:dyDescent="0.25">
      <c r="A1864" t="s">
        <v>12744</v>
      </c>
    </row>
    <row r="1865" spans="1:1" x14ac:dyDescent="0.25">
      <c r="A1865" t="s">
        <v>12745</v>
      </c>
    </row>
    <row r="1866" spans="1:1" x14ac:dyDescent="0.25">
      <c r="A1866" t="s">
        <v>12746</v>
      </c>
    </row>
    <row r="1867" spans="1:1" x14ac:dyDescent="0.25">
      <c r="A1867" t="s">
        <v>12747</v>
      </c>
    </row>
    <row r="1868" spans="1:1" x14ac:dyDescent="0.25">
      <c r="A1868" t="s">
        <v>12748</v>
      </c>
    </row>
    <row r="1869" spans="1:1" x14ac:dyDescent="0.25">
      <c r="A1869" t="s">
        <v>12749</v>
      </c>
    </row>
    <row r="1870" spans="1:1" x14ac:dyDescent="0.25">
      <c r="A1870" t="s">
        <v>12750</v>
      </c>
    </row>
    <row r="1871" spans="1:1" x14ac:dyDescent="0.25">
      <c r="A1871" t="s">
        <v>12751</v>
      </c>
    </row>
    <row r="1872" spans="1:1" x14ac:dyDescent="0.25">
      <c r="A1872" t="s">
        <v>12752</v>
      </c>
    </row>
    <row r="1873" spans="1:1" x14ac:dyDescent="0.25">
      <c r="A1873" t="s">
        <v>12753</v>
      </c>
    </row>
    <row r="1874" spans="1:1" x14ac:dyDescent="0.25">
      <c r="A1874" t="s">
        <v>12754</v>
      </c>
    </row>
    <row r="1875" spans="1:1" x14ac:dyDescent="0.25">
      <c r="A1875" t="s">
        <v>12755</v>
      </c>
    </row>
    <row r="1876" spans="1:1" x14ac:dyDescent="0.25">
      <c r="A1876" t="s">
        <v>9761</v>
      </c>
    </row>
    <row r="1877" spans="1:1" x14ac:dyDescent="0.25">
      <c r="A1877" t="s">
        <v>12756</v>
      </c>
    </row>
    <row r="1878" spans="1:1" x14ac:dyDescent="0.25">
      <c r="A1878" t="s">
        <v>12757</v>
      </c>
    </row>
    <row r="1879" spans="1:1" x14ac:dyDescent="0.25">
      <c r="A1879" t="s">
        <v>12758</v>
      </c>
    </row>
    <row r="1880" spans="1:1" x14ac:dyDescent="0.25">
      <c r="A1880" t="s">
        <v>12759</v>
      </c>
    </row>
    <row r="1881" spans="1:1" x14ac:dyDescent="0.25">
      <c r="A1881" t="s">
        <v>12760</v>
      </c>
    </row>
    <row r="1882" spans="1:1" x14ac:dyDescent="0.25">
      <c r="A1882" t="s">
        <v>12761</v>
      </c>
    </row>
    <row r="1883" spans="1:1" x14ac:dyDescent="0.25">
      <c r="A1883" t="s">
        <v>12764</v>
      </c>
    </row>
    <row r="1884" spans="1:1" x14ac:dyDescent="0.25">
      <c r="A1884" t="s">
        <v>12765</v>
      </c>
    </row>
    <row r="1885" spans="1:1" x14ac:dyDescent="0.25">
      <c r="A1885" t="s">
        <v>12767</v>
      </c>
    </row>
    <row r="1886" spans="1:1" x14ac:dyDescent="0.25">
      <c r="A1886" t="s">
        <v>12768</v>
      </c>
    </row>
    <row r="1887" spans="1:1" x14ac:dyDescent="0.25">
      <c r="A1887" t="s">
        <v>12769</v>
      </c>
    </row>
    <row r="1888" spans="1:1" x14ac:dyDescent="0.25">
      <c r="A1888" t="s">
        <v>12770</v>
      </c>
    </row>
    <row r="1889" spans="1:1" x14ac:dyDescent="0.25">
      <c r="A1889" t="s">
        <v>12771</v>
      </c>
    </row>
    <row r="1890" spans="1:1" x14ac:dyDescent="0.25">
      <c r="A1890" t="s">
        <v>12772</v>
      </c>
    </row>
    <row r="1891" spans="1:1" x14ac:dyDescent="0.25">
      <c r="A1891" t="s">
        <v>12773</v>
      </c>
    </row>
    <row r="1892" spans="1:1" x14ac:dyDescent="0.25">
      <c r="A1892" t="s">
        <v>12774</v>
      </c>
    </row>
    <row r="1893" spans="1:1" x14ac:dyDescent="0.25">
      <c r="A1893" t="s">
        <v>12775</v>
      </c>
    </row>
    <row r="1894" spans="1:1" x14ac:dyDescent="0.25">
      <c r="A1894" t="s">
        <v>12776</v>
      </c>
    </row>
    <row r="1895" spans="1:1" x14ac:dyDescent="0.25">
      <c r="A1895" t="s">
        <v>12779</v>
      </c>
    </row>
    <row r="1896" spans="1:1" x14ac:dyDescent="0.25">
      <c r="A1896" t="s">
        <v>12780</v>
      </c>
    </row>
    <row r="1897" spans="1:1" x14ac:dyDescent="0.25">
      <c r="A1897" t="s">
        <v>12782</v>
      </c>
    </row>
    <row r="1898" spans="1:1" x14ac:dyDescent="0.25">
      <c r="A1898" t="s">
        <v>12783</v>
      </c>
    </row>
    <row r="1899" spans="1:1" x14ac:dyDescent="0.25">
      <c r="A1899" t="s">
        <v>12784</v>
      </c>
    </row>
    <row r="1900" spans="1:1" x14ac:dyDescent="0.25">
      <c r="A1900" t="s">
        <v>12785</v>
      </c>
    </row>
    <row r="1901" spans="1:1" x14ac:dyDescent="0.25">
      <c r="A1901" t="s">
        <v>12786</v>
      </c>
    </row>
    <row r="1902" spans="1:1" x14ac:dyDescent="0.25">
      <c r="A1902" t="s">
        <v>12787</v>
      </c>
    </row>
    <row r="1903" spans="1:1" x14ac:dyDescent="0.25">
      <c r="A1903" t="s">
        <v>12789</v>
      </c>
    </row>
    <row r="1904" spans="1:1" x14ac:dyDescent="0.25">
      <c r="A1904" t="s">
        <v>12790</v>
      </c>
    </row>
    <row r="1905" spans="1:1" x14ac:dyDescent="0.25">
      <c r="A1905" t="s">
        <v>12791</v>
      </c>
    </row>
    <row r="1906" spans="1:1" x14ac:dyDescent="0.25">
      <c r="A1906" t="s">
        <v>12793</v>
      </c>
    </row>
    <row r="1907" spans="1:1" x14ac:dyDescent="0.25">
      <c r="A1907" t="s">
        <v>12794</v>
      </c>
    </row>
    <row r="1908" spans="1:1" x14ac:dyDescent="0.25">
      <c r="A1908" t="s">
        <v>12795</v>
      </c>
    </row>
    <row r="1909" spans="1:1" x14ac:dyDescent="0.25">
      <c r="A1909" t="s">
        <v>12796</v>
      </c>
    </row>
    <row r="1910" spans="1:1" x14ac:dyDescent="0.25">
      <c r="A1910" t="s">
        <v>12797</v>
      </c>
    </row>
    <row r="1911" spans="1:1" x14ac:dyDescent="0.25">
      <c r="A1911" t="s">
        <v>12798</v>
      </c>
    </row>
    <row r="1912" spans="1:1" x14ac:dyDescent="0.25">
      <c r="A1912" t="s">
        <v>12799</v>
      </c>
    </row>
    <row r="1913" spans="1:1" x14ac:dyDescent="0.25">
      <c r="A1913" t="s">
        <v>12800</v>
      </c>
    </row>
    <row r="1914" spans="1:1" x14ac:dyDescent="0.25">
      <c r="A1914" t="s">
        <v>9536</v>
      </c>
    </row>
    <row r="1915" spans="1:1" x14ac:dyDescent="0.25">
      <c r="A1915" t="s">
        <v>12801</v>
      </c>
    </row>
    <row r="1916" spans="1:1" x14ac:dyDescent="0.25">
      <c r="A1916" t="s">
        <v>12803</v>
      </c>
    </row>
    <row r="1917" spans="1:1" x14ac:dyDescent="0.25">
      <c r="A1917" t="s">
        <v>12806</v>
      </c>
    </row>
    <row r="1918" spans="1:1" x14ac:dyDescent="0.25">
      <c r="A1918" t="s">
        <v>12807</v>
      </c>
    </row>
    <row r="1919" spans="1:1" x14ac:dyDescent="0.25">
      <c r="A1919" t="s">
        <v>12808</v>
      </c>
    </row>
    <row r="1920" spans="1:1" x14ac:dyDescent="0.25">
      <c r="A1920" t="s">
        <v>12809</v>
      </c>
    </row>
    <row r="1921" spans="1:1" x14ac:dyDescent="0.25">
      <c r="A1921" t="s">
        <v>12810</v>
      </c>
    </row>
    <row r="1922" spans="1:1" x14ac:dyDescent="0.25">
      <c r="A1922" t="s">
        <v>12811</v>
      </c>
    </row>
    <row r="1923" spans="1:1" x14ac:dyDescent="0.25">
      <c r="A1923" t="s">
        <v>12813</v>
      </c>
    </row>
    <row r="1924" spans="1:1" x14ac:dyDescent="0.25">
      <c r="A1924" t="s">
        <v>12814</v>
      </c>
    </row>
    <row r="1925" spans="1:1" x14ac:dyDescent="0.25">
      <c r="A1925" t="s">
        <v>12816</v>
      </c>
    </row>
    <row r="1926" spans="1:1" x14ac:dyDescent="0.25">
      <c r="A1926" t="s">
        <v>12819</v>
      </c>
    </row>
    <row r="1927" spans="1:1" x14ac:dyDescent="0.25">
      <c r="A1927" t="s">
        <v>12822</v>
      </c>
    </row>
    <row r="1928" spans="1:1" x14ac:dyDescent="0.25">
      <c r="A1928" t="s">
        <v>8776</v>
      </c>
    </row>
    <row r="1929" spans="1:1" x14ac:dyDescent="0.25">
      <c r="A1929" t="s">
        <v>12824</v>
      </c>
    </row>
    <row r="1930" spans="1:1" x14ac:dyDescent="0.25">
      <c r="A1930" t="s">
        <v>12825</v>
      </c>
    </row>
    <row r="1931" spans="1:1" x14ac:dyDescent="0.25">
      <c r="A1931" t="s">
        <v>12826</v>
      </c>
    </row>
    <row r="1932" spans="1:1" x14ac:dyDescent="0.25">
      <c r="A1932" t="s">
        <v>12827</v>
      </c>
    </row>
    <row r="1933" spans="1:1" x14ac:dyDescent="0.25">
      <c r="A1933" t="s">
        <v>12828</v>
      </c>
    </row>
    <row r="1934" spans="1:1" x14ac:dyDescent="0.25">
      <c r="A1934" t="s">
        <v>12829</v>
      </c>
    </row>
    <row r="1935" spans="1:1" x14ac:dyDescent="0.25">
      <c r="A1935" t="s">
        <v>12830</v>
      </c>
    </row>
    <row r="1936" spans="1:1" x14ac:dyDescent="0.25">
      <c r="A1936" t="s">
        <v>8669</v>
      </c>
    </row>
    <row r="1937" spans="1:1" x14ac:dyDescent="0.25">
      <c r="A1937" t="s">
        <v>12832</v>
      </c>
    </row>
    <row r="1938" spans="1:1" x14ac:dyDescent="0.25">
      <c r="A1938" t="s">
        <v>12833</v>
      </c>
    </row>
    <row r="1939" spans="1:1" x14ac:dyDescent="0.25">
      <c r="A1939" t="s">
        <v>12834</v>
      </c>
    </row>
    <row r="1940" spans="1:1" x14ac:dyDescent="0.25">
      <c r="A1940" t="s">
        <v>12836</v>
      </c>
    </row>
    <row r="1941" spans="1:1" x14ac:dyDescent="0.25">
      <c r="A1941" t="s">
        <v>12837</v>
      </c>
    </row>
    <row r="1942" spans="1:1" x14ac:dyDescent="0.25">
      <c r="A1942" t="s">
        <v>12838</v>
      </c>
    </row>
    <row r="1943" spans="1:1" x14ac:dyDescent="0.25">
      <c r="A1943" t="s">
        <v>12839</v>
      </c>
    </row>
    <row r="1944" spans="1:1" x14ac:dyDescent="0.25">
      <c r="A1944" t="s">
        <v>12840</v>
      </c>
    </row>
    <row r="1945" spans="1:1" x14ac:dyDescent="0.25">
      <c r="A1945" t="s">
        <v>12841</v>
      </c>
    </row>
    <row r="1946" spans="1:1" x14ac:dyDescent="0.25">
      <c r="A1946" t="s">
        <v>12843</v>
      </c>
    </row>
    <row r="1947" spans="1:1" x14ac:dyDescent="0.25">
      <c r="A1947" t="s">
        <v>12844</v>
      </c>
    </row>
    <row r="1948" spans="1:1" x14ac:dyDescent="0.25">
      <c r="A1948" t="s">
        <v>12845</v>
      </c>
    </row>
    <row r="1949" spans="1:1" x14ac:dyDescent="0.25">
      <c r="A1949" t="s">
        <v>12847</v>
      </c>
    </row>
    <row r="1950" spans="1:1" x14ac:dyDescent="0.25">
      <c r="A1950" t="s">
        <v>12849</v>
      </c>
    </row>
    <row r="1951" spans="1:1" x14ac:dyDescent="0.25">
      <c r="A1951" t="s">
        <v>12851</v>
      </c>
    </row>
    <row r="1952" spans="1:1" x14ac:dyDescent="0.25">
      <c r="A1952" t="s">
        <v>12852</v>
      </c>
    </row>
    <row r="1953" spans="1:1" x14ac:dyDescent="0.25">
      <c r="A1953" t="s">
        <v>12854</v>
      </c>
    </row>
    <row r="1954" spans="1:1" x14ac:dyDescent="0.25">
      <c r="A1954" t="s">
        <v>12855</v>
      </c>
    </row>
    <row r="1955" spans="1:1" x14ac:dyDescent="0.25">
      <c r="A1955" t="s">
        <v>12856</v>
      </c>
    </row>
    <row r="1956" spans="1:1" x14ac:dyDescent="0.25">
      <c r="A1956" t="s">
        <v>12857</v>
      </c>
    </row>
    <row r="1957" spans="1:1" x14ac:dyDescent="0.25">
      <c r="A1957" t="s">
        <v>12858</v>
      </c>
    </row>
    <row r="1958" spans="1:1" x14ac:dyDescent="0.25">
      <c r="A1958" t="s">
        <v>12859</v>
      </c>
    </row>
    <row r="1959" spans="1:1" x14ac:dyDescent="0.25">
      <c r="A1959" t="s">
        <v>12860</v>
      </c>
    </row>
    <row r="1960" spans="1:1" x14ac:dyDescent="0.25">
      <c r="A1960" t="s">
        <v>12862</v>
      </c>
    </row>
    <row r="1961" spans="1:1" x14ac:dyDescent="0.25">
      <c r="A1961" t="s">
        <v>12863</v>
      </c>
    </row>
    <row r="1962" spans="1:1" x14ac:dyDescent="0.25">
      <c r="A1962" t="s">
        <v>12864</v>
      </c>
    </row>
    <row r="1963" spans="1:1" x14ac:dyDescent="0.25">
      <c r="A1963" t="s">
        <v>12867</v>
      </c>
    </row>
    <row r="1964" spans="1:1" x14ac:dyDescent="0.25">
      <c r="A1964" t="s">
        <v>12868</v>
      </c>
    </row>
    <row r="1965" spans="1:1" x14ac:dyDescent="0.25">
      <c r="A1965" t="s">
        <v>12869</v>
      </c>
    </row>
    <row r="1966" spans="1:1" x14ac:dyDescent="0.25">
      <c r="A1966" t="s">
        <v>12870</v>
      </c>
    </row>
    <row r="1967" spans="1:1" x14ac:dyDescent="0.25">
      <c r="A1967" t="s">
        <v>12871</v>
      </c>
    </row>
    <row r="1968" spans="1:1" x14ac:dyDescent="0.25">
      <c r="A1968" t="s">
        <v>12873</v>
      </c>
    </row>
    <row r="1969" spans="1:1" x14ac:dyDescent="0.25">
      <c r="A1969" t="s">
        <v>12875</v>
      </c>
    </row>
    <row r="1970" spans="1:1" x14ac:dyDescent="0.25">
      <c r="A1970" t="s">
        <v>12876</v>
      </c>
    </row>
    <row r="1971" spans="1:1" x14ac:dyDescent="0.25">
      <c r="A1971" t="s">
        <v>12877</v>
      </c>
    </row>
    <row r="1972" spans="1:1" x14ac:dyDescent="0.25">
      <c r="A1972" t="s">
        <v>12878</v>
      </c>
    </row>
    <row r="1973" spans="1:1" x14ac:dyDescent="0.25">
      <c r="A1973" t="s">
        <v>12879</v>
      </c>
    </row>
    <row r="1974" spans="1:1" x14ac:dyDescent="0.25">
      <c r="A1974" t="s">
        <v>12881</v>
      </c>
    </row>
    <row r="1975" spans="1:1" x14ac:dyDescent="0.25">
      <c r="A1975" t="s">
        <v>12882</v>
      </c>
    </row>
    <row r="1976" spans="1:1" x14ac:dyDescent="0.25">
      <c r="A1976" t="s">
        <v>12883</v>
      </c>
    </row>
    <row r="1977" spans="1:1" x14ac:dyDescent="0.25">
      <c r="A1977" t="s">
        <v>12885</v>
      </c>
    </row>
    <row r="1978" spans="1:1" x14ac:dyDescent="0.25">
      <c r="A1978" t="s">
        <v>12886</v>
      </c>
    </row>
    <row r="1979" spans="1:1" x14ac:dyDescent="0.25">
      <c r="A1979" t="s">
        <v>12887</v>
      </c>
    </row>
    <row r="1980" spans="1:1" x14ac:dyDescent="0.25">
      <c r="A1980" t="s">
        <v>12888</v>
      </c>
    </row>
    <row r="1981" spans="1:1" x14ac:dyDescent="0.25">
      <c r="A1981" t="s">
        <v>12889</v>
      </c>
    </row>
    <row r="1982" spans="1:1" x14ac:dyDescent="0.25">
      <c r="A1982" t="s">
        <v>12890</v>
      </c>
    </row>
    <row r="1983" spans="1:1" x14ac:dyDescent="0.25">
      <c r="A1983" t="s">
        <v>12891</v>
      </c>
    </row>
    <row r="1984" spans="1:1" x14ac:dyDescent="0.25">
      <c r="A1984" t="s">
        <v>12892</v>
      </c>
    </row>
    <row r="1985" spans="1:1" x14ac:dyDescent="0.25">
      <c r="A1985" t="s">
        <v>12894</v>
      </c>
    </row>
    <row r="1986" spans="1:1" x14ac:dyDescent="0.25">
      <c r="A1986" t="s">
        <v>12895</v>
      </c>
    </row>
    <row r="1987" spans="1:1" x14ac:dyDescent="0.25">
      <c r="A1987" t="s">
        <v>12897</v>
      </c>
    </row>
    <row r="1988" spans="1:1" x14ac:dyDescent="0.25">
      <c r="A1988" t="s">
        <v>12899</v>
      </c>
    </row>
    <row r="1989" spans="1:1" x14ac:dyDescent="0.25">
      <c r="A1989" t="s">
        <v>12900</v>
      </c>
    </row>
    <row r="1990" spans="1:1" x14ac:dyDescent="0.25">
      <c r="A1990" t="s">
        <v>12901</v>
      </c>
    </row>
    <row r="1991" spans="1:1" x14ac:dyDescent="0.25">
      <c r="A1991" t="s">
        <v>12902</v>
      </c>
    </row>
    <row r="1992" spans="1:1" x14ac:dyDescent="0.25">
      <c r="A1992" t="s">
        <v>12903</v>
      </c>
    </row>
  </sheetData>
  <pageMargins left="0.7" right="0.7" top="0.75" bottom="0.75" header="0.3" footer="0.3"/>
  <pageSetup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pane xSplit="6" ySplit="11" topLeftCell="G12" activePane="bottomRight" state="frozen"/>
      <selection pane="topRight" activeCell="G1" sqref="G1"/>
      <selection pane="bottomLeft" activeCell="A11" sqref="A11"/>
      <selection pane="bottomRight"/>
    </sheetView>
  </sheetViews>
  <sheetFormatPr defaultRowHeight="15" x14ac:dyDescent="0.25"/>
  <cols>
    <col min="1" max="1" width="23.28515625" customWidth="1"/>
    <col min="2" max="2" width="14.140625" customWidth="1"/>
    <col min="3" max="3" width="38.7109375" customWidth="1"/>
  </cols>
  <sheetData>
    <row r="1" spans="1:8" ht="20.25" x14ac:dyDescent="0.3">
      <c r="A1" s="12" t="s">
        <v>13267</v>
      </c>
    </row>
    <row r="2" spans="1:8" x14ac:dyDescent="0.25">
      <c r="A2" t="s">
        <v>13435</v>
      </c>
      <c r="B2" t="s">
        <v>2</v>
      </c>
      <c r="C2">
        <v>57</v>
      </c>
    </row>
    <row r="3" spans="1:8" x14ac:dyDescent="0.25">
      <c r="A3" t="s">
        <v>6898</v>
      </c>
      <c r="B3" t="s">
        <v>4</v>
      </c>
      <c r="C3">
        <v>77079</v>
      </c>
    </row>
    <row r="4" spans="1:8" x14ac:dyDescent="0.25">
      <c r="A4" t="s">
        <v>6900</v>
      </c>
      <c r="B4" t="s">
        <v>6</v>
      </c>
      <c r="C4" t="s">
        <v>7</v>
      </c>
    </row>
    <row r="5" spans="1:8" x14ac:dyDescent="0.25">
      <c r="A5" t="s">
        <v>8862</v>
      </c>
      <c r="B5" t="s">
        <v>9</v>
      </c>
      <c r="C5" t="s">
        <v>10</v>
      </c>
    </row>
    <row r="6" spans="1:8" x14ac:dyDescent="0.25">
      <c r="A6" t="s">
        <v>6935</v>
      </c>
      <c r="B6" t="s">
        <v>12</v>
      </c>
      <c r="C6" t="s">
        <v>13144</v>
      </c>
    </row>
    <row r="7" spans="1:8" x14ac:dyDescent="0.25">
      <c r="A7" t="s">
        <v>9772</v>
      </c>
      <c r="B7" t="s">
        <v>15</v>
      </c>
      <c r="C7" t="s">
        <v>16</v>
      </c>
    </row>
    <row r="8" spans="1:8" x14ac:dyDescent="0.25">
      <c r="A8" t="s">
        <v>8916</v>
      </c>
      <c r="B8" t="s">
        <v>18</v>
      </c>
      <c r="C8">
        <v>3</v>
      </c>
    </row>
    <row r="9" spans="1:8" x14ac:dyDescent="0.25">
      <c r="A9" t="s">
        <v>7045</v>
      </c>
      <c r="B9" t="s">
        <v>21</v>
      </c>
      <c r="C9" t="s">
        <v>19</v>
      </c>
    </row>
    <row r="10" spans="1:8" x14ac:dyDescent="0.25">
      <c r="A10" t="s">
        <v>7048</v>
      </c>
    </row>
    <row r="11" spans="1:8" x14ac:dyDescent="0.25">
      <c r="A11" t="s">
        <v>7074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</row>
    <row r="12" spans="1:8" x14ac:dyDescent="0.25">
      <c r="A12" t="s">
        <v>7079</v>
      </c>
      <c r="B12" t="str">
        <f>HYPERLINK("http://amigo.geneontology.org/cgi-bin/amigo/term-details.cgi?term=GO:0015749","GO:0015749")</f>
        <v>GO:0015749</v>
      </c>
      <c r="C12" t="s">
        <v>7258</v>
      </c>
      <c r="D12">
        <v>6</v>
      </c>
      <c r="E12">
        <v>2</v>
      </c>
      <c r="F12" s="4">
        <v>8.0437969073359992E-6</v>
      </c>
      <c r="G12">
        <v>3.6317743036621997E-2</v>
      </c>
      <c r="H12" t="s">
        <v>7139</v>
      </c>
    </row>
    <row r="13" spans="1:8" x14ac:dyDescent="0.25">
      <c r="A13" t="s">
        <v>9780</v>
      </c>
      <c r="B13" t="str">
        <f>HYPERLINK("http://amigo.geneontology.org/cgi-bin/amigo/term-details.cgi?term=GO:0034219","GO:0034219")</f>
        <v>GO:0034219</v>
      </c>
      <c r="C13" t="s">
        <v>7312</v>
      </c>
      <c r="D13">
        <v>8</v>
      </c>
      <c r="E13">
        <v>2</v>
      </c>
      <c r="F13" s="4">
        <v>1.50008083598137E-5</v>
      </c>
      <c r="G13">
        <v>3.3856824468099601E-2</v>
      </c>
      <c r="H13" t="s">
        <v>7139</v>
      </c>
    </row>
    <row r="14" spans="1:8" x14ac:dyDescent="0.25">
      <c r="A14" t="s">
        <v>7111</v>
      </c>
      <c r="B14" t="str">
        <f>HYPERLINK("http://amigo.geneontology.org/cgi-bin/amigo/term-details.cgi?term=GO:0043090","GO:0043090")</f>
        <v>GO:0043090</v>
      </c>
      <c r="C14" t="s">
        <v>7437</v>
      </c>
      <c r="D14">
        <v>18</v>
      </c>
      <c r="E14">
        <v>2</v>
      </c>
      <c r="F14" s="4">
        <v>8.1579802338920806E-5</v>
      </c>
      <c r="G14">
        <v>0.122777602520075</v>
      </c>
      <c r="H14" t="s">
        <v>7139</v>
      </c>
    </row>
    <row r="15" spans="1:8" x14ac:dyDescent="0.25">
      <c r="A15" t="s">
        <v>7120</v>
      </c>
      <c r="B15" t="str">
        <f>HYPERLINK("http://amigo.geneontology.org/cgi-bin/amigo/term-details.cgi?term=GO:0071705","GO:0071705")</f>
        <v>GO:0071705</v>
      </c>
      <c r="C15" t="s">
        <v>13436</v>
      </c>
      <c r="D15">
        <v>328</v>
      </c>
      <c r="E15">
        <v>4</v>
      </c>
      <c r="F15" s="4">
        <v>1.0645065425993599E-4</v>
      </c>
      <c r="G15">
        <v>0.12007633800520801</v>
      </c>
      <c r="H15" t="s">
        <v>13437</v>
      </c>
    </row>
    <row r="16" spans="1:8" x14ac:dyDescent="0.25">
      <c r="A16" t="s">
        <v>9001</v>
      </c>
      <c r="B16" t="str">
        <f>HYPERLINK("http://amigo.geneontology.org/cgi-bin/amigo/term-details.cgi?term=GO:0006865","GO:0006865")</f>
        <v>GO:0006865</v>
      </c>
      <c r="C16" t="s">
        <v>5232</v>
      </c>
      <c r="D16">
        <v>151</v>
      </c>
      <c r="E16">
        <v>3</v>
      </c>
      <c r="F16" s="4">
        <v>1.9953386794503E-4</v>
      </c>
      <c r="G16">
        <v>0.18017908275436201</v>
      </c>
      <c r="H16" t="s">
        <v>9817</v>
      </c>
    </row>
    <row r="17" spans="1:8" x14ac:dyDescent="0.25">
      <c r="A17" t="s">
        <v>9013</v>
      </c>
      <c r="B17" t="str">
        <f>HYPERLINK("http://amigo.geneontology.org/cgi-bin/amigo/term-details.cgi?term=GO:0046942","GO:0046942")</f>
        <v>GO:0046942</v>
      </c>
      <c r="C17" t="s">
        <v>5322</v>
      </c>
      <c r="D17">
        <v>175</v>
      </c>
      <c r="E17">
        <v>3</v>
      </c>
      <c r="F17" s="4">
        <v>3.0756662693645902E-4</v>
      </c>
      <c r="G17">
        <v>0.23129010345621701</v>
      </c>
      <c r="H17" t="s">
        <v>9817</v>
      </c>
    </row>
    <row r="18" spans="1:8" x14ac:dyDescent="0.25">
      <c r="A18" t="s">
        <v>9782</v>
      </c>
      <c r="B18" t="str">
        <f>HYPERLINK("http://amigo.geneontology.org/cgi-bin/amigo/term-details.cgi?term=GO:0055114","GO:0055114")</f>
        <v>GO:0055114</v>
      </c>
      <c r="C18" t="s">
        <v>454</v>
      </c>
      <c r="D18">
        <v>6432</v>
      </c>
      <c r="E18">
        <v>13</v>
      </c>
      <c r="F18" s="4">
        <v>6.9310776194460104E-4</v>
      </c>
      <c r="G18">
        <v>0.44705450645426797</v>
      </c>
      <c r="H18" t="s">
        <v>13438</v>
      </c>
    </row>
    <row r="19" spans="1:8" x14ac:dyDescent="0.25">
      <c r="A19" t="s">
        <v>7221</v>
      </c>
      <c r="B19" t="str">
        <f>HYPERLINK("http://amigo.geneontology.org/cgi-bin/amigo/term-details.cgi?term=GO:0045861","GO:0045861")</f>
        <v>GO:0045861</v>
      </c>
      <c r="C19" t="s">
        <v>6994</v>
      </c>
      <c r="D19">
        <v>77</v>
      </c>
      <c r="E19">
        <v>2</v>
      </c>
      <c r="F19">
        <v>1.5170526228362E-3</v>
      </c>
      <c r="G19">
        <v>0.57041178618641397</v>
      </c>
      <c r="H19" t="s">
        <v>13439</v>
      </c>
    </row>
    <row r="20" spans="1:8" x14ac:dyDescent="0.25">
      <c r="A20" t="s">
        <v>9783</v>
      </c>
      <c r="B20" t="str">
        <f>HYPERLINK("http://amigo.geneontology.org/cgi-bin/amigo/term-details.cgi?term=GO:0052547","GO:0052547")</f>
        <v>GO:0052547</v>
      </c>
      <c r="C20" t="s">
        <v>6982</v>
      </c>
      <c r="D20">
        <v>77</v>
      </c>
      <c r="E20">
        <v>2</v>
      </c>
      <c r="F20">
        <v>1.5170526228362E-3</v>
      </c>
      <c r="G20">
        <v>0.621991575362845</v>
      </c>
      <c r="H20" t="s">
        <v>13439</v>
      </c>
    </row>
    <row r="21" spans="1:8" x14ac:dyDescent="0.25">
      <c r="A21" t="s">
        <v>9090</v>
      </c>
      <c r="B21" t="str">
        <f>HYPERLINK("http://amigo.geneontology.org/cgi-bin/amigo/term-details.cgi?term=GO:0010466","GO:0010466")</f>
        <v>GO:0010466</v>
      </c>
      <c r="C21" t="s">
        <v>6985</v>
      </c>
      <c r="D21">
        <v>77</v>
      </c>
      <c r="E21">
        <v>2</v>
      </c>
      <c r="F21">
        <v>1.5170526228362E-3</v>
      </c>
      <c r="G21">
        <v>0.68419073289912902</v>
      </c>
      <c r="H21" t="s">
        <v>13439</v>
      </c>
    </row>
    <row r="22" spans="1:8" x14ac:dyDescent="0.25">
      <c r="A22" t="s">
        <v>9097</v>
      </c>
      <c r="B22" t="str">
        <f>HYPERLINK("http://amigo.geneontology.org/cgi-bin/amigo/term-details.cgi?term=GO:0052548","GO:0052548")</f>
        <v>GO:0052548</v>
      </c>
      <c r="C22" t="s">
        <v>6987</v>
      </c>
      <c r="D22">
        <v>77</v>
      </c>
      <c r="E22">
        <v>2</v>
      </c>
      <c r="F22">
        <v>1.5170526228362E-3</v>
      </c>
      <c r="G22">
        <v>0.76004336404093997</v>
      </c>
      <c r="H22" t="s">
        <v>13439</v>
      </c>
    </row>
    <row r="23" spans="1:8" x14ac:dyDescent="0.25">
      <c r="A23" t="s">
        <v>9134</v>
      </c>
      <c r="B23" t="str">
        <f>HYPERLINK("http://amigo.geneontology.org/cgi-bin/amigo/term-details.cgi?term=GO:0010951","GO:0010951")</f>
        <v>GO:0010951</v>
      </c>
      <c r="C23" t="s">
        <v>6989</v>
      </c>
      <c r="D23">
        <v>77</v>
      </c>
      <c r="E23">
        <v>2</v>
      </c>
      <c r="F23">
        <v>1.5170526228362E-3</v>
      </c>
      <c r="G23">
        <v>0.85561767927962096</v>
      </c>
      <c r="H23" t="s">
        <v>13439</v>
      </c>
    </row>
    <row r="24" spans="1:8" x14ac:dyDescent="0.25">
      <c r="A24" t="s">
        <v>9137</v>
      </c>
      <c r="B24" t="str">
        <f>HYPERLINK("http://amigo.geneontology.org/cgi-bin/amigo/term-details.cgi?term=GO:0051346","GO:0051346")</f>
        <v>GO:0051346</v>
      </c>
      <c r="C24" t="s">
        <v>7015</v>
      </c>
      <c r="D24">
        <v>85</v>
      </c>
      <c r="E24">
        <v>2</v>
      </c>
      <c r="F24">
        <v>1.8439445009062201E-3</v>
      </c>
      <c r="G24">
        <v>0.63984874181446005</v>
      </c>
      <c r="H24" t="s">
        <v>13439</v>
      </c>
    </row>
    <row r="25" spans="1:8" x14ac:dyDescent="0.25">
      <c r="A25" t="s">
        <v>9151</v>
      </c>
      <c r="B25" t="str">
        <f>HYPERLINK("http://amigo.geneontology.org/cgi-bin/amigo/term-details.cgi?term=GO:0008643","GO:0008643")</f>
        <v>GO:0008643</v>
      </c>
      <c r="C25" t="s">
        <v>80</v>
      </c>
      <c r="D25">
        <v>105</v>
      </c>
      <c r="E25">
        <v>2</v>
      </c>
      <c r="F25">
        <v>2.7935629158635901E-3</v>
      </c>
      <c r="G25">
        <v>0.89952725890807705</v>
      </c>
      <c r="H25" t="s">
        <v>7139</v>
      </c>
    </row>
    <row r="26" spans="1:8" x14ac:dyDescent="0.25">
      <c r="A26" t="s">
        <v>9163</v>
      </c>
      <c r="B26" t="str">
        <f>HYPERLINK("http://amigo.geneontology.org/cgi-bin/amigo/term-details.cgi?term=GO:0015669","GO:0015669")</f>
        <v>GO:0015669</v>
      </c>
      <c r="C26" t="s">
        <v>7274</v>
      </c>
      <c r="D26">
        <v>7</v>
      </c>
      <c r="E26">
        <v>1</v>
      </c>
      <c r="F26">
        <v>5.1652378606477402E-3</v>
      </c>
      <c r="G26">
        <v>1</v>
      </c>
      <c r="H26" t="s">
        <v>7749</v>
      </c>
    </row>
    <row r="27" spans="1:8" x14ac:dyDescent="0.25">
      <c r="A27" t="s">
        <v>9802</v>
      </c>
      <c r="B27" t="str">
        <f>HYPERLINK("http://amigo.geneontology.org/cgi-bin/amigo/term-details.cgi?term=GO:0015671","GO:0015671")</f>
        <v>GO:0015671</v>
      </c>
      <c r="C27" t="s">
        <v>7277</v>
      </c>
      <c r="D27">
        <v>7</v>
      </c>
      <c r="E27">
        <v>1</v>
      </c>
      <c r="F27">
        <v>5.1652378606477402E-3</v>
      </c>
      <c r="G27">
        <v>1</v>
      </c>
      <c r="H27" t="s">
        <v>7749</v>
      </c>
    </row>
    <row r="28" spans="1:8" x14ac:dyDescent="0.25">
      <c r="A28" t="s">
        <v>9808</v>
      </c>
      <c r="B28" t="str">
        <f>HYPERLINK("http://amigo.geneontology.org/cgi-bin/amigo/term-details.cgi?term=GO:0044205","GO:0044205")</f>
        <v>GO:0044205</v>
      </c>
      <c r="C28" t="s">
        <v>7292</v>
      </c>
      <c r="D28">
        <v>9</v>
      </c>
      <c r="E28">
        <v>1</v>
      </c>
      <c r="F28">
        <v>6.6361995641354204E-3</v>
      </c>
      <c r="G28">
        <v>1</v>
      </c>
      <c r="H28" t="s">
        <v>7649</v>
      </c>
    </row>
    <row r="29" spans="1:8" x14ac:dyDescent="0.25">
      <c r="A29" t="s">
        <v>9810</v>
      </c>
      <c r="B29" t="str">
        <f>HYPERLINK("http://amigo.geneontology.org/cgi-bin/amigo/term-details.cgi?term=GO:0008152","GO:0008152")</f>
        <v>GO:0008152</v>
      </c>
      <c r="C29" t="s">
        <v>13192</v>
      </c>
      <c r="D29">
        <v>17150</v>
      </c>
      <c r="E29">
        <v>21</v>
      </c>
      <c r="F29">
        <v>8.7638112709867797E-3</v>
      </c>
      <c r="G29">
        <v>1</v>
      </c>
      <c r="H29" t="s">
        <v>13440</v>
      </c>
    </row>
    <row r="30" spans="1:8" x14ac:dyDescent="0.25">
      <c r="A30" t="s">
        <v>7459</v>
      </c>
      <c r="B30" t="str">
        <f>HYPERLINK("http://amigo.geneontology.org/cgi-bin/amigo/term-details.cgi?term=GO:0072488","GO:0072488")</f>
        <v>GO:0072488</v>
      </c>
      <c r="C30" t="s">
        <v>13441</v>
      </c>
      <c r="D30">
        <v>23</v>
      </c>
      <c r="E30">
        <v>1</v>
      </c>
      <c r="F30">
        <v>1.6873269828093101E-2</v>
      </c>
      <c r="G30">
        <v>1</v>
      </c>
      <c r="H30" t="s">
        <v>9834</v>
      </c>
    </row>
    <row r="31" spans="1:8" x14ac:dyDescent="0.25">
      <c r="A31" t="s">
        <v>9812</v>
      </c>
      <c r="B31" t="str">
        <f>HYPERLINK("http://amigo.geneontology.org/cgi-bin/amigo/term-details.cgi?term=GO:0006207","GO:0006207")</f>
        <v>GO:0006207</v>
      </c>
      <c r="C31" t="s">
        <v>9021</v>
      </c>
      <c r="D31">
        <v>26</v>
      </c>
      <c r="E31">
        <v>1</v>
      </c>
      <c r="F31">
        <v>1.90534053391723E-2</v>
      </c>
      <c r="G31">
        <v>1</v>
      </c>
      <c r="H31" t="s">
        <v>7649</v>
      </c>
    </row>
    <row r="32" spans="1:8" x14ac:dyDescent="0.25">
      <c r="A32" t="s">
        <v>9232</v>
      </c>
      <c r="B32" t="str">
        <f>HYPERLINK("http://amigo.geneontology.org/cgi-bin/amigo/term-details.cgi?term=GO:0009174","GO:0009174")</f>
        <v>GO:0009174</v>
      </c>
      <c r="C32" t="s">
        <v>10189</v>
      </c>
      <c r="D32">
        <v>26</v>
      </c>
      <c r="E32">
        <v>1</v>
      </c>
      <c r="F32">
        <v>1.90534053391723E-2</v>
      </c>
      <c r="G32">
        <v>1</v>
      </c>
      <c r="H32" t="s">
        <v>7649</v>
      </c>
    </row>
    <row r="33" spans="1:8" x14ac:dyDescent="0.25">
      <c r="A33" t="s">
        <v>7515</v>
      </c>
      <c r="B33" t="str">
        <f>HYPERLINK("http://amigo.geneontology.org/cgi-bin/amigo/term-details.cgi?term=GO:0046049","GO:0046049")</f>
        <v>GO:0046049</v>
      </c>
      <c r="C33" t="s">
        <v>10190</v>
      </c>
      <c r="D33">
        <v>26</v>
      </c>
      <c r="E33">
        <v>1</v>
      </c>
      <c r="F33">
        <v>1.90534053391723E-2</v>
      </c>
      <c r="G33">
        <v>1</v>
      </c>
      <c r="H33" t="s">
        <v>7649</v>
      </c>
    </row>
    <row r="34" spans="1:8" x14ac:dyDescent="0.25">
      <c r="A34" t="s">
        <v>9829</v>
      </c>
      <c r="B34" t="str">
        <f>HYPERLINK("http://amigo.geneontology.org/cgi-bin/amigo/term-details.cgi?term=GO:0006222","GO:0006222")</f>
        <v>GO:0006222</v>
      </c>
      <c r="C34" t="s">
        <v>10191</v>
      </c>
      <c r="D34">
        <v>26</v>
      </c>
      <c r="E34">
        <v>1</v>
      </c>
      <c r="F34">
        <v>1.90534053391723E-2</v>
      </c>
      <c r="G34">
        <v>1</v>
      </c>
      <c r="H34" t="s">
        <v>7649</v>
      </c>
    </row>
    <row r="35" spans="1:8" x14ac:dyDescent="0.25">
      <c r="A35" t="s">
        <v>7542</v>
      </c>
      <c r="B35" t="str">
        <f>HYPERLINK("http://amigo.geneontology.org/cgi-bin/amigo/term-details.cgi?term=GO:0001666","GO:0001666")</f>
        <v>GO:0001666</v>
      </c>
      <c r="C35" t="s">
        <v>13442</v>
      </c>
      <c r="D35">
        <v>27</v>
      </c>
      <c r="E35">
        <v>1</v>
      </c>
      <c r="F35">
        <v>1.97790611325653E-2</v>
      </c>
      <c r="G35">
        <v>1</v>
      </c>
      <c r="H35" t="s">
        <v>7749</v>
      </c>
    </row>
    <row r="36" spans="1:8" x14ac:dyDescent="0.25">
      <c r="A36" t="s">
        <v>9253</v>
      </c>
      <c r="B36" t="str">
        <f>HYPERLINK("http://amigo.geneontology.org/cgi-bin/amigo/term-details.cgi?term=GO:0070482","GO:0070482")</f>
        <v>GO:0070482</v>
      </c>
      <c r="C36" t="s">
        <v>13443</v>
      </c>
      <c r="D36">
        <v>30</v>
      </c>
      <c r="E36">
        <v>1</v>
      </c>
      <c r="F36">
        <v>2.1952865658350001E-2</v>
      </c>
      <c r="G36">
        <v>1</v>
      </c>
      <c r="H36" t="s">
        <v>7749</v>
      </c>
    </row>
    <row r="37" spans="1:8" x14ac:dyDescent="0.25">
      <c r="A37" t="s">
        <v>9834</v>
      </c>
      <c r="B37" t="str">
        <f>HYPERLINK("http://amigo.geneontology.org/cgi-bin/amigo/term-details.cgi?term=GO:0036293","GO:0036293")</f>
        <v>GO:0036293</v>
      </c>
      <c r="C37" t="s">
        <v>13444</v>
      </c>
      <c r="D37">
        <v>30</v>
      </c>
      <c r="E37">
        <v>1</v>
      </c>
      <c r="F37">
        <v>2.1952865658350001E-2</v>
      </c>
      <c r="G37">
        <v>1</v>
      </c>
      <c r="H37" t="s">
        <v>7749</v>
      </c>
    </row>
    <row r="38" spans="1:8" x14ac:dyDescent="0.25">
      <c r="A38" t="s">
        <v>9262</v>
      </c>
      <c r="B38" t="str">
        <f>HYPERLINK("http://amigo.geneontology.org/cgi-bin/amigo/term-details.cgi?term=GO:0019856","GO:0019856")</f>
        <v>GO:0019856</v>
      </c>
      <c r="C38" t="s">
        <v>9045</v>
      </c>
      <c r="D38">
        <v>32</v>
      </c>
      <c r="E38">
        <v>1</v>
      </c>
      <c r="F38">
        <v>2.33994367223434E-2</v>
      </c>
      <c r="G38">
        <v>1</v>
      </c>
      <c r="H38" t="s">
        <v>7649</v>
      </c>
    </row>
    <row r="39" spans="1:8" x14ac:dyDescent="0.25">
      <c r="A39" t="s">
        <v>7599</v>
      </c>
      <c r="B39" t="str">
        <f>HYPERLINK("http://amigo.geneontology.org/cgi-bin/amigo/term-details.cgi?term=GO:0015696","GO:0015696")</f>
        <v>GO:0015696</v>
      </c>
      <c r="C39" t="s">
        <v>13445</v>
      </c>
      <c r="D39">
        <v>34</v>
      </c>
      <c r="E39">
        <v>1</v>
      </c>
      <c r="F39">
        <v>2.48439057344307E-2</v>
      </c>
      <c r="G39">
        <v>1</v>
      </c>
      <c r="H39" t="s">
        <v>9834</v>
      </c>
    </row>
    <row r="40" spans="1:8" x14ac:dyDescent="0.25">
      <c r="A40" t="s">
        <v>7649</v>
      </c>
      <c r="B40" t="str">
        <f>HYPERLINK("http://amigo.geneontology.org/cgi-bin/amigo/term-details.cgi?term=GO:0006206","GO:0006206")</f>
        <v>GO:0006206</v>
      </c>
      <c r="C40" t="s">
        <v>9093</v>
      </c>
      <c r="D40">
        <v>36</v>
      </c>
      <c r="E40">
        <v>1</v>
      </c>
      <c r="F40">
        <v>2.6286275692387499E-2</v>
      </c>
      <c r="G40">
        <v>1</v>
      </c>
      <c r="H40" t="s">
        <v>7649</v>
      </c>
    </row>
    <row r="41" spans="1:8" x14ac:dyDescent="0.25">
      <c r="A41" t="s">
        <v>7658</v>
      </c>
      <c r="B41" t="str">
        <f>HYPERLINK("http://amigo.geneontology.org/cgi-bin/amigo/term-details.cgi?term=GO:0046112","GO:0046112")</f>
        <v>GO:0046112</v>
      </c>
      <c r="C41" t="s">
        <v>9159</v>
      </c>
      <c r="D41">
        <v>39</v>
      </c>
      <c r="E41">
        <v>1</v>
      </c>
      <c r="F41">
        <v>2.84459014458107E-2</v>
      </c>
      <c r="G41">
        <v>1</v>
      </c>
      <c r="H41" t="s">
        <v>7649</v>
      </c>
    </row>
    <row r="42" spans="1:8" x14ac:dyDescent="0.25">
      <c r="A42" t="s">
        <v>9325</v>
      </c>
      <c r="B42" t="str">
        <f>HYPERLINK("http://amigo.geneontology.org/cgi-bin/amigo/term-details.cgi?term=GO:0015849","GO:0015849")</f>
        <v>GO:0015849</v>
      </c>
      <c r="C42" t="s">
        <v>5320</v>
      </c>
      <c r="D42">
        <v>43</v>
      </c>
      <c r="E42">
        <v>1</v>
      </c>
      <c r="F42">
        <v>3.1318083683714602E-2</v>
      </c>
      <c r="G42">
        <v>1</v>
      </c>
      <c r="H42" t="s">
        <v>7221</v>
      </c>
    </row>
    <row r="43" spans="1:8" x14ac:dyDescent="0.25">
      <c r="A43" t="s">
        <v>8454</v>
      </c>
      <c r="B43" t="str">
        <f>HYPERLINK("http://amigo.geneontology.org/cgi-bin/amigo/term-details.cgi?term=GO:0010310","GO:0010310")</f>
        <v>GO:0010310</v>
      </c>
      <c r="C43" t="s">
        <v>7266</v>
      </c>
      <c r="D43">
        <v>44</v>
      </c>
      <c r="E43">
        <v>1</v>
      </c>
      <c r="F43">
        <v>3.2034824805530097E-2</v>
      </c>
      <c r="G43">
        <v>1</v>
      </c>
      <c r="H43" t="s">
        <v>7749</v>
      </c>
    </row>
    <row r="44" spans="1:8" x14ac:dyDescent="0.25">
      <c r="A44" t="s">
        <v>9859</v>
      </c>
      <c r="B44" t="str">
        <f>HYPERLINK("http://amigo.geneontology.org/cgi-bin/amigo/term-details.cgi?term=GO:1901657","GO:1901657")</f>
        <v>GO:1901657</v>
      </c>
      <c r="C44" t="s">
        <v>6288</v>
      </c>
      <c r="D44">
        <v>47</v>
      </c>
      <c r="E44">
        <v>1</v>
      </c>
      <c r="F44">
        <v>3.4181923484299701E-2</v>
      </c>
      <c r="G44">
        <v>1</v>
      </c>
      <c r="H44" t="s">
        <v>7649</v>
      </c>
    </row>
    <row r="45" spans="1:8" x14ac:dyDescent="0.25">
      <c r="A45" t="s">
        <v>7724</v>
      </c>
      <c r="B45" t="str">
        <f>HYPERLINK("http://amigo.geneontology.org/cgi-bin/amigo/term-details.cgi?term=GO:0009116","GO:0009116")</f>
        <v>GO:0009116</v>
      </c>
      <c r="C45" t="s">
        <v>6161</v>
      </c>
      <c r="D45">
        <v>47</v>
      </c>
      <c r="E45">
        <v>1</v>
      </c>
      <c r="F45">
        <v>3.4181923484299701E-2</v>
      </c>
      <c r="G45">
        <v>1</v>
      </c>
      <c r="H45" t="s">
        <v>7649</v>
      </c>
    </row>
    <row r="46" spans="1:8" x14ac:dyDescent="0.25">
      <c r="A46" t="s">
        <v>9860</v>
      </c>
      <c r="B46" t="str">
        <f>HYPERLINK("http://amigo.geneontology.org/cgi-bin/amigo/term-details.cgi?term=GO:0006986","GO:0006986")</f>
        <v>GO:0006986</v>
      </c>
      <c r="C46" t="s">
        <v>1325</v>
      </c>
      <c r="D46">
        <v>53</v>
      </c>
      <c r="E46">
        <v>1</v>
      </c>
      <c r="F46">
        <v>3.8462093182652798E-2</v>
      </c>
      <c r="G46">
        <v>1</v>
      </c>
      <c r="H46" t="s">
        <v>7221</v>
      </c>
    </row>
    <row r="47" spans="1:8" x14ac:dyDescent="0.25">
      <c r="A47" t="s">
        <v>7735</v>
      </c>
      <c r="B47" t="str">
        <f>HYPERLINK("http://amigo.geneontology.org/cgi-bin/amigo/term-details.cgi?term=GO:0035967","GO:0035967")</f>
        <v>GO:0035967</v>
      </c>
      <c r="C47" t="s">
        <v>1328</v>
      </c>
      <c r="D47">
        <v>53</v>
      </c>
      <c r="E47">
        <v>1</v>
      </c>
      <c r="F47">
        <v>3.8462093182652798E-2</v>
      </c>
      <c r="G47">
        <v>1</v>
      </c>
      <c r="H47" t="s">
        <v>7221</v>
      </c>
    </row>
    <row r="48" spans="1:8" x14ac:dyDescent="0.25">
      <c r="A48" t="s">
        <v>9348</v>
      </c>
      <c r="B48" t="str">
        <f>HYPERLINK("http://amigo.geneontology.org/cgi-bin/amigo/term-details.cgi?term=GO:0034620","GO:0034620")</f>
        <v>GO:0034620</v>
      </c>
      <c r="C48" t="s">
        <v>1330</v>
      </c>
      <c r="D48">
        <v>53</v>
      </c>
      <c r="E48">
        <v>1</v>
      </c>
      <c r="F48">
        <v>3.8462093182652798E-2</v>
      </c>
      <c r="G48">
        <v>1</v>
      </c>
      <c r="H48" t="s">
        <v>7221</v>
      </c>
    </row>
    <row r="49" spans="1:8" x14ac:dyDescent="0.25">
      <c r="A49" t="s">
        <v>7749</v>
      </c>
      <c r="B49" t="str">
        <f>HYPERLINK("http://amigo.geneontology.org/cgi-bin/amigo/term-details.cgi?term=GO:0030968","GO:0030968")</f>
        <v>GO:0030968</v>
      </c>
      <c r="C49" t="s">
        <v>1332</v>
      </c>
      <c r="D49">
        <v>53</v>
      </c>
      <c r="E49">
        <v>1</v>
      </c>
      <c r="F49">
        <v>3.8462093182652798E-2</v>
      </c>
      <c r="G49">
        <v>1</v>
      </c>
      <c r="H49" t="s">
        <v>7221</v>
      </c>
    </row>
    <row r="50" spans="1:8" x14ac:dyDescent="0.25">
      <c r="A50" t="s">
        <v>7751</v>
      </c>
      <c r="B50" t="str">
        <f>HYPERLINK("http://amigo.geneontology.org/cgi-bin/amigo/term-details.cgi?term=GO:0046132","GO:0046132")</f>
        <v>GO:0046132</v>
      </c>
      <c r="C50" t="s">
        <v>8845</v>
      </c>
      <c r="D50">
        <v>53</v>
      </c>
      <c r="E50">
        <v>1</v>
      </c>
      <c r="F50">
        <v>3.8462093182652798E-2</v>
      </c>
      <c r="G50">
        <v>1</v>
      </c>
      <c r="H50" t="s">
        <v>7649</v>
      </c>
    </row>
    <row r="51" spans="1:8" x14ac:dyDescent="0.25">
      <c r="A51" t="s">
        <v>7768</v>
      </c>
      <c r="B51" t="str">
        <f>HYPERLINK("http://amigo.geneontology.org/cgi-bin/amigo/term-details.cgi?term=GO:2000377","GO:2000377")</f>
        <v>GO:2000377</v>
      </c>
      <c r="C51" t="s">
        <v>7345</v>
      </c>
      <c r="D51">
        <v>54</v>
      </c>
      <c r="E51">
        <v>1</v>
      </c>
      <c r="F51">
        <v>3.91736407195694E-2</v>
      </c>
      <c r="G51">
        <v>1</v>
      </c>
      <c r="H51" t="s">
        <v>7749</v>
      </c>
    </row>
    <row r="52" spans="1:8" x14ac:dyDescent="0.25">
      <c r="A52" t="s">
        <v>9862</v>
      </c>
      <c r="B52" t="str">
        <f>HYPERLINK("http://amigo.geneontology.org/cgi-bin/amigo/term-details.cgi?term=GO:0051193","GO:0051193")</f>
        <v>GO:0051193</v>
      </c>
      <c r="C52" t="s">
        <v>7318</v>
      </c>
      <c r="D52">
        <v>57</v>
      </c>
      <c r="E52">
        <v>1</v>
      </c>
      <c r="F52">
        <v>4.1305180879507603E-2</v>
      </c>
      <c r="G52">
        <v>1</v>
      </c>
      <c r="H52" t="s">
        <v>7749</v>
      </c>
    </row>
    <row r="53" spans="1:8" x14ac:dyDescent="0.25">
      <c r="A53" t="s">
        <v>9369</v>
      </c>
      <c r="B53" t="str">
        <f>HYPERLINK("http://amigo.geneontology.org/cgi-bin/amigo/term-details.cgi?term=GO:0009862","GO:0009862")</f>
        <v>GO:0009862</v>
      </c>
      <c r="C53" t="s">
        <v>7343</v>
      </c>
      <c r="D53">
        <v>63</v>
      </c>
      <c r="E53">
        <v>1</v>
      </c>
      <c r="F53">
        <v>4.5554333378450398E-2</v>
      </c>
      <c r="G53">
        <v>1</v>
      </c>
      <c r="H53" t="s">
        <v>7749</v>
      </c>
    </row>
    <row r="54" spans="1:8" x14ac:dyDescent="0.25">
      <c r="A54" t="s">
        <v>7780</v>
      </c>
      <c r="B54" t="str">
        <f>HYPERLINK("http://amigo.geneontology.org/cgi-bin/amigo/term-details.cgi?term=GO:0072527","GO:0072527")</f>
        <v>GO:0072527</v>
      </c>
      <c r="C54" t="s">
        <v>13224</v>
      </c>
      <c r="D54">
        <v>65</v>
      </c>
      <c r="E54">
        <v>1</v>
      </c>
      <c r="F54">
        <v>4.6966601579423999E-2</v>
      </c>
      <c r="G54">
        <v>1</v>
      </c>
      <c r="H54" t="s">
        <v>7649</v>
      </c>
    </row>
    <row r="55" spans="1:8" x14ac:dyDescent="0.25">
      <c r="A55" t="s">
        <v>9371</v>
      </c>
      <c r="B55" t="str">
        <f>HYPERLINK("http://amigo.geneontology.org/cgi-bin/amigo/term-details.cgi?term=GO:0071702","GO:0071702")</f>
        <v>GO:0071702</v>
      </c>
      <c r="C55" t="s">
        <v>13446</v>
      </c>
      <c r="D55">
        <v>1104</v>
      </c>
      <c r="E55">
        <v>3</v>
      </c>
      <c r="F55">
        <v>4.8483885213897002E-2</v>
      </c>
      <c r="G55">
        <v>1</v>
      </c>
      <c r="H55" t="s">
        <v>13447</v>
      </c>
    </row>
    <row r="56" spans="1:8" x14ac:dyDescent="0.25">
      <c r="A56" t="s">
        <v>9393</v>
      </c>
    </row>
    <row r="57" spans="1:8" x14ac:dyDescent="0.25">
      <c r="A57" t="s">
        <v>7829</v>
      </c>
    </row>
    <row r="58" spans="1:8" x14ac:dyDescent="0.25">
      <c r="A58" t="s">
        <v>9401</v>
      </c>
    </row>
    <row r="59" spans="1:8" x14ac:dyDescent="0.25">
      <c r="A59" t="s">
        <v>7839</v>
      </c>
    </row>
    <row r="60" spans="1:8" x14ac:dyDescent="0.25">
      <c r="A60" t="s">
        <v>9403</v>
      </c>
    </row>
    <row r="61" spans="1:8" x14ac:dyDescent="0.25">
      <c r="A61" t="s">
        <v>7856</v>
      </c>
    </row>
    <row r="62" spans="1:8" x14ac:dyDescent="0.25">
      <c r="A62" t="s">
        <v>9423</v>
      </c>
    </row>
    <row r="63" spans="1:8" x14ac:dyDescent="0.25">
      <c r="A63" t="s">
        <v>9448</v>
      </c>
    </row>
    <row r="64" spans="1:8" x14ac:dyDescent="0.25">
      <c r="A64" t="s">
        <v>9468</v>
      </c>
    </row>
    <row r="65" spans="1:1" x14ac:dyDescent="0.25">
      <c r="A65" t="s">
        <v>8028</v>
      </c>
    </row>
    <row r="66" spans="1:1" x14ac:dyDescent="0.25">
      <c r="A66" t="s">
        <v>9472</v>
      </c>
    </row>
    <row r="67" spans="1:1" x14ac:dyDescent="0.25">
      <c r="A67" t="s">
        <v>9483</v>
      </c>
    </row>
    <row r="68" spans="1:1" x14ac:dyDescent="0.25">
      <c r="A68" t="s">
        <v>8078</v>
      </c>
    </row>
    <row r="69" spans="1:1" x14ac:dyDescent="0.25">
      <c r="A69" t="s">
        <v>9502</v>
      </c>
    </row>
    <row r="70" spans="1:1" x14ac:dyDescent="0.25">
      <c r="A70" t="s">
        <v>9504</v>
      </c>
    </row>
    <row r="71" spans="1:1" x14ac:dyDescent="0.25">
      <c r="A71" t="s">
        <v>9511</v>
      </c>
    </row>
    <row r="72" spans="1:1" x14ac:dyDescent="0.25">
      <c r="A72" t="s">
        <v>8100</v>
      </c>
    </row>
    <row r="73" spans="1:1" x14ac:dyDescent="0.25">
      <c r="A73" t="s">
        <v>9519</v>
      </c>
    </row>
    <row r="74" spans="1:1" x14ac:dyDescent="0.25">
      <c r="A74" t="s">
        <v>9877</v>
      </c>
    </row>
    <row r="75" spans="1:1" x14ac:dyDescent="0.25">
      <c r="A75" t="s">
        <v>9525</v>
      </c>
    </row>
    <row r="76" spans="1:1" x14ac:dyDescent="0.25">
      <c r="A76" t="s">
        <v>9878</v>
      </c>
    </row>
    <row r="77" spans="1:1" x14ac:dyDescent="0.25">
      <c r="A77" t="s">
        <v>8126</v>
      </c>
    </row>
    <row r="78" spans="1:1" x14ac:dyDescent="0.25">
      <c r="A78" t="s">
        <v>9532</v>
      </c>
    </row>
    <row r="79" spans="1:1" x14ac:dyDescent="0.25">
      <c r="A79" t="s">
        <v>9533</v>
      </c>
    </row>
    <row r="80" spans="1:1" x14ac:dyDescent="0.25">
      <c r="A80" t="s">
        <v>8137</v>
      </c>
    </row>
    <row r="81" spans="1:1" x14ac:dyDescent="0.25">
      <c r="A81" t="s">
        <v>8140</v>
      </c>
    </row>
    <row r="82" spans="1:1" x14ac:dyDescent="0.25">
      <c r="A82" t="s">
        <v>9542</v>
      </c>
    </row>
    <row r="83" spans="1:1" x14ac:dyDescent="0.25">
      <c r="A83" t="s">
        <v>9554</v>
      </c>
    </row>
  </sheetData>
  <pageMargins left="0.7" right="0.7" top="0.75" bottom="0.75" header="0.3" footer="0.3"/>
  <pageSetup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xSplit="6" ySplit="11" topLeftCell="G12" activePane="bottomRight" state="frozen"/>
      <selection pane="topRight" activeCell="G1" sqref="G1"/>
      <selection pane="bottomLeft" activeCell="A11" sqref="A11"/>
      <selection pane="bottomRight"/>
    </sheetView>
  </sheetViews>
  <sheetFormatPr defaultRowHeight="15" x14ac:dyDescent="0.25"/>
  <cols>
    <col min="1" max="1" width="20.85546875" customWidth="1"/>
    <col min="2" max="2" width="14.140625" customWidth="1"/>
    <col min="3" max="3" width="37.42578125" customWidth="1"/>
  </cols>
  <sheetData>
    <row r="1" spans="1:8" ht="20.25" x14ac:dyDescent="0.3">
      <c r="A1" s="12" t="s">
        <v>13269</v>
      </c>
    </row>
    <row r="2" spans="1:8" x14ac:dyDescent="0.25">
      <c r="A2" t="s">
        <v>13448</v>
      </c>
      <c r="B2" t="s">
        <v>2</v>
      </c>
      <c r="C2">
        <v>10</v>
      </c>
    </row>
    <row r="3" spans="1:8" x14ac:dyDescent="0.25">
      <c r="A3" t="s">
        <v>6998</v>
      </c>
      <c r="B3" t="s">
        <v>4</v>
      </c>
      <c r="C3">
        <v>77079</v>
      </c>
    </row>
    <row r="4" spans="1:8" x14ac:dyDescent="0.25">
      <c r="A4" t="s">
        <v>9917</v>
      </c>
      <c r="B4" t="s">
        <v>6</v>
      </c>
      <c r="C4" t="s">
        <v>7</v>
      </c>
    </row>
    <row r="5" spans="1:8" x14ac:dyDescent="0.25">
      <c r="A5" t="s">
        <v>8402</v>
      </c>
      <c r="B5" t="s">
        <v>9</v>
      </c>
      <c r="C5" t="s">
        <v>10</v>
      </c>
    </row>
    <row r="6" spans="1:8" x14ac:dyDescent="0.25">
      <c r="A6" t="s">
        <v>8449</v>
      </c>
      <c r="B6" t="s">
        <v>12</v>
      </c>
      <c r="C6" t="s">
        <v>13144</v>
      </c>
    </row>
    <row r="7" spans="1:8" x14ac:dyDescent="0.25">
      <c r="A7" t="s">
        <v>9966</v>
      </c>
      <c r="B7" t="s">
        <v>15</v>
      </c>
      <c r="C7" t="s">
        <v>16</v>
      </c>
    </row>
    <row r="8" spans="1:8" x14ac:dyDescent="0.25">
      <c r="A8" t="s">
        <v>8503</v>
      </c>
      <c r="B8" t="s">
        <v>18</v>
      </c>
      <c r="C8">
        <v>3</v>
      </c>
    </row>
    <row r="9" spans="1:8" x14ac:dyDescent="0.25">
      <c r="A9" t="s">
        <v>9975</v>
      </c>
      <c r="B9" t="s">
        <v>21</v>
      </c>
      <c r="C9" t="s">
        <v>19</v>
      </c>
    </row>
    <row r="10" spans="1:8" x14ac:dyDescent="0.25">
      <c r="A10" t="s">
        <v>9739</v>
      </c>
    </row>
    <row r="11" spans="1:8" x14ac:dyDescent="0.25">
      <c r="A11" t="s">
        <v>9988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</row>
    <row r="12" spans="1:8" x14ac:dyDescent="0.25">
      <c r="A12" t="s">
        <v>9482</v>
      </c>
      <c r="B12" t="str">
        <f>HYPERLINK("http://amigo.geneontology.org/cgi-bin/amigo/term-details.cgi?term=GO:0006468","GO:0006468")</f>
        <v>GO:0006468</v>
      </c>
      <c r="C12" t="s">
        <v>1478</v>
      </c>
      <c r="D12">
        <v>5693</v>
      </c>
      <c r="E12">
        <v>4</v>
      </c>
      <c r="F12">
        <v>4.3441117680661397E-3</v>
      </c>
      <c r="G12">
        <v>1</v>
      </c>
      <c r="H12" t="s">
        <v>13449</v>
      </c>
    </row>
    <row r="13" spans="1:8" x14ac:dyDescent="0.25">
      <c r="A13" t="s">
        <v>9998</v>
      </c>
      <c r="B13" t="str">
        <f>HYPERLINK("http://amigo.geneontology.org/cgi-bin/amigo/term-details.cgi?term=GO:0016310","GO:0016310")</f>
        <v>GO:0016310</v>
      </c>
      <c r="C13" t="s">
        <v>1006</v>
      </c>
      <c r="D13">
        <v>6213</v>
      </c>
      <c r="E13">
        <v>4</v>
      </c>
      <c r="F13">
        <v>5.9568229843105702E-3</v>
      </c>
      <c r="G13">
        <v>1</v>
      </c>
      <c r="H13" t="s">
        <v>13449</v>
      </c>
    </row>
    <row r="14" spans="1:8" x14ac:dyDescent="0.25">
      <c r="B14" t="str">
        <f>HYPERLINK("http://amigo.geneontology.org/cgi-bin/amigo/term-details.cgi?term=GO:0036211","GO:0036211")</f>
        <v>GO:0036211</v>
      </c>
      <c r="C14" t="s">
        <v>6999</v>
      </c>
      <c r="D14">
        <v>6401</v>
      </c>
      <c r="E14">
        <v>4</v>
      </c>
      <c r="F14">
        <v>6.6291733636331899E-3</v>
      </c>
      <c r="G14">
        <v>1</v>
      </c>
      <c r="H14" t="s">
        <v>13449</v>
      </c>
    </row>
    <row r="15" spans="1:8" x14ac:dyDescent="0.25">
      <c r="B15" t="str">
        <f>HYPERLINK("http://amigo.geneontology.org/cgi-bin/amigo/term-details.cgi?term=GO:0006464","GO:0006464")</f>
        <v>GO:0006464</v>
      </c>
      <c r="C15" t="s">
        <v>7002</v>
      </c>
      <c r="D15">
        <v>6743</v>
      </c>
      <c r="E15">
        <v>4</v>
      </c>
      <c r="F15">
        <v>7.9825492759522197E-3</v>
      </c>
      <c r="G15">
        <v>1</v>
      </c>
      <c r="H15" t="s">
        <v>13449</v>
      </c>
    </row>
    <row r="16" spans="1:8" x14ac:dyDescent="0.25">
      <c r="B16" t="str">
        <f>HYPERLINK("http://amigo.geneontology.org/cgi-bin/amigo/term-details.cgi?term=GO:0006796","GO:0006796")</f>
        <v>GO:0006796</v>
      </c>
      <c r="C16" t="s">
        <v>679</v>
      </c>
      <c r="D16">
        <v>7074</v>
      </c>
      <c r="E16">
        <v>4</v>
      </c>
      <c r="F16">
        <v>9.4609720263467804E-3</v>
      </c>
      <c r="G16">
        <v>1</v>
      </c>
      <c r="H16" t="s">
        <v>13449</v>
      </c>
    </row>
    <row r="17" spans="2:8" x14ac:dyDescent="0.25">
      <c r="B17" t="str">
        <f>HYPERLINK("http://amigo.geneontology.org/cgi-bin/amigo/term-details.cgi?term=GO:0044267","GO:0044267")</f>
        <v>GO:0044267</v>
      </c>
      <c r="C17" t="s">
        <v>7194</v>
      </c>
      <c r="D17">
        <v>8344</v>
      </c>
      <c r="E17">
        <v>4</v>
      </c>
      <c r="F17">
        <v>1.68365517721667E-2</v>
      </c>
      <c r="G17">
        <v>1</v>
      </c>
      <c r="H17" t="s">
        <v>13449</v>
      </c>
    </row>
  </sheetData>
  <pageMargins left="0.7" right="0.7" top="0.75" bottom="0.75" header="0.3" footer="0.3"/>
  <pageSetup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1.5703125" customWidth="1"/>
    <col min="3" max="3" width="14" customWidth="1"/>
    <col min="4" max="4" width="34.42578125" customWidth="1"/>
  </cols>
  <sheetData>
    <row r="1" spans="1:9" ht="20.25" x14ac:dyDescent="0.3">
      <c r="A1" s="12" t="s">
        <v>13273</v>
      </c>
    </row>
    <row r="2" spans="1:9" x14ac:dyDescent="0.25">
      <c r="A2" s="15" t="s">
        <v>13450</v>
      </c>
      <c r="C2" t="s">
        <v>2</v>
      </c>
      <c r="D2">
        <v>22</v>
      </c>
    </row>
    <row r="3" spans="1:9" x14ac:dyDescent="0.25">
      <c r="A3" s="2" t="s">
        <v>13451</v>
      </c>
      <c r="C3" t="s">
        <v>4</v>
      </c>
      <c r="D3">
        <v>6454</v>
      </c>
    </row>
    <row r="4" spans="1:9" x14ac:dyDescent="0.25">
      <c r="A4" s="2" t="s">
        <v>13452</v>
      </c>
      <c r="C4" t="s">
        <v>6</v>
      </c>
      <c r="D4" t="s">
        <v>7</v>
      </c>
    </row>
    <row r="5" spans="1:9" x14ac:dyDescent="0.25">
      <c r="A5" s="2" t="s">
        <v>13453</v>
      </c>
      <c r="C5" t="s">
        <v>9</v>
      </c>
      <c r="D5" t="s">
        <v>10</v>
      </c>
    </row>
    <row r="6" spans="1:9" x14ac:dyDescent="0.25">
      <c r="A6" s="2" t="s">
        <v>13454</v>
      </c>
      <c r="C6" t="s">
        <v>12</v>
      </c>
      <c r="D6" t="s">
        <v>13</v>
      </c>
    </row>
    <row r="7" spans="1:9" x14ac:dyDescent="0.25">
      <c r="A7" s="2" t="s">
        <v>13455</v>
      </c>
      <c r="C7" t="s">
        <v>15</v>
      </c>
      <c r="D7" t="s">
        <v>16</v>
      </c>
    </row>
    <row r="8" spans="1:9" x14ac:dyDescent="0.25">
      <c r="A8" s="2" t="s">
        <v>13456</v>
      </c>
      <c r="C8" t="s">
        <v>18</v>
      </c>
      <c r="D8" t="s">
        <v>19</v>
      </c>
    </row>
    <row r="9" spans="1:9" x14ac:dyDescent="0.25">
      <c r="A9" s="2" t="s">
        <v>13457</v>
      </c>
      <c r="C9" t="s">
        <v>21</v>
      </c>
      <c r="D9">
        <v>3</v>
      </c>
    </row>
    <row r="10" spans="1:9" x14ac:dyDescent="0.25">
      <c r="A10" s="2" t="s">
        <v>13458</v>
      </c>
    </row>
    <row r="11" spans="1:9" x14ac:dyDescent="0.25">
      <c r="A11" s="2" t="s">
        <v>13459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s="2" t="s">
        <v>13460</v>
      </c>
      <c r="C12" s="3" t="str">
        <f>HYPERLINK("http://amigo.geneontology.org/amigo/term/GO:0016491","GO:0016491")</f>
        <v>GO:0016491</v>
      </c>
      <c r="D12" s="16" t="s">
        <v>315</v>
      </c>
      <c r="E12">
        <v>904</v>
      </c>
      <c r="F12">
        <v>11</v>
      </c>
      <c r="G12" s="4">
        <v>6.1590063682938099E-5</v>
      </c>
      <c r="H12">
        <v>0.14276576761705001</v>
      </c>
      <c r="I12" t="s">
        <v>13461</v>
      </c>
    </row>
    <row r="13" spans="1:9" x14ac:dyDescent="0.25">
      <c r="A13" s="2" t="s">
        <v>13462</v>
      </c>
      <c r="C13" s="3" t="str">
        <f>HYPERLINK("http://amigo.geneontology.org/amigo/term/GO:0055114","GO:0055114")</f>
        <v>GO:0055114</v>
      </c>
      <c r="D13" s="16" t="s">
        <v>454</v>
      </c>
      <c r="E13">
        <v>487</v>
      </c>
      <c r="F13">
        <v>7</v>
      </c>
      <c r="G13" s="4">
        <v>8.3708601807254998E-4</v>
      </c>
      <c r="H13">
        <v>0.970182694946085</v>
      </c>
      <c r="I13" t="s">
        <v>13463</v>
      </c>
    </row>
    <row r="14" spans="1:9" x14ac:dyDescent="0.25">
      <c r="A14" s="2" t="s">
        <v>13464</v>
      </c>
      <c r="C14" s="3" t="str">
        <f>HYPERLINK("http://amigo.geneontology.org/amigo/term/GO:0048037","GO:0048037")</f>
        <v>GO:0048037</v>
      </c>
      <c r="D14" t="s">
        <v>4125</v>
      </c>
      <c r="E14">
        <v>565</v>
      </c>
      <c r="F14">
        <v>7</v>
      </c>
      <c r="G14">
        <v>2.0147160021012798E-3</v>
      </c>
      <c r="H14">
        <v>1</v>
      </c>
      <c r="I14" t="s">
        <v>13465</v>
      </c>
    </row>
    <row r="15" spans="1:9" x14ac:dyDescent="0.25">
      <c r="A15" s="2" t="s">
        <v>13466</v>
      </c>
      <c r="C15" s="3" t="str">
        <f>HYPERLINK("http://amigo.geneontology.org/amigo/term/GO:0004312","GO:0004312")</f>
        <v>GO:0004312</v>
      </c>
      <c r="D15" t="s">
        <v>13467</v>
      </c>
      <c r="E15">
        <v>2</v>
      </c>
      <c r="F15">
        <v>1</v>
      </c>
      <c r="G15">
        <v>6.8063844736353102E-3</v>
      </c>
      <c r="H15">
        <v>1</v>
      </c>
      <c r="I15" t="s">
        <v>13453</v>
      </c>
    </row>
    <row r="16" spans="1:9" x14ac:dyDescent="0.25">
      <c r="A16" s="2" t="s">
        <v>13468</v>
      </c>
      <c r="C16" s="3" t="str">
        <f>HYPERLINK("http://amigo.geneontology.org/amigo/term/GO:0004318","GO:0004318")</f>
        <v>GO:0004318</v>
      </c>
      <c r="D16" t="s">
        <v>13469</v>
      </c>
      <c r="E16">
        <v>2</v>
      </c>
      <c r="F16">
        <v>1</v>
      </c>
      <c r="G16">
        <v>6.8063844736353102E-3</v>
      </c>
      <c r="H16">
        <v>1</v>
      </c>
      <c r="I16" t="s">
        <v>13453</v>
      </c>
    </row>
    <row r="17" spans="1:9" x14ac:dyDescent="0.25">
      <c r="A17" s="2" t="s">
        <v>13470</v>
      </c>
      <c r="C17" s="3" t="str">
        <f>HYPERLINK("http://amigo.geneontology.org/amigo/term/GO:0005835","GO:0005835")</f>
        <v>GO:0005835</v>
      </c>
      <c r="D17" t="s">
        <v>13471</v>
      </c>
      <c r="E17">
        <v>2</v>
      </c>
      <c r="F17">
        <v>1</v>
      </c>
      <c r="G17">
        <v>6.8063844736353102E-3</v>
      </c>
      <c r="H17">
        <v>1</v>
      </c>
      <c r="I17" t="s">
        <v>13453</v>
      </c>
    </row>
    <row r="18" spans="1:9" x14ac:dyDescent="0.25">
      <c r="A18" s="2" t="s">
        <v>13472</v>
      </c>
      <c r="C18" s="3" t="str">
        <f>HYPERLINK("http://amigo.geneontology.org/amigo/term/GO:0005506","GO:0005506")</f>
        <v>GO:0005506</v>
      </c>
      <c r="D18" s="16" t="s">
        <v>1214</v>
      </c>
      <c r="E18">
        <v>136</v>
      </c>
      <c r="F18">
        <v>3</v>
      </c>
      <c r="G18">
        <v>1.05130744114461E-2</v>
      </c>
      <c r="H18">
        <v>1</v>
      </c>
      <c r="I18" t="s">
        <v>13473</v>
      </c>
    </row>
    <row r="19" spans="1:9" x14ac:dyDescent="0.25">
      <c r="A19" s="2" t="s">
        <v>13474</v>
      </c>
      <c r="C19" s="3" t="str">
        <f>HYPERLINK("http://amigo.geneontology.org/amigo/term/GO:0046906","GO:0046906")</f>
        <v>GO:0046906</v>
      </c>
      <c r="D19" t="s">
        <v>1085</v>
      </c>
      <c r="E19">
        <v>137</v>
      </c>
      <c r="F19">
        <v>3</v>
      </c>
      <c r="G19">
        <v>1.07248021986582E-2</v>
      </c>
      <c r="H19">
        <v>1</v>
      </c>
      <c r="I19" t="s">
        <v>13473</v>
      </c>
    </row>
    <row r="20" spans="1:9" x14ac:dyDescent="0.25">
      <c r="A20" s="2" t="s">
        <v>13475</v>
      </c>
      <c r="C20" s="3" t="str">
        <f>HYPERLINK("http://amigo.geneontology.org/amigo/term/GO:0020037","GO:0020037")</f>
        <v>GO:0020037</v>
      </c>
      <c r="D20" s="16" t="s">
        <v>1181</v>
      </c>
      <c r="E20">
        <v>137</v>
      </c>
      <c r="F20">
        <v>3</v>
      </c>
      <c r="G20">
        <v>1.07248021986582E-2</v>
      </c>
      <c r="H20">
        <v>1</v>
      </c>
      <c r="I20" t="s">
        <v>13473</v>
      </c>
    </row>
    <row r="21" spans="1:9" x14ac:dyDescent="0.25">
      <c r="A21" s="2" t="s">
        <v>13476</v>
      </c>
      <c r="C21" s="3" t="str">
        <f>HYPERLINK("http://amigo.geneontology.org/amigo/term/GO:0016705","GO:0016705")</f>
        <v>GO:0016705</v>
      </c>
      <c r="D21" t="s">
        <v>4121</v>
      </c>
      <c r="E21">
        <v>142</v>
      </c>
      <c r="F21">
        <v>3</v>
      </c>
      <c r="G21">
        <v>1.1820914391744101E-2</v>
      </c>
      <c r="H21">
        <v>1</v>
      </c>
      <c r="I21" t="s">
        <v>13473</v>
      </c>
    </row>
    <row r="22" spans="1:9" x14ac:dyDescent="0.25">
      <c r="A22" s="2" t="s">
        <v>13477</v>
      </c>
      <c r="C22" s="3" t="str">
        <f>HYPERLINK("http://amigo.geneontology.org/amigo/term/GO:0010181","GO:0010181")</f>
        <v>GO:0010181</v>
      </c>
      <c r="D22" t="s">
        <v>7320</v>
      </c>
      <c r="E22">
        <v>49</v>
      </c>
      <c r="F22">
        <v>2</v>
      </c>
      <c r="G22">
        <v>1.1840637552352999E-2</v>
      </c>
      <c r="H22">
        <v>1</v>
      </c>
      <c r="I22" t="s">
        <v>13478</v>
      </c>
    </row>
    <row r="23" spans="1:9" x14ac:dyDescent="0.25">
      <c r="A23" s="2" t="s">
        <v>13479</v>
      </c>
      <c r="C23" s="3" t="str">
        <f>HYPERLINK("http://amigo.geneontology.org/amigo/term/GO:0004084","GO:0004084")</f>
        <v>GO:0004084</v>
      </c>
      <c r="D23" t="s">
        <v>1025</v>
      </c>
      <c r="E23">
        <v>4</v>
      </c>
      <c r="F23">
        <v>1</v>
      </c>
      <c r="G23">
        <v>1.35685341530105E-2</v>
      </c>
      <c r="H23">
        <v>1</v>
      </c>
      <c r="I23" t="s">
        <v>13456</v>
      </c>
    </row>
    <row r="24" spans="1:9" x14ac:dyDescent="0.25">
      <c r="A24" s="2" t="s">
        <v>13480</v>
      </c>
      <c r="C24" s="3" t="str">
        <f>HYPERLINK("http://amigo.geneontology.org/amigo/term/GO:0019842","GO:0019842")</f>
        <v>GO:0019842</v>
      </c>
      <c r="D24" t="s">
        <v>4329</v>
      </c>
      <c r="E24">
        <v>102</v>
      </c>
      <c r="F24">
        <v>2</v>
      </c>
      <c r="G24">
        <v>4.6533866989402303E-2</v>
      </c>
      <c r="H24">
        <v>1</v>
      </c>
      <c r="I24" t="s">
        <v>13481</v>
      </c>
    </row>
    <row r="25" spans="1:9" x14ac:dyDescent="0.25">
      <c r="A25" s="2" t="s">
        <v>13482</v>
      </c>
      <c r="C25" s="3" t="str">
        <f>HYPERLINK("http://amigo.geneontology.org/amigo/term/GO:0016628","GO:0016628")</f>
        <v>GO:0016628</v>
      </c>
      <c r="D25" t="s">
        <v>8752</v>
      </c>
      <c r="E25">
        <v>14</v>
      </c>
      <c r="F25">
        <v>1</v>
      </c>
      <c r="G25">
        <v>4.6725290144532999E-2</v>
      </c>
      <c r="H25">
        <v>1</v>
      </c>
      <c r="I25" t="s">
        <v>13453</v>
      </c>
    </row>
    <row r="26" spans="1:9" x14ac:dyDescent="0.25">
      <c r="A26" s="2" t="s">
        <v>13483</v>
      </c>
      <c r="C26" s="3" t="str">
        <f>HYPERLINK("http://amigo.geneontology.org/amigo/term/GO:0044445","GO:0044445")</f>
        <v>GO:0044445</v>
      </c>
      <c r="D26" t="s">
        <v>13484</v>
      </c>
      <c r="E26">
        <v>14</v>
      </c>
      <c r="F26">
        <v>1</v>
      </c>
      <c r="G26">
        <v>4.6725290144532999E-2</v>
      </c>
      <c r="H26">
        <v>1</v>
      </c>
      <c r="I26" t="s">
        <v>13453</v>
      </c>
    </row>
    <row r="27" spans="1:9" x14ac:dyDescent="0.25">
      <c r="A27" s="2" t="s">
        <v>13485</v>
      </c>
      <c r="C27" s="3" t="str">
        <f>HYPERLINK("http://amigo.geneontology.org/amigo/term/GO:0016747","GO:0016747")</f>
        <v>GO:0016747</v>
      </c>
      <c r="D27" t="s">
        <v>708</v>
      </c>
      <c r="E27">
        <v>110</v>
      </c>
      <c r="F27">
        <v>2</v>
      </c>
      <c r="G27">
        <v>5.3283690463495702E-2</v>
      </c>
      <c r="H27">
        <v>1</v>
      </c>
      <c r="I27" t="s">
        <v>13486</v>
      </c>
    </row>
    <row r="28" spans="1:9" x14ac:dyDescent="0.25">
      <c r="A28" s="2" t="s">
        <v>13487</v>
      </c>
      <c r="C28" s="3" t="str">
        <f>HYPERLINK("http://amigo.geneontology.org/amigo/term/GO:0009081","GO:0009081")</f>
        <v>GO:0009081</v>
      </c>
      <c r="D28" t="s">
        <v>5670</v>
      </c>
      <c r="E28">
        <v>18</v>
      </c>
      <c r="F28">
        <v>1</v>
      </c>
      <c r="G28">
        <v>5.9687811487682201E-2</v>
      </c>
      <c r="H28">
        <v>1</v>
      </c>
      <c r="I28" t="s">
        <v>13456</v>
      </c>
    </row>
    <row r="29" spans="1:9" x14ac:dyDescent="0.25">
      <c r="C29" s="3" t="str">
        <f>HYPERLINK("http://amigo.geneontology.org/amigo/term/GO:0019752","GO:0019752")</f>
        <v>GO:0019752</v>
      </c>
      <c r="D29" t="s">
        <v>4275</v>
      </c>
      <c r="E29">
        <v>272</v>
      </c>
      <c r="F29">
        <v>3</v>
      </c>
      <c r="G29">
        <v>6.3101831117230403E-2</v>
      </c>
      <c r="H29">
        <v>1</v>
      </c>
      <c r="I29" t="s">
        <v>13488</v>
      </c>
    </row>
    <row r="30" spans="1:9" x14ac:dyDescent="0.25">
      <c r="C30" s="3" t="str">
        <f>HYPERLINK("http://amigo.geneontology.org/amigo/term/GO:0043436","GO:0043436")</f>
        <v>GO:0043436</v>
      </c>
      <c r="D30" t="s">
        <v>4300</v>
      </c>
      <c r="E30">
        <v>276</v>
      </c>
      <c r="F30">
        <v>3</v>
      </c>
      <c r="G30">
        <v>6.5363510891694898E-2</v>
      </c>
      <c r="H30">
        <v>1</v>
      </c>
      <c r="I30" t="s">
        <v>13488</v>
      </c>
    </row>
    <row r="31" spans="1:9" x14ac:dyDescent="0.25">
      <c r="C31" s="3" t="str">
        <f>HYPERLINK("http://amigo.geneontology.org/amigo/term/GO:0006082","GO:0006082")</f>
        <v>GO:0006082</v>
      </c>
      <c r="D31" t="s">
        <v>4301</v>
      </c>
      <c r="E31">
        <v>280</v>
      </c>
      <c r="F31">
        <v>3</v>
      </c>
      <c r="G31">
        <v>6.7663440602827002E-2</v>
      </c>
      <c r="H31">
        <v>1</v>
      </c>
      <c r="I31" t="s">
        <v>13488</v>
      </c>
    </row>
    <row r="32" spans="1:9" x14ac:dyDescent="0.25">
      <c r="C32" s="3" t="str">
        <f>HYPERLINK("http://amigo.geneontology.org/amigo/term/GO:0006633","GO:0006633")</f>
        <v>GO:0006633</v>
      </c>
      <c r="D32" t="s">
        <v>287</v>
      </c>
      <c r="E32">
        <v>21</v>
      </c>
      <c r="F32">
        <v>1</v>
      </c>
      <c r="G32">
        <v>6.9299105073138703E-2</v>
      </c>
      <c r="H32">
        <v>1</v>
      </c>
      <c r="I32" t="s">
        <v>13453</v>
      </c>
    </row>
    <row r="33" spans="3:9" x14ac:dyDescent="0.25">
      <c r="C33" s="3" t="str">
        <f>HYPERLINK("http://amigo.geneontology.org/amigo/term/GO:0016746","GO:0016746")</f>
        <v>GO:0016746</v>
      </c>
      <c r="D33" t="s">
        <v>742</v>
      </c>
      <c r="E33">
        <v>129</v>
      </c>
      <c r="F33">
        <v>2</v>
      </c>
      <c r="G33">
        <v>7.0601889099586507E-2</v>
      </c>
      <c r="H33">
        <v>1</v>
      </c>
      <c r="I33" t="s">
        <v>13486</v>
      </c>
    </row>
    <row r="34" spans="3:9" x14ac:dyDescent="0.25">
      <c r="C34" s="3" t="str">
        <f>HYPERLINK("http://amigo.geneontology.org/amigo/term/GO:0016829","GO:0016829")</f>
        <v>GO:0016829</v>
      </c>
      <c r="D34" t="s">
        <v>523</v>
      </c>
      <c r="E34">
        <v>136</v>
      </c>
      <c r="F34">
        <v>2</v>
      </c>
      <c r="G34">
        <v>7.7397882402509804E-2</v>
      </c>
      <c r="H34">
        <v>1</v>
      </c>
      <c r="I34" t="s">
        <v>13489</v>
      </c>
    </row>
    <row r="35" spans="3:9" x14ac:dyDescent="0.25">
      <c r="C35" s="3" t="str">
        <f>HYPERLINK("http://amigo.geneontology.org/amigo/term/GO:0072341","GO:0072341")</f>
        <v>GO:0072341</v>
      </c>
      <c r="D35" t="s">
        <v>13490</v>
      </c>
      <c r="E35">
        <v>25</v>
      </c>
      <c r="F35">
        <v>1</v>
      </c>
      <c r="G35">
        <v>8.1968373756100096E-2</v>
      </c>
      <c r="H35">
        <v>1</v>
      </c>
      <c r="I35" t="s">
        <v>13454</v>
      </c>
    </row>
    <row r="36" spans="3:9" x14ac:dyDescent="0.25">
      <c r="C36" s="3" t="str">
        <f>HYPERLINK("http://amigo.geneontology.org/amigo/term/GO:0031177","GO:0031177")</f>
        <v>GO:0031177</v>
      </c>
      <c r="D36" t="s">
        <v>9843</v>
      </c>
      <c r="E36">
        <v>25</v>
      </c>
      <c r="F36">
        <v>1</v>
      </c>
      <c r="G36">
        <v>8.1968373756100096E-2</v>
      </c>
      <c r="H36">
        <v>1</v>
      </c>
      <c r="I36" t="s">
        <v>13454</v>
      </c>
    </row>
    <row r="37" spans="3:9" x14ac:dyDescent="0.25">
      <c r="C37" s="3" t="str">
        <f>HYPERLINK("http://amigo.geneontology.org/amigo/term/GO:0016769","GO:0016769")</f>
        <v>GO:0016769</v>
      </c>
      <c r="D37" t="s">
        <v>5491</v>
      </c>
      <c r="E37">
        <v>26</v>
      </c>
      <c r="F37">
        <v>1</v>
      </c>
      <c r="G37">
        <v>8.5109872554769497E-2</v>
      </c>
      <c r="H37">
        <v>1</v>
      </c>
      <c r="I37" t="s">
        <v>13456</v>
      </c>
    </row>
    <row r="38" spans="3:9" x14ac:dyDescent="0.25">
      <c r="C38" s="3" t="str">
        <f>HYPERLINK("http://amigo.geneontology.org/amigo/term/GO:0008483","GO:0008483")</f>
        <v>GO:0008483</v>
      </c>
      <c r="D38" t="s">
        <v>5493</v>
      </c>
      <c r="E38">
        <v>26</v>
      </c>
      <c r="F38">
        <v>1</v>
      </c>
      <c r="G38">
        <v>8.5109872554769497E-2</v>
      </c>
      <c r="H38">
        <v>1</v>
      </c>
      <c r="I38" t="s">
        <v>13456</v>
      </c>
    </row>
    <row r="39" spans="3:9" x14ac:dyDescent="0.25">
      <c r="C39" s="3" t="str">
        <f>HYPERLINK("http://amigo.geneontology.org/amigo/term/GO:0016884","GO:0016884")</f>
        <v>GO:0016884</v>
      </c>
      <c r="D39" t="s">
        <v>5164</v>
      </c>
      <c r="E39">
        <v>29</v>
      </c>
      <c r="F39">
        <v>1</v>
      </c>
      <c r="G39">
        <v>9.4472917756628499E-2</v>
      </c>
      <c r="H39">
        <v>1</v>
      </c>
      <c r="I39" t="s">
        <v>13459</v>
      </c>
    </row>
    <row r="40" spans="3:9" x14ac:dyDescent="0.25">
      <c r="C40" s="3" t="str">
        <f>HYPERLINK("http://amigo.geneontology.org/amigo/term/GO:0016831","GO:0016831")</f>
        <v>GO:0016831</v>
      </c>
      <c r="D40" t="s">
        <v>296</v>
      </c>
      <c r="E40">
        <v>30</v>
      </c>
      <c r="F40">
        <v>1</v>
      </c>
      <c r="G40">
        <v>9.7573555236731099E-2</v>
      </c>
      <c r="H40">
        <v>1</v>
      </c>
      <c r="I40" t="s">
        <v>13466</v>
      </c>
    </row>
    <row r="41" spans="3:9" x14ac:dyDescent="0.25">
      <c r="C41" s="3" t="str">
        <f>HYPERLINK("http://amigo.geneontology.org/amigo/term/GO:0006631","GO:0006631")</f>
        <v>GO:0006631</v>
      </c>
      <c r="D41" t="s">
        <v>335</v>
      </c>
      <c r="E41">
        <v>31</v>
      </c>
      <c r="F41">
        <v>1</v>
      </c>
      <c r="G41">
        <v>0.100664056760135</v>
      </c>
      <c r="H41">
        <v>1</v>
      </c>
      <c r="I41" t="s">
        <v>13453</v>
      </c>
    </row>
    <row r="42" spans="3:9" x14ac:dyDescent="0.25">
      <c r="C42" s="3" t="str">
        <f>HYPERLINK("http://amigo.geneontology.org/amigo/term/GO:0033218","GO:0033218")</f>
        <v>GO:0033218</v>
      </c>
      <c r="D42" t="s">
        <v>13491</v>
      </c>
      <c r="E42">
        <v>32</v>
      </c>
      <c r="F42">
        <v>1</v>
      </c>
      <c r="G42">
        <v>0.103744453887451</v>
      </c>
      <c r="H42">
        <v>1</v>
      </c>
      <c r="I42" t="s">
        <v>13454</v>
      </c>
    </row>
    <row r="43" spans="3:9" x14ac:dyDescent="0.25">
      <c r="C43" s="3" t="str">
        <f>HYPERLINK("http://amigo.geneontology.org/amigo/term/GO:0016620","GO:0016620")</f>
        <v>GO:0016620</v>
      </c>
      <c r="D43" t="s">
        <v>803</v>
      </c>
      <c r="E43">
        <v>34</v>
      </c>
      <c r="F43">
        <v>1</v>
      </c>
      <c r="G43">
        <v>0.109875060736235</v>
      </c>
      <c r="H43">
        <v>1</v>
      </c>
      <c r="I43" t="s">
        <v>13476</v>
      </c>
    </row>
    <row r="44" spans="3:9" x14ac:dyDescent="0.25">
      <c r="C44" s="3" t="str">
        <f>HYPERLINK("http://amigo.geneontology.org/amigo/term/GO:0050662","GO:0050662")</f>
        <v>GO:0050662</v>
      </c>
      <c r="D44" t="s">
        <v>4434</v>
      </c>
      <c r="E44">
        <v>363</v>
      </c>
      <c r="F44">
        <v>3</v>
      </c>
      <c r="G44">
        <v>0.123350883835862</v>
      </c>
      <c r="H44">
        <v>1</v>
      </c>
      <c r="I44" t="s">
        <v>13492</v>
      </c>
    </row>
    <row r="45" spans="3:9" x14ac:dyDescent="0.25">
      <c r="C45" s="3" t="str">
        <f>HYPERLINK("http://amigo.geneontology.org/amigo/term/GO:0016903","GO:0016903")</f>
        <v>GO:0016903</v>
      </c>
      <c r="D45" t="s">
        <v>992</v>
      </c>
      <c r="E45">
        <v>40</v>
      </c>
      <c r="F45">
        <v>1</v>
      </c>
      <c r="G45">
        <v>0.12802762935144199</v>
      </c>
      <c r="H45">
        <v>1</v>
      </c>
      <c r="I45" t="s">
        <v>13476</v>
      </c>
    </row>
    <row r="46" spans="3:9" x14ac:dyDescent="0.25">
      <c r="C46" s="3" t="str">
        <f>HYPERLINK("http://amigo.geneontology.org/amigo/term/GO:0016627","GO:0016627")</f>
        <v>GO:0016627</v>
      </c>
      <c r="D46" t="s">
        <v>8784</v>
      </c>
      <c r="E46">
        <v>41</v>
      </c>
      <c r="F46">
        <v>1</v>
      </c>
      <c r="G46">
        <v>0.13101849186353001</v>
      </c>
      <c r="H46">
        <v>1</v>
      </c>
      <c r="I46" t="s">
        <v>13453</v>
      </c>
    </row>
    <row r="47" spans="3:9" x14ac:dyDescent="0.25">
      <c r="C47" s="3" t="str">
        <f>HYPERLINK("http://amigo.geneontology.org/amigo/term/GO:0072330","GO:0072330")</f>
        <v>GO:0072330</v>
      </c>
      <c r="D47" t="s">
        <v>302</v>
      </c>
      <c r="E47">
        <v>42</v>
      </c>
      <c r="F47">
        <v>1</v>
      </c>
      <c r="G47">
        <v>0.13399956050130099</v>
      </c>
      <c r="H47">
        <v>1</v>
      </c>
      <c r="I47" t="s">
        <v>13453</v>
      </c>
    </row>
    <row r="48" spans="3:9" x14ac:dyDescent="0.25">
      <c r="C48" s="3" t="str">
        <f>HYPERLINK("http://amigo.geneontology.org/amigo/term/GO:0016830","GO:0016830")</f>
        <v>GO:0016830</v>
      </c>
      <c r="D48" t="s">
        <v>411</v>
      </c>
      <c r="E48">
        <v>42</v>
      </c>
      <c r="F48">
        <v>1</v>
      </c>
      <c r="G48">
        <v>0.13399956050130099</v>
      </c>
      <c r="H48">
        <v>1</v>
      </c>
      <c r="I48" t="s">
        <v>13466</v>
      </c>
    </row>
    <row r="49" spans="3:9" x14ac:dyDescent="0.25">
      <c r="C49" s="3" t="str">
        <f>HYPERLINK("http://amigo.geneontology.org/amigo/term/GO:0016879","GO:0016879")</f>
        <v>GO:0016879</v>
      </c>
      <c r="D49" t="s">
        <v>13493</v>
      </c>
      <c r="E49">
        <v>50</v>
      </c>
      <c r="F49">
        <v>1</v>
      </c>
      <c r="G49">
        <v>0.157499177034781</v>
      </c>
      <c r="H49">
        <v>1</v>
      </c>
      <c r="I49" t="s">
        <v>13459</v>
      </c>
    </row>
    <row r="50" spans="3:9" x14ac:dyDescent="0.25">
      <c r="C50" s="3" t="str">
        <f>HYPERLINK("http://amigo.geneontology.org/amigo/term/GO:0043168","GO:0043168")</f>
        <v>GO:0043168</v>
      </c>
      <c r="D50" t="s">
        <v>7011</v>
      </c>
      <c r="E50">
        <v>922</v>
      </c>
      <c r="F50">
        <v>5</v>
      </c>
      <c r="G50">
        <v>0.19655036360754999</v>
      </c>
      <c r="H50">
        <v>1</v>
      </c>
      <c r="I50" t="s">
        <v>13494</v>
      </c>
    </row>
    <row r="51" spans="3:9" x14ac:dyDescent="0.25">
      <c r="C51" s="3" t="str">
        <f>HYPERLINK("http://amigo.geneontology.org/amigo/term/GO:0008080","GO:0008080")</f>
        <v>GO:0008080</v>
      </c>
      <c r="D51" t="s">
        <v>13495</v>
      </c>
      <c r="E51">
        <v>64</v>
      </c>
      <c r="F51">
        <v>1</v>
      </c>
      <c r="G51">
        <v>0.19716609948080899</v>
      </c>
      <c r="H51">
        <v>1</v>
      </c>
      <c r="I51" t="s">
        <v>13464</v>
      </c>
    </row>
    <row r="52" spans="3:9" x14ac:dyDescent="0.25">
      <c r="C52" s="3" t="str">
        <f>HYPERLINK("http://amigo.geneontology.org/amigo/term/GO:0070279","GO:0070279")</f>
        <v>GO:0070279</v>
      </c>
      <c r="D52" t="s">
        <v>4253</v>
      </c>
      <c r="E52">
        <v>64</v>
      </c>
      <c r="F52">
        <v>1</v>
      </c>
      <c r="G52">
        <v>0.19716609948080899</v>
      </c>
      <c r="H52">
        <v>1</v>
      </c>
      <c r="I52" t="s">
        <v>13466</v>
      </c>
    </row>
    <row r="53" spans="3:9" x14ac:dyDescent="0.25">
      <c r="C53" s="3" t="str">
        <f>HYPERLINK("http://amigo.geneontology.org/amigo/term/GO:0030170","GO:0030170")</f>
        <v>GO:0030170</v>
      </c>
      <c r="D53" t="s">
        <v>4255</v>
      </c>
      <c r="E53">
        <v>64</v>
      </c>
      <c r="F53">
        <v>1</v>
      </c>
      <c r="G53">
        <v>0.19716609948080899</v>
      </c>
      <c r="H53">
        <v>1</v>
      </c>
      <c r="I53" t="s">
        <v>13466</v>
      </c>
    </row>
    <row r="54" spans="3:9" x14ac:dyDescent="0.25">
      <c r="C54" s="3" t="str">
        <f>HYPERLINK("http://amigo.geneontology.org/amigo/term/GO:0042626","GO:0042626")</f>
        <v>GO:0042626</v>
      </c>
      <c r="D54" t="s">
        <v>10146</v>
      </c>
      <c r="E54">
        <v>66</v>
      </c>
      <c r="F54">
        <v>1</v>
      </c>
      <c r="G54">
        <v>0.20268513504671501</v>
      </c>
      <c r="H54">
        <v>1</v>
      </c>
      <c r="I54" t="s">
        <v>13482</v>
      </c>
    </row>
    <row r="55" spans="3:9" x14ac:dyDescent="0.25">
      <c r="C55" s="3" t="str">
        <f>HYPERLINK("http://amigo.geneontology.org/amigo/term/GO:0016410","GO:0016410")</f>
        <v>GO:0016410</v>
      </c>
      <c r="D55" t="s">
        <v>13496</v>
      </c>
      <c r="E55">
        <v>66</v>
      </c>
      <c r="F55">
        <v>1</v>
      </c>
      <c r="G55">
        <v>0.20268513504671501</v>
      </c>
      <c r="H55">
        <v>1</v>
      </c>
      <c r="I55" t="s">
        <v>13464</v>
      </c>
    </row>
    <row r="56" spans="3:9" x14ac:dyDescent="0.25">
      <c r="C56" s="3" t="str">
        <f>HYPERLINK("http://amigo.geneontology.org/amigo/term/GO:0016740","GO:0016740")</f>
        <v>GO:0016740</v>
      </c>
      <c r="D56" t="s">
        <v>855</v>
      </c>
      <c r="E56">
        <v>691</v>
      </c>
      <c r="F56">
        <v>4</v>
      </c>
      <c r="G56">
        <v>0.203721935607108</v>
      </c>
      <c r="H56">
        <v>1</v>
      </c>
      <c r="I56" t="s">
        <v>13497</v>
      </c>
    </row>
    <row r="57" spans="3:9" x14ac:dyDescent="0.25">
      <c r="C57" s="3" t="str">
        <f>HYPERLINK("http://amigo.geneontology.org/amigo/term/GO:0044281","GO:0044281")</f>
        <v>GO:0044281</v>
      </c>
      <c r="D57" t="s">
        <v>4410</v>
      </c>
      <c r="E57">
        <v>464</v>
      </c>
      <c r="F57">
        <v>3</v>
      </c>
      <c r="G57">
        <v>0.207451042405005</v>
      </c>
      <c r="H57">
        <v>1</v>
      </c>
      <c r="I57" t="s">
        <v>13488</v>
      </c>
    </row>
    <row r="58" spans="3:9" x14ac:dyDescent="0.25">
      <c r="C58" s="3" t="str">
        <f>HYPERLINK("http://amigo.geneontology.org/amigo/term/GO:0015399","GO:0015399")</f>
        <v>GO:0015399</v>
      </c>
      <c r="D58" t="s">
        <v>10180</v>
      </c>
      <c r="E58">
        <v>69</v>
      </c>
      <c r="F58">
        <v>1</v>
      </c>
      <c r="G58">
        <v>0.21089583350635899</v>
      </c>
      <c r="H58">
        <v>1</v>
      </c>
      <c r="I58" t="s">
        <v>13482</v>
      </c>
    </row>
    <row r="59" spans="3:9" x14ac:dyDescent="0.25">
      <c r="C59" s="3" t="str">
        <f>HYPERLINK("http://amigo.geneontology.org/amigo/term/GO:0015405","GO:0015405")</f>
        <v>GO:0015405</v>
      </c>
      <c r="D59" t="s">
        <v>10182</v>
      </c>
      <c r="E59">
        <v>69</v>
      </c>
      <c r="F59">
        <v>1</v>
      </c>
      <c r="G59">
        <v>0.21089583350635899</v>
      </c>
      <c r="H59">
        <v>1</v>
      </c>
      <c r="I59" t="s">
        <v>13482</v>
      </c>
    </row>
    <row r="60" spans="3:9" x14ac:dyDescent="0.25">
      <c r="C60" s="3" t="str">
        <f>HYPERLINK("http://amigo.geneontology.org/amigo/term/GO:0043492","GO:0043492")</f>
        <v>GO:0043492</v>
      </c>
      <c r="D60" t="s">
        <v>10121</v>
      </c>
      <c r="E60">
        <v>71</v>
      </c>
      <c r="F60">
        <v>1</v>
      </c>
      <c r="G60">
        <v>0.21632472577001899</v>
      </c>
      <c r="H60">
        <v>1</v>
      </c>
      <c r="I60" t="s">
        <v>13482</v>
      </c>
    </row>
    <row r="61" spans="3:9" x14ac:dyDescent="0.25">
      <c r="C61" s="3" t="str">
        <f>HYPERLINK("http://amigo.geneontology.org/amigo/term/GO:0008610","GO:0008610")</f>
        <v>GO:0008610</v>
      </c>
      <c r="D61" t="s">
        <v>564</v>
      </c>
      <c r="E61">
        <v>72</v>
      </c>
      <c r="F61">
        <v>1</v>
      </c>
      <c r="G61">
        <v>0.21902578421124699</v>
      </c>
      <c r="H61">
        <v>1</v>
      </c>
      <c r="I61" t="s">
        <v>13453</v>
      </c>
    </row>
    <row r="62" spans="3:9" x14ac:dyDescent="0.25">
      <c r="C62" s="3" t="str">
        <f>HYPERLINK("http://amigo.geneontology.org/amigo/term/GO:0032787","GO:0032787")</f>
        <v>GO:0032787</v>
      </c>
      <c r="D62" t="s">
        <v>532</v>
      </c>
      <c r="E62">
        <v>75</v>
      </c>
      <c r="F62">
        <v>1</v>
      </c>
      <c r="G62">
        <v>0.227075743811743</v>
      </c>
      <c r="H62">
        <v>1</v>
      </c>
      <c r="I62" t="s">
        <v>13453</v>
      </c>
    </row>
    <row r="63" spans="3:9" x14ac:dyDescent="0.25">
      <c r="C63" s="3" t="str">
        <f>HYPERLINK("http://amigo.geneontology.org/amigo/term/GO:0016407","GO:0016407")</f>
        <v>GO:0016407</v>
      </c>
      <c r="D63" t="s">
        <v>13498</v>
      </c>
      <c r="E63">
        <v>75</v>
      </c>
      <c r="F63">
        <v>1</v>
      </c>
      <c r="G63">
        <v>0.227075743811743</v>
      </c>
      <c r="H63">
        <v>1</v>
      </c>
      <c r="I63" t="s">
        <v>13464</v>
      </c>
    </row>
    <row r="64" spans="3:9" x14ac:dyDescent="0.25">
      <c r="C64" s="3" t="str">
        <f>HYPERLINK("http://amigo.geneontology.org/amigo/term/GO:0004497","GO:0004497")</f>
        <v>GO:0004497</v>
      </c>
      <c r="D64" t="s">
        <v>783</v>
      </c>
      <c r="E64">
        <v>80</v>
      </c>
      <c r="F64">
        <v>1</v>
      </c>
      <c r="G64">
        <v>0.24031661890439901</v>
      </c>
      <c r="H64">
        <v>1</v>
      </c>
      <c r="I64" t="s">
        <v>13452</v>
      </c>
    </row>
    <row r="65" spans="3:9" x14ac:dyDescent="0.25">
      <c r="C65" s="3" t="str">
        <f>HYPERLINK("http://amigo.geneontology.org/amigo/term/GO:0022857","GO:0022857")</f>
        <v>GO:0022857</v>
      </c>
      <c r="D65" t="s">
        <v>261</v>
      </c>
      <c r="E65">
        <v>299</v>
      </c>
      <c r="F65">
        <v>2</v>
      </c>
      <c r="G65">
        <v>0.27139290429376201</v>
      </c>
      <c r="H65">
        <v>1</v>
      </c>
      <c r="I65" t="s">
        <v>13499</v>
      </c>
    </row>
    <row r="66" spans="3:9" x14ac:dyDescent="0.25">
      <c r="C66" s="3" t="str">
        <f>HYPERLINK("http://amigo.geneontology.org/amigo/term/GO:0036094","GO:0036094")</f>
        <v>GO:0036094</v>
      </c>
      <c r="D66" t="s">
        <v>7049</v>
      </c>
      <c r="E66">
        <v>1050</v>
      </c>
      <c r="F66">
        <v>5</v>
      </c>
      <c r="G66">
        <v>0.28136523976431299</v>
      </c>
      <c r="H66">
        <v>1</v>
      </c>
      <c r="I66" t="s">
        <v>13494</v>
      </c>
    </row>
    <row r="67" spans="3:9" x14ac:dyDescent="0.25">
      <c r="C67" s="3" t="str">
        <f>HYPERLINK("http://amigo.geneontology.org/amigo/term/GO:0022804","GO:0022804")</f>
        <v>GO:0022804</v>
      </c>
      <c r="D67" t="s">
        <v>676</v>
      </c>
      <c r="E67">
        <v>101</v>
      </c>
      <c r="F67">
        <v>1</v>
      </c>
      <c r="G67">
        <v>0.293601126178762</v>
      </c>
      <c r="H67">
        <v>1</v>
      </c>
      <c r="I67" t="s">
        <v>13482</v>
      </c>
    </row>
    <row r="68" spans="3:9" x14ac:dyDescent="0.25">
      <c r="C68" s="3" t="str">
        <f>HYPERLINK("http://amigo.geneontology.org/amigo/term/GO:0043167","GO:0043167")</f>
        <v>GO:0043167</v>
      </c>
      <c r="D68" t="s">
        <v>6996</v>
      </c>
      <c r="E68">
        <v>1876</v>
      </c>
      <c r="F68">
        <v>8</v>
      </c>
      <c r="G68">
        <v>0.29369993894386698</v>
      </c>
      <c r="H68">
        <v>1</v>
      </c>
      <c r="I68" t="s">
        <v>13500</v>
      </c>
    </row>
    <row r="69" spans="3:9" x14ac:dyDescent="0.25">
      <c r="C69" s="3" t="str">
        <f>HYPERLINK("http://amigo.geneontology.org/amigo/term/GO:0042623","GO:0042623")</f>
        <v>GO:0042623</v>
      </c>
      <c r="D69" t="s">
        <v>10265</v>
      </c>
      <c r="E69">
        <v>102</v>
      </c>
      <c r="F69">
        <v>1</v>
      </c>
      <c r="G69">
        <v>0.29604733666456101</v>
      </c>
      <c r="H69">
        <v>1</v>
      </c>
      <c r="I69" t="s">
        <v>13482</v>
      </c>
    </row>
    <row r="70" spans="3:9" x14ac:dyDescent="0.25">
      <c r="C70" s="3" t="str">
        <f>HYPERLINK("http://amigo.geneontology.org/amigo/term/GO:0016874","GO:0016874")</f>
        <v>GO:0016874</v>
      </c>
      <c r="D70" t="s">
        <v>13501</v>
      </c>
      <c r="E70">
        <v>102</v>
      </c>
      <c r="F70">
        <v>1</v>
      </c>
      <c r="G70">
        <v>0.29604733666456101</v>
      </c>
      <c r="H70">
        <v>1</v>
      </c>
      <c r="I70" t="s">
        <v>13459</v>
      </c>
    </row>
    <row r="71" spans="3:9" x14ac:dyDescent="0.25">
      <c r="C71" s="3" t="str">
        <f>HYPERLINK("http://amigo.geneontology.org/amigo/term/GO:0044255","GO:0044255")</f>
        <v>GO:0044255</v>
      </c>
      <c r="D71" t="s">
        <v>258</v>
      </c>
      <c r="E71">
        <v>110</v>
      </c>
      <c r="F71">
        <v>1</v>
      </c>
      <c r="G71">
        <v>0.31532800809480999</v>
      </c>
      <c r="H71">
        <v>1</v>
      </c>
      <c r="I71" t="s">
        <v>13453</v>
      </c>
    </row>
    <row r="72" spans="3:9" x14ac:dyDescent="0.25">
      <c r="C72" s="3" t="str">
        <f>HYPERLINK("http://amigo.geneontology.org/amigo/term/GO:0005829","GO:0005829")</f>
        <v>GO:0005829</v>
      </c>
      <c r="D72" t="s">
        <v>13502</v>
      </c>
      <c r="E72">
        <v>112</v>
      </c>
      <c r="F72">
        <v>1</v>
      </c>
      <c r="G72">
        <v>0.32006881811070498</v>
      </c>
      <c r="H72">
        <v>1</v>
      </c>
      <c r="I72" t="s">
        <v>13453</v>
      </c>
    </row>
    <row r="73" spans="3:9" x14ac:dyDescent="0.25">
      <c r="C73" s="3" t="str">
        <f>HYPERLINK("http://amigo.geneontology.org/amigo/term/GO:0016053","GO:0016053")</f>
        <v>GO:0016053</v>
      </c>
      <c r="D73" t="s">
        <v>685</v>
      </c>
      <c r="E73">
        <v>118</v>
      </c>
      <c r="F73">
        <v>1</v>
      </c>
      <c r="G73">
        <v>0.33410397203289399</v>
      </c>
      <c r="H73">
        <v>1</v>
      </c>
      <c r="I73" t="s">
        <v>13453</v>
      </c>
    </row>
    <row r="74" spans="3:9" x14ac:dyDescent="0.25">
      <c r="C74" s="3" t="str">
        <f>HYPERLINK("http://amigo.geneontology.org/amigo/term/GO:0046394","GO:0046394")</f>
        <v>GO:0046394</v>
      </c>
      <c r="D74" t="s">
        <v>682</v>
      </c>
      <c r="E74">
        <v>118</v>
      </c>
      <c r="F74">
        <v>1</v>
      </c>
      <c r="G74">
        <v>0.33410397203289399</v>
      </c>
      <c r="H74">
        <v>1</v>
      </c>
      <c r="I74" t="s">
        <v>13453</v>
      </c>
    </row>
    <row r="75" spans="3:9" x14ac:dyDescent="0.25">
      <c r="C75" s="3" t="str">
        <f>HYPERLINK("http://amigo.geneontology.org/amigo/term/GO:1901363","GO:1901363")</f>
        <v>GO:1901363</v>
      </c>
      <c r="D75" t="s">
        <v>6873</v>
      </c>
      <c r="E75">
        <v>1692</v>
      </c>
      <c r="F75">
        <v>7</v>
      </c>
      <c r="G75">
        <v>0.348873502157515</v>
      </c>
      <c r="H75">
        <v>1</v>
      </c>
      <c r="I75" t="s">
        <v>13503</v>
      </c>
    </row>
    <row r="76" spans="3:9" x14ac:dyDescent="0.25">
      <c r="C76" s="3" t="str">
        <f>HYPERLINK("http://amigo.geneontology.org/amigo/term/GO:0097159","GO:0097159")</f>
        <v>GO:0097159</v>
      </c>
      <c r="D76" t="s">
        <v>6874</v>
      </c>
      <c r="E76">
        <v>1693</v>
      </c>
      <c r="F76">
        <v>7</v>
      </c>
      <c r="G76">
        <v>0.34950256149091002</v>
      </c>
      <c r="H76">
        <v>1</v>
      </c>
      <c r="I76" t="s">
        <v>13503</v>
      </c>
    </row>
    <row r="77" spans="3:9" x14ac:dyDescent="0.25">
      <c r="C77" s="3" t="str">
        <f>HYPERLINK("http://amigo.geneontology.org/amigo/term/GO:0016887","GO:0016887")</f>
        <v>GO:0016887</v>
      </c>
      <c r="D77" t="s">
        <v>7566</v>
      </c>
      <c r="E77">
        <v>128</v>
      </c>
      <c r="F77">
        <v>1</v>
      </c>
      <c r="G77">
        <v>0.356883346143955</v>
      </c>
      <c r="H77">
        <v>1</v>
      </c>
      <c r="I77" t="s">
        <v>13482</v>
      </c>
    </row>
    <row r="78" spans="3:9" x14ac:dyDescent="0.25">
      <c r="C78" s="3" t="str">
        <f>HYPERLINK("http://amigo.geneontology.org/amigo/term/GO:0032553","GO:0032553")</f>
        <v>GO:0032553</v>
      </c>
      <c r="D78" t="s">
        <v>7031</v>
      </c>
      <c r="E78">
        <v>627</v>
      </c>
      <c r="F78">
        <v>3</v>
      </c>
      <c r="G78">
        <v>0.36216304068062999</v>
      </c>
      <c r="H78">
        <v>1</v>
      </c>
      <c r="I78" t="s">
        <v>13504</v>
      </c>
    </row>
    <row r="79" spans="3:9" x14ac:dyDescent="0.25">
      <c r="C79" s="3" t="str">
        <f>HYPERLINK("http://amigo.geneontology.org/amigo/term/GO:0097367","GO:0097367")</f>
        <v>GO:0097367</v>
      </c>
      <c r="D79" t="s">
        <v>7019</v>
      </c>
      <c r="E79">
        <v>649</v>
      </c>
      <c r="F79">
        <v>3</v>
      </c>
      <c r="G79">
        <v>0.38349300918207102</v>
      </c>
      <c r="H79">
        <v>1</v>
      </c>
      <c r="I79" t="s">
        <v>13504</v>
      </c>
    </row>
    <row r="80" spans="3:9" x14ac:dyDescent="0.25">
      <c r="C80" s="3" t="str">
        <f>HYPERLINK("http://amigo.geneontology.org/amigo/term/GO:0044283","GO:0044283")</f>
        <v>GO:0044283</v>
      </c>
      <c r="D80" t="s">
        <v>888</v>
      </c>
      <c r="E80">
        <v>163</v>
      </c>
      <c r="F80">
        <v>1</v>
      </c>
      <c r="G80">
        <v>0.43089516863036897</v>
      </c>
      <c r="H80">
        <v>1</v>
      </c>
      <c r="I80" t="s">
        <v>13453</v>
      </c>
    </row>
    <row r="81" spans="3:9" x14ac:dyDescent="0.25">
      <c r="C81" s="3" t="str">
        <f>HYPERLINK("http://amigo.geneontology.org/amigo/term/GO:0006629","GO:0006629")</f>
        <v>GO:0006629</v>
      </c>
      <c r="D81" t="s">
        <v>182</v>
      </c>
      <c r="E81">
        <v>172</v>
      </c>
      <c r="F81">
        <v>1</v>
      </c>
      <c r="G81">
        <v>0.44856947274334702</v>
      </c>
      <c r="H81">
        <v>1</v>
      </c>
      <c r="I81" t="s">
        <v>13453</v>
      </c>
    </row>
    <row r="82" spans="3:9" x14ac:dyDescent="0.25">
      <c r="C82" s="3" t="str">
        <f>HYPERLINK("http://amigo.geneontology.org/amigo/term/GO:0006520","GO:0006520")</f>
        <v>GO:0006520</v>
      </c>
      <c r="D82" t="s">
        <v>5762</v>
      </c>
      <c r="E82">
        <v>177</v>
      </c>
      <c r="F82">
        <v>1</v>
      </c>
      <c r="G82">
        <v>0.45816085162946402</v>
      </c>
      <c r="H82">
        <v>1</v>
      </c>
      <c r="I82" t="s">
        <v>13456</v>
      </c>
    </row>
    <row r="83" spans="3:9" x14ac:dyDescent="0.25">
      <c r="C83" s="3" t="str">
        <f>HYPERLINK("http://amigo.geneontology.org/amigo/term/GO:0046914","GO:0046914")</f>
        <v>GO:0046914</v>
      </c>
      <c r="D83" t="s">
        <v>5615</v>
      </c>
      <c r="E83">
        <v>743</v>
      </c>
      <c r="F83">
        <v>3</v>
      </c>
      <c r="G83">
        <v>0.47300279079338597</v>
      </c>
      <c r="H83">
        <v>1</v>
      </c>
      <c r="I83" t="s">
        <v>13473</v>
      </c>
    </row>
    <row r="84" spans="3:9" x14ac:dyDescent="0.25">
      <c r="C84" s="3" t="str">
        <f>HYPERLINK("http://amigo.geneontology.org/amigo/term/GO:0004553","GO:0004553")</f>
        <v>GO:0004553</v>
      </c>
      <c r="D84" t="s">
        <v>174</v>
      </c>
      <c r="E84">
        <v>185</v>
      </c>
      <c r="F84">
        <v>1</v>
      </c>
      <c r="G84">
        <v>0.47317661576623699</v>
      </c>
      <c r="H84">
        <v>1</v>
      </c>
      <c r="I84" t="s">
        <v>13479</v>
      </c>
    </row>
    <row r="85" spans="3:9" x14ac:dyDescent="0.25">
      <c r="C85" s="3" t="str">
        <f>HYPERLINK("http://amigo.geneontology.org/amigo/term/GO:0016798","GO:0016798")</f>
        <v>GO:0016798</v>
      </c>
      <c r="D85" t="s">
        <v>177</v>
      </c>
      <c r="E85">
        <v>193</v>
      </c>
      <c r="F85">
        <v>1</v>
      </c>
      <c r="G85">
        <v>0.48779466686475298</v>
      </c>
      <c r="H85">
        <v>1</v>
      </c>
      <c r="I85" t="s">
        <v>13479</v>
      </c>
    </row>
    <row r="86" spans="3:9" x14ac:dyDescent="0.25">
      <c r="C86" s="3" t="str">
        <f>HYPERLINK("http://amigo.geneontology.org/amigo/term/GO:0055085","GO:0055085")</f>
        <v>GO:0055085</v>
      </c>
      <c r="D86" t="s">
        <v>240</v>
      </c>
      <c r="E86">
        <v>480</v>
      </c>
      <c r="F86">
        <v>2</v>
      </c>
      <c r="G86">
        <v>0.494831899113367</v>
      </c>
      <c r="H86">
        <v>1</v>
      </c>
      <c r="I86" t="s">
        <v>13499</v>
      </c>
    </row>
    <row r="87" spans="3:9" x14ac:dyDescent="0.25">
      <c r="C87" s="3" t="str">
        <f>HYPERLINK("http://amigo.geneontology.org/amigo/term/GO:0017111","GO:0017111")</f>
        <v>GO:0017111</v>
      </c>
      <c r="D87" t="s">
        <v>10193</v>
      </c>
      <c r="E87">
        <v>214</v>
      </c>
      <c r="F87">
        <v>1</v>
      </c>
      <c r="G87">
        <v>0.52434776998876598</v>
      </c>
      <c r="H87">
        <v>1</v>
      </c>
      <c r="I87" t="s">
        <v>13482</v>
      </c>
    </row>
    <row r="88" spans="3:9" x14ac:dyDescent="0.25">
      <c r="C88" s="3" t="str">
        <f>HYPERLINK("http://amigo.geneontology.org/amigo/term/GO:0016788","GO:0016788")</f>
        <v>GO:0016788</v>
      </c>
      <c r="D88" t="s">
        <v>115</v>
      </c>
      <c r="E88">
        <v>216</v>
      </c>
      <c r="F88">
        <v>1</v>
      </c>
      <c r="G88">
        <v>0.52769608343597596</v>
      </c>
      <c r="H88">
        <v>1</v>
      </c>
      <c r="I88" t="s">
        <v>13483</v>
      </c>
    </row>
    <row r="89" spans="3:9" x14ac:dyDescent="0.25">
      <c r="C89" s="3" t="str">
        <f>HYPERLINK("http://amigo.geneontology.org/amigo/term/GO:0016462","GO:0016462")</f>
        <v>GO:0016462</v>
      </c>
      <c r="D89" t="s">
        <v>10208</v>
      </c>
      <c r="E89">
        <v>221</v>
      </c>
      <c r="F89">
        <v>1</v>
      </c>
      <c r="G89">
        <v>0.53596871831595905</v>
      </c>
      <c r="H89">
        <v>1</v>
      </c>
      <c r="I89" t="s">
        <v>13482</v>
      </c>
    </row>
    <row r="90" spans="3:9" x14ac:dyDescent="0.25">
      <c r="C90" s="3" t="str">
        <f>HYPERLINK("http://amigo.geneontology.org/amigo/term/GO:0016818","GO:0016818")</f>
        <v>GO:0016818</v>
      </c>
      <c r="D90" t="s">
        <v>10218</v>
      </c>
      <c r="E90">
        <v>224</v>
      </c>
      <c r="F90">
        <v>1</v>
      </c>
      <c r="G90">
        <v>0.54086571401919603</v>
      </c>
      <c r="H90">
        <v>1</v>
      </c>
      <c r="I90" t="s">
        <v>13482</v>
      </c>
    </row>
    <row r="91" spans="3:9" x14ac:dyDescent="0.25">
      <c r="C91" s="3" t="str">
        <f>HYPERLINK("http://amigo.geneontology.org/amigo/term/GO:0016817","GO:0016817")</f>
        <v>GO:0016817</v>
      </c>
      <c r="D91" t="s">
        <v>10225</v>
      </c>
      <c r="E91">
        <v>226</v>
      </c>
      <c r="F91">
        <v>1</v>
      </c>
      <c r="G91">
        <v>0.54410292990839604</v>
      </c>
      <c r="H91">
        <v>1</v>
      </c>
      <c r="I91" t="s">
        <v>13482</v>
      </c>
    </row>
    <row r="92" spans="3:9" x14ac:dyDescent="0.25">
      <c r="C92" s="3" t="str">
        <f>HYPERLINK("http://amigo.geneontology.org/amigo/term/GO:0008144","GO:0008144")</f>
        <v>GO:0008144</v>
      </c>
      <c r="D92" t="s">
        <v>6910</v>
      </c>
      <c r="E92">
        <v>559</v>
      </c>
      <c r="F92">
        <v>2</v>
      </c>
      <c r="G92">
        <v>0.57985614153250697</v>
      </c>
      <c r="H92">
        <v>1</v>
      </c>
      <c r="I92" t="s">
        <v>13505</v>
      </c>
    </row>
    <row r="93" spans="3:9" x14ac:dyDescent="0.25">
      <c r="C93" s="3" t="str">
        <f>HYPERLINK("http://amigo.geneontology.org/amigo/term/GO:0005975","GO:0005975")</f>
        <v>GO:0005975</v>
      </c>
      <c r="D93" t="s">
        <v>171</v>
      </c>
      <c r="E93">
        <v>288</v>
      </c>
      <c r="F93">
        <v>1</v>
      </c>
      <c r="G93">
        <v>0.63431039285185797</v>
      </c>
      <c r="H93">
        <v>1</v>
      </c>
      <c r="I93" t="s">
        <v>13479</v>
      </c>
    </row>
    <row r="94" spans="3:9" x14ac:dyDescent="0.25">
      <c r="C94" s="3" t="str">
        <f>HYPERLINK("http://amigo.geneontology.org/amigo/term/GO:1901265","GO:1901265")</f>
        <v>GO:1901265</v>
      </c>
      <c r="D94" t="s">
        <v>7052</v>
      </c>
      <c r="E94">
        <v>939</v>
      </c>
      <c r="F94">
        <v>3</v>
      </c>
      <c r="G94">
        <v>0.640422985861544</v>
      </c>
      <c r="H94">
        <v>1</v>
      </c>
      <c r="I94" t="s">
        <v>13504</v>
      </c>
    </row>
    <row r="95" spans="3:9" x14ac:dyDescent="0.25">
      <c r="C95" s="3" t="str">
        <f>HYPERLINK("http://amigo.geneontology.org/amigo/term/GO:0000166","GO:0000166")</f>
        <v>GO:0000166</v>
      </c>
      <c r="D95" t="s">
        <v>7055</v>
      </c>
      <c r="E95">
        <v>939</v>
      </c>
      <c r="F95">
        <v>3</v>
      </c>
      <c r="G95">
        <v>0.640422985861544</v>
      </c>
      <c r="H95">
        <v>1</v>
      </c>
      <c r="I95" t="s">
        <v>13504</v>
      </c>
    </row>
    <row r="96" spans="3:9" x14ac:dyDescent="0.25">
      <c r="C96" s="3" t="str">
        <f>HYPERLINK("http://amigo.geneontology.org/amigo/term/GO:0046872","GO:0046872")</f>
        <v>GO:0046872</v>
      </c>
      <c r="D96" t="s">
        <v>1484</v>
      </c>
      <c r="E96">
        <v>1034</v>
      </c>
      <c r="F96">
        <v>3</v>
      </c>
      <c r="G96">
        <v>0.70842767751107805</v>
      </c>
      <c r="H96">
        <v>1</v>
      </c>
      <c r="I96" t="s">
        <v>13473</v>
      </c>
    </row>
    <row r="97" spans="3:9" x14ac:dyDescent="0.25">
      <c r="C97" s="3" t="str">
        <f>HYPERLINK("http://amigo.geneontology.org/amigo/term/GO:0043169","GO:0043169")</f>
        <v>GO:0043169</v>
      </c>
      <c r="D97" t="s">
        <v>1535</v>
      </c>
      <c r="E97">
        <v>1040</v>
      </c>
      <c r="F97">
        <v>3</v>
      </c>
      <c r="G97">
        <v>0.71240661156438301</v>
      </c>
      <c r="H97">
        <v>1</v>
      </c>
      <c r="I97" t="s">
        <v>13473</v>
      </c>
    </row>
    <row r="98" spans="3:9" x14ac:dyDescent="0.25">
      <c r="C98" s="3" t="str">
        <f>HYPERLINK("http://amigo.geneontology.org/amigo/term/GO:0016787","GO:0016787")</f>
        <v>GO:0016787</v>
      </c>
      <c r="D98" t="s">
        <v>98</v>
      </c>
      <c r="E98">
        <v>1052</v>
      </c>
      <c r="F98">
        <v>3</v>
      </c>
      <c r="G98">
        <v>0.72025110706014395</v>
      </c>
      <c r="H98">
        <v>1</v>
      </c>
      <c r="I98" t="s">
        <v>13506</v>
      </c>
    </row>
    <row r="99" spans="3:9" x14ac:dyDescent="0.25">
      <c r="C99" s="3" t="str">
        <f>HYPERLINK("http://amigo.geneontology.org/amigo/term/GO:0006810","GO:0006810")</f>
        <v>GO:0006810</v>
      </c>
      <c r="D99" t="s">
        <v>318</v>
      </c>
      <c r="E99">
        <v>722</v>
      </c>
      <c r="F99">
        <v>2</v>
      </c>
      <c r="G99">
        <v>0.72319283149227398</v>
      </c>
      <c r="H99">
        <v>1</v>
      </c>
      <c r="I99" t="s">
        <v>13499</v>
      </c>
    </row>
    <row r="100" spans="3:9" x14ac:dyDescent="0.25">
      <c r="C100" s="3" t="str">
        <f>HYPERLINK("http://amigo.geneontology.org/amigo/term/GO:0051234","GO:0051234")</f>
        <v>GO:0051234</v>
      </c>
      <c r="D100" t="s">
        <v>344</v>
      </c>
      <c r="E100">
        <v>726</v>
      </c>
      <c r="F100">
        <v>2</v>
      </c>
      <c r="G100">
        <v>0.72616710910910298</v>
      </c>
      <c r="H100">
        <v>1</v>
      </c>
      <c r="I100" t="s">
        <v>13499</v>
      </c>
    </row>
    <row r="101" spans="3:9" x14ac:dyDescent="0.25">
      <c r="C101" s="3" t="str">
        <f>HYPERLINK("http://amigo.geneontology.org/amigo/term/GO:0009058","GO:0009058")</f>
        <v>GO:0009058</v>
      </c>
      <c r="D101" t="s">
        <v>5724</v>
      </c>
      <c r="E101">
        <v>813</v>
      </c>
      <c r="F101">
        <v>2</v>
      </c>
      <c r="G101">
        <v>0.78482399440539197</v>
      </c>
      <c r="H101">
        <v>1</v>
      </c>
      <c r="I101" t="s">
        <v>13507</v>
      </c>
    </row>
    <row r="102" spans="3:9" x14ac:dyDescent="0.25">
      <c r="C102" s="3" t="str">
        <f>HYPERLINK("http://amigo.geneontology.org/amigo/term/GO:0005524","GO:0005524")</f>
        <v>GO:0005524</v>
      </c>
      <c r="D102" t="s">
        <v>6927</v>
      </c>
      <c r="E102">
        <v>473</v>
      </c>
      <c r="F102">
        <v>1</v>
      </c>
      <c r="G102">
        <v>0.81312363699235701</v>
      </c>
      <c r="H102">
        <v>1</v>
      </c>
      <c r="I102" t="s">
        <v>13482</v>
      </c>
    </row>
    <row r="103" spans="3:9" x14ac:dyDescent="0.25">
      <c r="C103" s="3" t="str">
        <f>HYPERLINK("http://amigo.geneontology.org/amigo/term/GO:0032559","GO:0032559")</f>
        <v>GO:0032559</v>
      </c>
      <c r="D103" t="s">
        <v>7026</v>
      </c>
      <c r="E103">
        <v>485</v>
      </c>
      <c r="F103">
        <v>1</v>
      </c>
      <c r="G103">
        <v>0.82121476339887001</v>
      </c>
      <c r="H103">
        <v>1</v>
      </c>
      <c r="I103" t="s">
        <v>13482</v>
      </c>
    </row>
    <row r="104" spans="3:9" x14ac:dyDescent="0.25">
      <c r="C104" s="3" t="str">
        <f>HYPERLINK("http://amigo.geneontology.org/amigo/term/GO:0030554","GO:0030554")</f>
        <v>GO:0030554</v>
      </c>
      <c r="D104" t="s">
        <v>7029</v>
      </c>
      <c r="E104">
        <v>487</v>
      </c>
      <c r="F104">
        <v>1</v>
      </c>
      <c r="G104">
        <v>0.82253034559506499</v>
      </c>
      <c r="H104">
        <v>1</v>
      </c>
      <c r="I104" t="s">
        <v>13482</v>
      </c>
    </row>
    <row r="105" spans="3:9" x14ac:dyDescent="0.25">
      <c r="C105" s="3" t="str">
        <f>HYPERLINK("http://amigo.geneontology.org/amigo/term/GO:0044444","GO:0044444")</f>
        <v>GO:0044444</v>
      </c>
      <c r="D105" t="s">
        <v>13508</v>
      </c>
      <c r="E105">
        <v>522</v>
      </c>
      <c r="F105">
        <v>1</v>
      </c>
      <c r="G105">
        <v>0.84411046403832302</v>
      </c>
      <c r="H105">
        <v>1</v>
      </c>
      <c r="I105" t="s">
        <v>13453</v>
      </c>
    </row>
    <row r="106" spans="3:9" x14ac:dyDescent="0.25">
      <c r="C106" s="3" t="str">
        <f>HYPERLINK("http://amigo.geneontology.org/amigo/term/GO:0035639","GO:0035639")</f>
        <v>GO:0035639</v>
      </c>
      <c r="D106" t="s">
        <v>6966</v>
      </c>
      <c r="E106">
        <v>566</v>
      </c>
      <c r="F106">
        <v>1</v>
      </c>
      <c r="G106">
        <v>0.86770093533412596</v>
      </c>
      <c r="H106">
        <v>1</v>
      </c>
      <c r="I106" t="s">
        <v>13482</v>
      </c>
    </row>
    <row r="107" spans="3:9" x14ac:dyDescent="0.25">
      <c r="C107" s="3" t="str">
        <f>HYPERLINK("http://amigo.geneontology.org/amigo/term/GO:0032555","GO:0032555")</f>
        <v>GO:0032555</v>
      </c>
      <c r="D107" t="s">
        <v>7046</v>
      </c>
      <c r="E107">
        <v>578</v>
      </c>
      <c r="F107">
        <v>1</v>
      </c>
      <c r="G107">
        <v>0.87351775069980597</v>
      </c>
      <c r="H107">
        <v>1</v>
      </c>
      <c r="I107" t="s">
        <v>13482</v>
      </c>
    </row>
    <row r="108" spans="3:9" x14ac:dyDescent="0.25">
      <c r="C108" s="3" t="str">
        <f>HYPERLINK("http://amigo.geneontology.org/amigo/term/GO:0017076","GO:0017076")</f>
        <v>GO:0017076</v>
      </c>
      <c r="D108" t="s">
        <v>7057</v>
      </c>
      <c r="E108">
        <v>580</v>
      </c>
      <c r="F108">
        <v>1</v>
      </c>
      <c r="G108">
        <v>0.87446316809681501</v>
      </c>
      <c r="H108">
        <v>1</v>
      </c>
      <c r="I108" t="s">
        <v>13482</v>
      </c>
    </row>
    <row r="109" spans="3:9" x14ac:dyDescent="0.25">
      <c r="C109" s="3" t="str">
        <f>HYPERLINK("http://amigo.geneontology.org/amigo/term/GO:0071704","GO:0071704")</f>
        <v>GO:0071704</v>
      </c>
      <c r="D109" t="s">
        <v>472</v>
      </c>
      <c r="E109">
        <v>1803</v>
      </c>
      <c r="F109">
        <v>4</v>
      </c>
      <c r="G109">
        <v>0.90113428596247003</v>
      </c>
      <c r="H109">
        <v>1</v>
      </c>
      <c r="I109" t="s">
        <v>13509</v>
      </c>
    </row>
    <row r="110" spans="3:9" x14ac:dyDescent="0.25">
      <c r="C110" s="3" t="str">
        <f>HYPERLINK("http://amigo.geneontology.org/amigo/term/GO:0016021","GO:0016021")</f>
        <v>GO:0016021</v>
      </c>
      <c r="D110" t="s">
        <v>203</v>
      </c>
      <c r="E110">
        <v>1074</v>
      </c>
      <c r="F110">
        <v>2</v>
      </c>
      <c r="G110">
        <v>0.90205511054583998</v>
      </c>
      <c r="H110">
        <v>1</v>
      </c>
      <c r="I110" t="s">
        <v>13499</v>
      </c>
    </row>
    <row r="111" spans="3:9" x14ac:dyDescent="0.25">
      <c r="C111" s="3" t="str">
        <f>HYPERLINK("http://amigo.geneontology.org/amigo/term/GO:0031224","GO:0031224")</f>
        <v>GO:0031224</v>
      </c>
      <c r="D111" t="s">
        <v>191</v>
      </c>
      <c r="E111">
        <v>1077</v>
      </c>
      <c r="F111">
        <v>2</v>
      </c>
      <c r="G111">
        <v>0.90298740059475502</v>
      </c>
      <c r="H111">
        <v>1</v>
      </c>
      <c r="I111" t="s">
        <v>13499</v>
      </c>
    </row>
    <row r="112" spans="3:9" x14ac:dyDescent="0.25">
      <c r="C112" s="3" t="str">
        <f>HYPERLINK("http://amigo.geneontology.org/amigo/term/GO:0044237","GO:0044237")</f>
        <v>GO:0044237</v>
      </c>
      <c r="D112" t="s">
        <v>6872</v>
      </c>
      <c r="E112">
        <v>1496</v>
      </c>
      <c r="F112">
        <v>3</v>
      </c>
      <c r="G112">
        <v>0.91368718284709904</v>
      </c>
      <c r="H112">
        <v>1</v>
      </c>
      <c r="I112" t="s">
        <v>13488</v>
      </c>
    </row>
    <row r="113" spans="3:9" x14ac:dyDescent="0.25">
      <c r="C113" s="3" t="str">
        <f>HYPERLINK("http://amigo.geneontology.org/amigo/term/GO:0005737","GO:0005737")</f>
        <v>GO:0005737</v>
      </c>
      <c r="D113" t="s">
        <v>13510</v>
      </c>
      <c r="E113">
        <v>693</v>
      </c>
      <c r="F113">
        <v>1</v>
      </c>
      <c r="G113">
        <v>0.91818331765678696</v>
      </c>
      <c r="H113">
        <v>1</v>
      </c>
      <c r="I113" t="s">
        <v>13453</v>
      </c>
    </row>
    <row r="114" spans="3:9" x14ac:dyDescent="0.25">
      <c r="C114" s="3" t="str">
        <f>HYPERLINK("http://amigo.geneontology.org/amigo/term/GO:0044425","GO:0044425")</f>
        <v>GO:0044425</v>
      </c>
      <c r="D114" t="s">
        <v>215</v>
      </c>
      <c r="E114">
        <v>1161</v>
      </c>
      <c r="F114">
        <v>2</v>
      </c>
      <c r="G114">
        <v>0.92611449935322199</v>
      </c>
      <c r="H114">
        <v>1</v>
      </c>
      <c r="I114" t="s">
        <v>13499</v>
      </c>
    </row>
    <row r="115" spans="3:9" x14ac:dyDescent="0.25">
      <c r="C115" s="3" t="str">
        <f>HYPERLINK("http://amigo.geneontology.org/amigo/term/GO:0044249","GO:0044249")</f>
        <v>GO:0044249</v>
      </c>
      <c r="D115" t="s">
        <v>6857</v>
      </c>
      <c r="E115">
        <v>756</v>
      </c>
      <c r="F115">
        <v>1</v>
      </c>
      <c r="G115">
        <v>0.93579196534164499</v>
      </c>
      <c r="H115">
        <v>1</v>
      </c>
      <c r="I115" t="s">
        <v>13453</v>
      </c>
    </row>
    <row r="116" spans="3:9" x14ac:dyDescent="0.25">
      <c r="C116" s="3" t="str">
        <f>HYPERLINK("http://amigo.geneontology.org/amigo/term/GO:1901576","GO:1901576")</f>
        <v>GO:1901576</v>
      </c>
      <c r="D116" t="s">
        <v>6860</v>
      </c>
      <c r="E116">
        <v>768</v>
      </c>
      <c r="F116">
        <v>1</v>
      </c>
      <c r="G116">
        <v>0.938707243208597</v>
      </c>
      <c r="H116">
        <v>1</v>
      </c>
      <c r="I116" t="s">
        <v>13453</v>
      </c>
    </row>
    <row r="117" spans="3:9" x14ac:dyDescent="0.25">
      <c r="C117" s="3" t="str">
        <f>HYPERLINK("http://amigo.geneontology.org/amigo/term/GO:0044238","GO:0044238")</f>
        <v>GO:0044238</v>
      </c>
      <c r="D117" t="s">
        <v>612</v>
      </c>
      <c r="E117">
        <v>1667</v>
      </c>
      <c r="F117">
        <v>3</v>
      </c>
      <c r="G117">
        <v>0.94905087902954199</v>
      </c>
      <c r="H117">
        <v>1</v>
      </c>
      <c r="I117" t="s">
        <v>13511</v>
      </c>
    </row>
    <row r="118" spans="3:9" x14ac:dyDescent="0.25">
      <c r="C118" s="3" t="str">
        <f>HYPERLINK("http://amigo.geneontology.org/amigo/term/GO:1901564","GO:1901564")</f>
        <v>GO:1901564</v>
      </c>
      <c r="D118" t="s">
        <v>7043</v>
      </c>
      <c r="E118">
        <v>838</v>
      </c>
      <c r="F118">
        <v>1</v>
      </c>
      <c r="G118">
        <v>0.95335189122633301</v>
      </c>
      <c r="H118">
        <v>1</v>
      </c>
      <c r="I118" t="s">
        <v>13456</v>
      </c>
    </row>
    <row r="119" spans="3:9" x14ac:dyDescent="0.25">
      <c r="C119" s="3" t="str">
        <f>HYPERLINK("http://amigo.geneontology.org/amigo/term/GO:0006807","GO:0006807")</f>
        <v>GO:0006807</v>
      </c>
      <c r="D119" t="s">
        <v>6871</v>
      </c>
      <c r="E119">
        <v>1352</v>
      </c>
      <c r="F119">
        <v>1</v>
      </c>
      <c r="G119">
        <v>0.99437757915192604</v>
      </c>
      <c r="H119">
        <v>1</v>
      </c>
      <c r="I119" t="s">
        <v>13456</v>
      </c>
    </row>
    <row r="120" spans="3:9" x14ac:dyDescent="0.25">
      <c r="C120" s="3" t="str">
        <f>HYPERLINK("http://amigo.geneontology.org/amigo/term/GO:0044424","GO:0044424")</f>
        <v>GO:0044424</v>
      </c>
      <c r="D120" t="s">
        <v>6867</v>
      </c>
      <c r="E120">
        <v>1374</v>
      </c>
      <c r="F120">
        <v>1</v>
      </c>
      <c r="G120">
        <v>0.99488848512335504</v>
      </c>
      <c r="H120">
        <v>1</v>
      </c>
      <c r="I120" t="s">
        <v>13453</v>
      </c>
    </row>
    <row r="121" spans="3:9" x14ac:dyDescent="0.25">
      <c r="C121" s="3" t="str">
        <f>HYPERLINK("http://amigo.geneontology.org/amigo/term/GO:0005622","GO:0005622")</f>
        <v>GO:0005622</v>
      </c>
      <c r="D121" t="s">
        <v>6868</v>
      </c>
      <c r="E121">
        <v>1472</v>
      </c>
      <c r="F121">
        <v>1</v>
      </c>
      <c r="G121">
        <v>0.99667309582369201</v>
      </c>
      <c r="H121">
        <v>1</v>
      </c>
      <c r="I121" t="s">
        <v>13453</v>
      </c>
    </row>
    <row r="122" spans="3:9" x14ac:dyDescent="0.25">
      <c r="C122" s="3" t="str">
        <f>HYPERLINK("http://amigo.geneontology.org/amigo/term/GO:0044464","GO:0044464")</f>
        <v>GO:0044464</v>
      </c>
      <c r="D122" t="s">
        <v>6869</v>
      </c>
      <c r="E122">
        <v>1509</v>
      </c>
      <c r="F122">
        <v>1</v>
      </c>
      <c r="G122">
        <v>0.99717729311779801</v>
      </c>
      <c r="H122">
        <v>1</v>
      </c>
      <c r="I122" t="s">
        <v>13453</v>
      </c>
    </row>
  </sheetData>
  <pageMargins left="0.7" right="0.7" top="0.75" bottom="0.75" header="0.3" footer="0.3"/>
  <pageSetup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4.140625" customWidth="1"/>
    <col min="3" max="3" width="13.85546875" customWidth="1"/>
    <col min="4" max="4" width="33.140625" customWidth="1"/>
  </cols>
  <sheetData>
    <row r="1" spans="1:12" ht="20.25" x14ac:dyDescent="0.3">
      <c r="A1" s="12" t="s">
        <v>13275</v>
      </c>
    </row>
    <row r="2" spans="1:12" x14ac:dyDescent="0.25">
      <c r="A2" s="5" t="s">
        <v>13450</v>
      </c>
      <c r="C2" t="s">
        <v>2</v>
      </c>
      <c r="D2">
        <v>11</v>
      </c>
      <c r="L2" s="14"/>
    </row>
    <row r="3" spans="1:12" x14ac:dyDescent="0.25">
      <c r="A3" s="2" t="s">
        <v>13512</v>
      </c>
      <c r="C3" t="s">
        <v>4</v>
      </c>
      <c r="D3">
        <v>6454</v>
      </c>
    </row>
    <row r="4" spans="1:12" x14ac:dyDescent="0.25">
      <c r="A4" s="2" t="s">
        <v>13513</v>
      </c>
      <c r="C4" t="s">
        <v>6</v>
      </c>
      <c r="D4" t="s">
        <v>7</v>
      </c>
    </row>
    <row r="5" spans="1:12" x14ac:dyDescent="0.25">
      <c r="A5" s="2" t="s">
        <v>13514</v>
      </c>
      <c r="C5" t="s">
        <v>9</v>
      </c>
      <c r="D5" t="s">
        <v>10</v>
      </c>
    </row>
    <row r="6" spans="1:12" x14ac:dyDescent="0.25">
      <c r="A6" s="2" t="s">
        <v>13515</v>
      </c>
      <c r="C6" t="s">
        <v>12</v>
      </c>
      <c r="D6" t="s">
        <v>13</v>
      </c>
    </row>
    <row r="7" spans="1:12" x14ac:dyDescent="0.25">
      <c r="A7" s="2" t="s">
        <v>13516</v>
      </c>
      <c r="C7" t="s">
        <v>15</v>
      </c>
      <c r="D7" t="s">
        <v>16</v>
      </c>
    </row>
    <row r="8" spans="1:12" x14ac:dyDescent="0.25">
      <c r="A8" s="2" t="s">
        <v>13517</v>
      </c>
      <c r="C8" t="s">
        <v>18</v>
      </c>
      <c r="D8" t="s">
        <v>19</v>
      </c>
    </row>
    <row r="9" spans="1:12" x14ac:dyDescent="0.25">
      <c r="A9" s="2" t="s">
        <v>13518</v>
      </c>
      <c r="C9" t="s">
        <v>21</v>
      </c>
      <c r="D9">
        <v>3</v>
      </c>
    </row>
    <row r="10" spans="1:12" x14ac:dyDescent="0.25">
      <c r="A10" s="2" t="s">
        <v>13519</v>
      </c>
    </row>
    <row r="11" spans="1:12" x14ac:dyDescent="0.25">
      <c r="A11" s="2" t="s">
        <v>13520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12" x14ac:dyDescent="0.25">
      <c r="A12" s="2" t="s">
        <v>13521</v>
      </c>
      <c r="C12" s="3" t="str">
        <f>HYPERLINK("http://amigo.geneontology.org/amigo/term/GO:0005506","GO:0005506")</f>
        <v>GO:0005506</v>
      </c>
      <c r="D12" s="1" t="s">
        <v>1214</v>
      </c>
      <c r="E12">
        <v>136</v>
      </c>
      <c r="F12">
        <v>3</v>
      </c>
      <c r="G12">
        <v>1.33417187763138E-3</v>
      </c>
      <c r="H12">
        <v>1</v>
      </c>
      <c r="I12" t="s">
        <v>13522</v>
      </c>
    </row>
    <row r="13" spans="1:12" x14ac:dyDescent="0.25">
      <c r="A13" s="2" t="s">
        <v>13523</v>
      </c>
      <c r="C13" s="3" t="str">
        <f>HYPERLINK("http://amigo.geneontology.org/amigo/term/GO:0004553","GO:0004553")</f>
        <v>GO:0004553</v>
      </c>
      <c r="D13" s="16" t="s">
        <v>174</v>
      </c>
      <c r="E13">
        <v>185</v>
      </c>
      <c r="F13">
        <v>3</v>
      </c>
      <c r="G13">
        <v>3.2261569594724099E-3</v>
      </c>
      <c r="H13">
        <v>1</v>
      </c>
      <c r="I13" t="s">
        <v>13524</v>
      </c>
    </row>
    <row r="14" spans="1:12" x14ac:dyDescent="0.25">
      <c r="A14" s="2" t="s">
        <v>13525</v>
      </c>
      <c r="C14" s="3" t="str">
        <f>HYPERLINK("http://amigo.geneontology.org/amigo/term/GO:0016798","GO:0016798")</f>
        <v>GO:0016798</v>
      </c>
      <c r="D14" t="s">
        <v>177</v>
      </c>
      <c r="E14">
        <v>193</v>
      </c>
      <c r="F14">
        <v>3</v>
      </c>
      <c r="G14">
        <v>3.6380427248470602E-3</v>
      </c>
      <c r="H14">
        <v>1</v>
      </c>
      <c r="I14" t="s">
        <v>13524</v>
      </c>
    </row>
    <row r="15" spans="1:12" x14ac:dyDescent="0.25">
      <c r="A15" s="2" t="s">
        <v>13526</v>
      </c>
      <c r="C15" s="3" t="str">
        <f>HYPERLINK("http://amigo.geneontology.org/amigo/term/GO:0019566","GO:0019566")</f>
        <v>GO:0019566</v>
      </c>
      <c r="D15" t="s">
        <v>1278</v>
      </c>
      <c r="E15">
        <v>5</v>
      </c>
      <c r="F15">
        <v>1</v>
      </c>
      <c r="G15">
        <v>8.4954716895873604E-3</v>
      </c>
      <c r="H15">
        <v>1</v>
      </c>
      <c r="I15" t="s">
        <v>13527</v>
      </c>
    </row>
    <row r="16" spans="1:12" x14ac:dyDescent="0.25">
      <c r="A16" s="2" t="s">
        <v>13528</v>
      </c>
      <c r="C16" s="3" t="str">
        <f>HYPERLINK("http://amigo.geneontology.org/amigo/term/GO:0046373","GO:0046373")</f>
        <v>GO:0046373</v>
      </c>
      <c r="D16" t="s">
        <v>1281</v>
      </c>
      <c r="E16">
        <v>5</v>
      </c>
      <c r="F16">
        <v>1</v>
      </c>
      <c r="G16">
        <v>8.4954716895873604E-3</v>
      </c>
      <c r="H16">
        <v>1</v>
      </c>
      <c r="I16" t="s">
        <v>13527</v>
      </c>
    </row>
    <row r="17" spans="1:9" x14ac:dyDescent="0.25">
      <c r="A17" s="2" t="s">
        <v>13529</v>
      </c>
      <c r="C17" s="3" t="str">
        <f>HYPERLINK("http://amigo.geneontology.org/amigo/term/GO:0046556","GO:0046556")</f>
        <v>GO:0046556</v>
      </c>
      <c r="D17" t="s">
        <v>1283</v>
      </c>
      <c r="E17">
        <v>5</v>
      </c>
      <c r="F17">
        <v>1</v>
      </c>
      <c r="G17">
        <v>8.4954716895873604E-3</v>
      </c>
      <c r="H17">
        <v>1</v>
      </c>
      <c r="I17" t="s">
        <v>13527</v>
      </c>
    </row>
    <row r="18" spans="1:9" x14ac:dyDescent="0.25">
      <c r="A18" s="2" t="s">
        <v>13527</v>
      </c>
      <c r="C18" s="3" t="str">
        <f>HYPERLINK("http://amigo.geneontology.org/amigo/term/GO:0006817","GO:0006817")</f>
        <v>GO:0006817</v>
      </c>
      <c r="D18" t="s">
        <v>13530</v>
      </c>
      <c r="E18">
        <v>6</v>
      </c>
      <c r="F18">
        <v>1</v>
      </c>
      <c r="G18">
        <v>1.01866718464658E-2</v>
      </c>
      <c r="H18">
        <v>1</v>
      </c>
      <c r="I18" t="s">
        <v>13515</v>
      </c>
    </row>
    <row r="19" spans="1:9" x14ac:dyDescent="0.25">
      <c r="A19" s="2" t="s">
        <v>13531</v>
      </c>
      <c r="C19" s="3" t="str">
        <f>HYPERLINK("http://amigo.geneontology.org/amigo/term/GO:0005315","GO:0005315")</f>
        <v>GO:0005315</v>
      </c>
      <c r="D19" t="s">
        <v>13532</v>
      </c>
      <c r="E19">
        <v>6</v>
      </c>
      <c r="F19">
        <v>1</v>
      </c>
      <c r="G19">
        <v>1.01866718464658E-2</v>
      </c>
      <c r="H19">
        <v>1</v>
      </c>
      <c r="I19" t="s">
        <v>13515</v>
      </c>
    </row>
    <row r="20" spans="1:9" x14ac:dyDescent="0.25">
      <c r="C20" s="3" t="str">
        <f>HYPERLINK("http://amigo.geneontology.org/amigo/term/GO:0005975","GO:0005975")</f>
        <v>GO:0005975</v>
      </c>
      <c r="D20" t="s">
        <v>171</v>
      </c>
      <c r="E20">
        <v>288</v>
      </c>
      <c r="F20">
        <v>3</v>
      </c>
      <c r="G20">
        <v>1.11092430293099E-2</v>
      </c>
      <c r="H20">
        <v>1</v>
      </c>
      <c r="I20" t="s">
        <v>13524</v>
      </c>
    </row>
    <row r="21" spans="1:9" x14ac:dyDescent="0.25">
      <c r="C21" s="3" t="str">
        <f>HYPERLINK("http://amigo.geneontology.org/amigo/term/GO:0048037","GO:0048037")</f>
        <v>GO:0048037</v>
      </c>
      <c r="D21" t="s">
        <v>4125</v>
      </c>
      <c r="E21">
        <v>565</v>
      </c>
      <c r="F21">
        <v>4</v>
      </c>
      <c r="G21">
        <v>1.1641760446838199E-2</v>
      </c>
      <c r="H21">
        <v>1</v>
      </c>
      <c r="I21" t="s">
        <v>13533</v>
      </c>
    </row>
    <row r="22" spans="1:9" x14ac:dyDescent="0.25">
      <c r="C22" s="3" t="str">
        <f>HYPERLINK("http://amigo.geneontology.org/amigo/term/GO:0030243","GO:0030243")</f>
        <v>GO:0030243</v>
      </c>
      <c r="D22" t="s">
        <v>1041</v>
      </c>
      <c r="E22">
        <v>9</v>
      </c>
      <c r="F22">
        <v>1</v>
      </c>
      <c r="G22">
        <v>1.52445499840693E-2</v>
      </c>
      <c r="H22">
        <v>1</v>
      </c>
      <c r="I22" t="s">
        <v>13514</v>
      </c>
    </row>
    <row r="23" spans="1:9" x14ac:dyDescent="0.25">
      <c r="C23" s="3" t="str">
        <f>HYPERLINK("http://amigo.geneontology.org/amigo/term/GO:0051275","GO:0051275")</f>
        <v>GO:0051275</v>
      </c>
      <c r="D23" t="s">
        <v>4323</v>
      </c>
      <c r="E23">
        <v>9</v>
      </c>
      <c r="F23">
        <v>1</v>
      </c>
      <c r="G23">
        <v>1.52445499840693E-2</v>
      </c>
      <c r="H23">
        <v>1</v>
      </c>
      <c r="I23" t="s">
        <v>13514</v>
      </c>
    </row>
    <row r="24" spans="1:9" x14ac:dyDescent="0.25">
      <c r="C24" s="3" t="str">
        <f>HYPERLINK("http://amigo.geneontology.org/amigo/term/GO:0030245","GO:0030245")</f>
        <v>GO:0030245</v>
      </c>
      <c r="D24" t="s">
        <v>4325</v>
      </c>
      <c r="E24">
        <v>9</v>
      </c>
      <c r="F24">
        <v>1</v>
      </c>
      <c r="G24">
        <v>1.52445499840693E-2</v>
      </c>
      <c r="H24">
        <v>1</v>
      </c>
      <c r="I24" t="s">
        <v>13514</v>
      </c>
    </row>
    <row r="25" spans="1:9" x14ac:dyDescent="0.25">
      <c r="C25" s="3" t="str">
        <f>HYPERLINK("http://amigo.geneontology.org/amigo/term/GO:0019321","GO:0019321")</f>
        <v>GO:0019321</v>
      </c>
      <c r="D25" t="s">
        <v>5748</v>
      </c>
      <c r="E25">
        <v>9</v>
      </c>
      <c r="F25">
        <v>1</v>
      </c>
      <c r="G25">
        <v>1.52445499840693E-2</v>
      </c>
      <c r="H25">
        <v>1</v>
      </c>
      <c r="I25" t="s">
        <v>13527</v>
      </c>
    </row>
    <row r="26" spans="1:9" x14ac:dyDescent="0.25">
      <c r="C26" s="3" t="str">
        <f>HYPERLINK("http://amigo.geneontology.org/amigo/term/GO:0051273","GO:0051273")</f>
        <v>GO:0051273</v>
      </c>
      <c r="D26" t="s">
        <v>867</v>
      </c>
      <c r="E26">
        <v>10</v>
      </c>
      <c r="F26">
        <v>1</v>
      </c>
      <c r="G26">
        <v>1.6925280775401699E-2</v>
      </c>
      <c r="H26">
        <v>1</v>
      </c>
      <c r="I26" t="s">
        <v>13514</v>
      </c>
    </row>
    <row r="27" spans="1:9" x14ac:dyDescent="0.25">
      <c r="C27" s="3" t="str">
        <f>HYPERLINK("http://amigo.geneontology.org/amigo/term/GO:0009251","GO:0009251")</f>
        <v>GO:0009251</v>
      </c>
      <c r="D27" t="s">
        <v>559</v>
      </c>
      <c r="E27">
        <v>10</v>
      </c>
      <c r="F27">
        <v>1</v>
      </c>
      <c r="G27">
        <v>1.6925280775401699E-2</v>
      </c>
      <c r="H27">
        <v>1</v>
      </c>
      <c r="I27" t="s">
        <v>13514</v>
      </c>
    </row>
    <row r="28" spans="1:9" x14ac:dyDescent="0.25">
      <c r="C28" s="3" t="str">
        <f>HYPERLINK("http://amigo.geneontology.org/amigo/term/GO:0044247","GO:0044247")</f>
        <v>GO:0044247</v>
      </c>
      <c r="D28" t="s">
        <v>562</v>
      </c>
      <c r="E28">
        <v>10</v>
      </c>
      <c r="F28">
        <v>1</v>
      </c>
      <c r="G28">
        <v>1.6925280775401699E-2</v>
      </c>
      <c r="H28">
        <v>1</v>
      </c>
      <c r="I28" t="s">
        <v>13514</v>
      </c>
    </row>
    <row r="29" spans="1:9" x14ac:dyDescent="0.25">
      <c r="C29" s="3" t="str">
        <f>HYPERLINK("http://amigo.geneontology.org/amigo/term/GO:0046906","GO:0046906")</f>
        <v>GO:0046906</v>
      </c>
      <c r="D29" t="s">
        <v>1085</v>
      </c>
      <c r="E29">
        <v>137</v>
      </c>
      <c r="F29">
        <v>2</v>
      </c>
      <c r="G29">
        <v>2.1701705068534499E-2</v>
      </c>
      <c r="H29">
        <v>1</v>
      </c>
      <c r="I29" t="s">
        <v>13534</v>
      </c>
    </row>
    <row r="30" spans="1:9" x14ac:dyDescent="0.25">
      <c r="C30" s="3" t="str">
        <f>HYPERLINK("http://amigo.geneontology.org/amigo/term/GO:0020037","GO:0020037")</f>
        <v>GO:0020037</v>
      </c>
      <c r="D30" s="16" t="s">
        <v>1181</v>
      </c>
      <c r="E30">
        <v>137</v>
      </c>
      <c r="F30">
        <v>2</v>
      </c>
      <c r="G30">
        <v>2.1701705068534499E-2</v>
      </c>
      <c r="H30">
        <v>1</v>
      </c>
      <c r="I30" t="s">
        <v>13534</v>
      </c>
    </row>
    <row r="31" spans="1:9" x14ac:dyDescent="0.25">
      <c r="C31" s="3" t="str">
        <f>HYPERLINK("http://amigo.geneontology.org/amigo/term/GO:0044275","GO:0044275")</f>
        <v>GO:0044275</v>
      </c>
      <c r="D31" t="s">
        <v>606</v>
      </c>
      <c r="E31">
        <v>13</v>
      </c>
      <c r="F31">
        <v>1</v>
      </c>
      <c r="G31">
        <v>2.1951838455574E-2</v>
      </c>
      <c r="H31">
        <v>1</v>
      </c>
      <c r="I31" t="s">
        <v>13514</v>
      </c>
    </row>
    <row r="32" spans="1:9" x14ac:dyDescent="0.25">
      <c r="C32" s="3" t="str">
        <f>HYPERLINK("http://amigo.geneontology.org/amigo/term/GO:0016705","GO:0016705")</f>
        <v>GO:0016705</v>
      </c>
      <c r="D32" t="s">
        <v>4121</v>
      </c>
      <c r="E32">
        <v>142</v>
      </c>
      <c r="F32">
        <v>2</v>
      </c>
      <c r="G32">
        <v>2.3212542361442601E-2</v>
      </c>
      <c r="H32">
        <v>1</v>
      </c>
      <c r="I32" t="s">
        <v>13534</v>
      </c>
    </row>
    <row r="33" spans="3:9" x14ac:dyDescent="0.25">
      <c r="C33" s="3" t="str">
        <f>HYPERLINK("http://amigo.geneontology.org/amigo/term/GO:0044042","GO:0044042")</f>
        <v>GO:0044042</v>
      </c>
      <c r="D33" t="s">
        <v>365</v>
      </c>
      <c r="E33">
        <v>14</v>
      </c>
      <c r="F33">
        <v>1</v>
      </c>
      <c r="G33">
        <v>2.3622158247055498E-2</v>
      </c>
      <c r="H33">
        <v>1</v>
      </c>
      <c r="I33" t="s">
        <v>13514</v>
      </c>
    </row>
    <row r="34" spans="3:9" x14ac:dyDescent="0.25">
      <c r="C34" s="3" t="str">
        <f>HYPERLINK("http://amigo.geneontology.org/amigo/term/GO:0044264","GO:0044264")</f>
        <v>GO:0044264</v>
      </c>
      <c r="D34" t="s">
        <v>469</v>
      </c>
      <c r="E34">
        <v>14</v>
      </c>
      <c r="F34">
        <v>1</v>
      </c>
      <c r="G34">
        <v>2.3622158247055498E-2</v>
      </c>
      <c r="H34">
        <v>1</v>
      </c>
      <c r="I34" t="s">
        <v>13514</v>
      </c>
    </row>
    <row r="35" spans="3:9" x14ac:dyDescent="0.25">
      <c r="C35" s="3" t="str">
        <f>HYPERLINK("http://amigo.geneontology.org/amigo/term/GO:0006073","GO:0006073")</f>
        <v>GO:0006073</v>
      </c>
      <c r="D35" t="s">
        <v>368</v>
      </c>
      <c r="E35">
        <v>14</v>
      </c>
      <c r="F35">
        <v>1</v>
      </c>
      <c r="G35">
        <v>2.3622158247055498E-2</v>
      </c>
      <c r="H35">
        <v>1</v>
      </c>
      <c r="I35" t="s">
        <v>13514</v>
      </c>
    </row>
    <row r="36" spans="3:9" x14ac:dyDescent="0.25">
      <c r="C36" s="3" t="str">
        <f>HYPERLINK("http://amigo.geneontology.org/amigo/term/GO:0015698","GO:0015698")</f>
        <v>GO:0015698</v>
      </c>
      <c r="D36" t="s">
        <v>5484</v>
      </c>
      <c r="E36">
        <v>14</v>
      </c>
      <c r="F36">
        <v>1</v>
      </c>
      <c r="G36">
        <v>2.3622158247055498E-2</v>
      </c>
      <c r="H36">
        <v>1</v>
      </c>
      <c r="I36" t="s">
        <v>13515</v>
      </c>
    </row>
    <row r="37" spans="3:9" x14ac:dyDescent="0.25">
      <c r="C37" s="3" t="str">
        <f>HYPERLINK("http://amigo.geneontology.org/amigo/term/GO:0008171","GO:0008171")</f>
        <v>GO:0008171</v>
      </c>
      <c r="D37" t="s">
        <v>95</v>
      </c>
      <c r="E37">
        <v>15</v>
      </c>
      <c r="F37">
        <v>1</v>
      </c>
      <c r="G37">
        <v>2.52898843743159E-2</v>
      </c>
      <c r="H37">
        <v>1</v>
      </c>
      <c r="I37" t="s">
        <v>13519</v>
      </c>
    </row>
    <row r="38" spans="3:9" x14ac:dyDescent="0.25">
      <c r="C38" s="3" t="str">
        <f>HYPERLINK("http://amigo.geneontology.org/amigo/term/GO:0006633","GO:0006633")</f>
        <v>GO:0006633</v>
      </c>
      <c r="D38" t="s">
        <v>287</v>
      </c>
      <c r="E38">
        <v>21</v>
      </c>
      <c r="F38">
        <v>1</v>
      </c>
      <c r="G38">
        <v>3.5241976886894601E-2</v>
      </c>
      <c r="H38">
        <v>1</v>
      </c>
      <c r="I38" t="s">
        <v>13528</v>
      </c>
    </row>
    <row r="39" spans="3:9" x14ac:dyDescent="0.25">
      <c r="C39" s="3" t="str">
        <f>HYPERLINK("http://amigo.geneontology.org/amigo/term/GO:0005996","GO:0005996")</f>
        <v>GO:0005996</v>
      </c>
      <c r="D39" t="s">
        <v>13535</v>
      </c>
      <c r="E39">
        <v>23</v>
      </c>
      <c r="F39">
        <v>1</v>
      </c>
      <c r="G39">
        <v>3.85387555633687E-2</v>
      </c>
      <c r="H39">
        <v>1</v>
      </c>
      <c r="I39" t="s">
        <v>13527</v>
      </c>
    </row>
    <row r="40" spans="3:9" x14ac:dyDescent="0.25">
      <c r="C40" s="3" t="str">
        <f>HYPERLINK("http://amigo.geneontology.org/amigo/term/GO:0072341","GO:0072341")</f>
        <v>GO:0072341</v>
      </c>
      <c r="D40" t="s">
        <v>13490</v>
      </c>
      <c r="E40">
        <v>25</v>
      </c>
      <c r="F40">
        <v>1</v>
      </c>
      <c r="G40">
        <v>4.1825289440236897E-2</v>
      </c>
      <c r="H40">
        <v>1</v>
      </c>
      <c r="I40" t="s">
        <v>13523</v>
      </c>
    </row>
    <row r="41" spans="3:9" x14ac:dyDescent="0.25">
      <c r="C41" s="3" t="str">
        <f>HYPERLINK("http://amigo.geneontology.org/amigo/term/GO:0031177","GO:0031177")</f>
        <v>GO:0031177</v>
      </c>
      <c r="D41" t="s">
        <v>9843</v>
      </c>
      <c r="E41">
        <v>25</v>
      </c>
      <c r="F41">
        <v>1</v>
      </c>
      <c r="G41">
        <v>4.1825289440236897E-2</v>
      </c>
      <c r="H41">
        <v>1</v>
      </c>
      <c r="I41" t="s">
        <v>13523</v>
      </c>
    </row>
    <row r="42" spans="3:9" x14ac:dyDescent="0.25">
      <c r="C42" s="3" t="str">
        <f>HYPERLINK("http://amigo.geneontology.org/amigo/term/GO:0006631","GO:0006631")</f>
        <v>GO:0006631</v>
      </c>
      <c r="D42" t="s">
        <v>335</v>
      </c>
      <c r="E42">
        <v>31</v>
      </c>
      <c r="F42">
        <v>1</v>
      </c>
      <c r="G42">
        <v>5.1623708528987497E-2</v>
      </c>
      <c r="H42">
        <v>1</v>
      </c>
      <c r="I42" t="s">
        <v>13528</v>
      </c>
    </row>
    <row r="43" spans="3:9" x14ac:dyDescent="0.25">
      <c r="C43" s="3" t="str">
        <f>HYPERLINK("http://amigo.geneontology.org/amigo/term/GO:0044262","GO:0044262")</f>
        <v>GO:0044262</v>
      </c>
      <c r="D43" t="s">
        <v>237</v>
      </c>
      <c r="E43">
        <v>32</v>
      </c>
      <c r="F43">
        <v>1</v>
      </c>
      <c r="G43">
        <v>5.3247893365795197E-2</v>
      </c>
      <c r="H43">
        <v>1</v>
      </c>
      <c r="I43" t="s">
        <v>13514</v>
      </c>
    </row>
    <row r="44" spans="3:9" x14ac:dyDescent="0.25">
      <c r="C44" s="3" t="str">
        <f>HYPERLINK("http://amigo.geneontology.org/amigo/term/GO:0015291","GO:0015291")</f>
        <v>GO:0015291</v>
      </c>
      <c r="D44" t="s">
        <v>439</v>
      </c>
      <c r="E44">
        <v>32</v>
      </c>
      <c r="F44">
        <v>1</v>
      </c>
      <c r="G44">
        <v>5.3247893365795197E-2</v>
      </c>
      <c r="H44">
        <v>1</v>
      </c>
      <c r="I44" t="s">
        <v>13515</v>
      </c>
    </row>
    <row r="45" spans="3:9" x14ac:dyDescent="0.25">
      <c r="C45" s="3" t="str">
        <f>HYPERLINK("http://amigo.geneontology.org/amigo/term/GO:0033218","GO:0033218")</f>
        <v>GO:0033218</v>
      </c>
      <c r="D45" t="s">
        <v>13491</v>
      </c>
      <c r="E45">
        <v>32</v>
      </c>
      <c r="F45">
        <v>1</v>
      </c>
      <c r="G45">
        <v>5.3247893365795197E-2</v>
      </c>
      <c r="H45">
        <v>1</v>
      </c>
      <c r="I45" t="s">
        <v>13523</v>
      </c>
    </row>
    <row r="46" spans="3:9" x14ac:dyDescent="0.25">
      <c r="C46" s="3" t="str">
        <f>HYPERLINK("http://amigo.geneontology.org/amigo/term/GO:0016491","GO:0016491")</f>
        <v>GO:0016491</v>
      </c>
      <c r="D46" t="s">
        <v>315</v>
      </c>
      <c r="E46">
        <v>904</v>
      </c>
      <c r="F46">
        <v>4</v>
      </c>
      <c r="G46">
        <v>5.59328957191189E-2</v>
      </c>
      <c r="H46">
        <v>1</v>
      </c>
      <c r="I46" t="s">
        <v>13536</v>
      </c>
    </row>
    <row r="47" spans="3:9" x14ac:dyDescent="0.25">
      <c r="C47" s="3" t="str">
        <f>HYPERLINK("http://amigo.geneontology.org/amigo/term/GO:0000272","GO:0000272")</f>
        <v>GO:0000272</v>
      </c>
      <c r="D47" t="s">
        <v>290</v>
      </c>
      <c r="E47">
        <v>35</v>
      </c>
      <c r="F47">
        <v>1</v>
      </c>
      <c r="G47">
        <v>5.8105287480734701E-2</v>
      </c>
      <c r="H47">
        <v>1</v>
      </c>
      <c r="I47" t="s">
        <v>13514</v>
      </c>
    </row>
    <row r="48" spans="3:9" x14ac:dyDescent="0.25">
      <c r="C48" s="3" t="str">
        <f>HYPERLINK("http://amigo.geneontology.org/amigo/term/GO:0072330","GO:0072330")</f>
        <v>GO:0072330</v>
      </c>
      <c r="D48" t="s">
        <v>302</v>
      </c>
      <c r="E48">
        <v>42</v>
      </c>
      <c r="F48">
        <v>1</v>
      </c>
      <c r="G48">
        <v>6.9351224959546903E-2</v>
      </c>
      <c r="H48">
        <v>1</v>
      </c>
      <c r="I48" t="s">
        <v>13528</v>
      </c>
    </row>
    <row r="49" spans="3:9" x14ac:dyDescent="0.25">
      <c r="C49" s="3" t="str">
        <f>HYPERLINK("http://amigo.geneontology.org/amigo/term/GO:0005976","GO:0005976")</f>
        <v>GO:0005976</v>
      </c>
      <c r="D49" t="s">
        <v>312</v>
      </c>
      <c r="E49">
        <v>46</v>
      </c>
      <c r="F49">
        <v>1</v>
      </c>
      <c r="G49">
        <v>7.5722533018395502E-2</v>
      </c>
      <c r="H49">
        <v>1</v>
      </c>
      <c r="I49" t="s">
        <v>13514</v>
      </c>
    </row>
    <row r="50" spans="3:9" x14ac:dyDescent="0.25">
      <c r="C50" s="3" t="str">
        <f>HYPERLINK("http://amigo.geneontology.org/amigo/term/GO:0016052","GO:0016052")</f>
        <v>GO:0016052</v>
      </c>
      <c r="D50" t="s">
        <v>445</v>
      </c>
      <c r="E50">
        <v>55</v>
      </c>
      <c r="F50">
        <v>1</v>
      </c>
      <c r="G50">
        <v>8.9913242537114704E-2</v>
      </c>
      <c r="H50">
        <v>1</v>
      </c>
      <c r="I50" t="s">
        <v>13514</v>
      </c>
    </row>
    <row r="51" spans="3:9" x14ac:dyDescent="0.25">
      <c r="C51" s="3" t="str">
        <f>HYPERLINK("http://amigo.geneontology.org/amigo/term/GO:0006820","GO:0006820")</f>
        <v>GO:0006820</v>
      </c>
      <c r="D51" t="s">
        <v>5482</v>
      </c>
      <c r="E51">
        <v>58</v>
      </c>
      <c r="F51">
        <v>1</v>
      </c>
      <c r="G51">
        <v>9.45992784790749E-2</v>
      </c>
      <c r="H51">
        <v>1</v>
      </c>
      <c r="I51" t="s">
        <v>13515</v>
      </c>
    </row>
    <row r="52" spans="3:9" x14ac:dyDescent="0.25">
      <c r="C52" s="3" t="str">
        <f>HYPERLINK("http://amigo.geneontology.org/amigo/term/GO:0008610","GO:0008610")</f>
        <v>GO:0008610</v>
      </c>
      <c r="D52" t="s">
        <v>564</v>
      </c>
      <c r="E52">
        <v>72</v>
      </c>
      <c r="F52">
        <v>1</v>
      </c>
      <c r="G52">
        <v>0.116178773865395</v>
      </c>
      <c r="H52">
        <v>1</v>
      </c>
      <c r="I52" t="s">
        <v>13528</v>
      </c>
    </row>
    <row r="53" spans="3:9" x14ac:dyDescent="0.25">
      <c r="C53" s="3" t="str">
        <f>HYPERLINK("http://amigo.geneontology.org/amigo/term/GO:0032787","GO:0032787")</f>
        <v>GO:0032787</v>
      </c>
      <c r="D53" t="s">
        <v>532</v>
      </c>
      <c r="E53">
        <v>75</v>
      </c>
      <c r="F53">
        <v>1</v>
      </c>
      <c r="G53">
        <v>0.12074167173918</v>
      </c>
      <c r="H53">
        <v>1</v>
      </c>
      <c r="I53" t="s">
        <v>13528</v>
      </c>
    </row>
    <row r="54" spans="3:9" x14ac:dyDescent="0.25">
      <c r="C54" s="3" t="str">
        <f>HYPERLINK("http://amigo.geneontology.org/amigo/term/GO:0046914","GO:0046914")</f>
        <v>GO:0046914</v>
      </c>
      <c r="D54" t="s">
        <v>5615</v>
      </c>
      <c r="E54">
        <v>743</v>
      </c>
      <c r="F54">
        <v>3</v>
      </c>
      <c r="G54">
        <v>0.124216519603751</v>
      </c>
      <c r="H54">
        <v>1</v>
      </c>
      <c r="I54" t="s">
        <v>13522</v>
      </c>
    </row>
    <row r="55" spans="3:9" x14ac:dyDescent="0.25">
      <c r="C55" s="3" t="str">
        <f>HYPERLINK("http://amigo.geneontology.org/amigo/term/GO:0004497","GO:0004497")</f>
        <v>GO:0004497</v>
      </c>
      <c r="D55" t="s">
        <v>783</v>
      </c>
      <c r="E55">
        <v>80</v>
      </c>
      <c r="F55">
        <v>1</v>
      </c>
      <c r="G55">
        <v>0.12829893434138301</v>
      </c>
      <c r="H55">
        <v>1</v>
      </c>
      <c r="I55" t="s">
        <v>13517</v>
      </c>
    </row>
    <row r="56" spans="3:9" x14ac:dyDescent="0.25">
      <c r="C56" s="3" t="str">
        <f>HYPERLINK("http://amigo.geneontology.org/amigo/term/GO:0008168","GO:0008168")</f>
        <v>GO:0008168</v>
      </c>
      <c r="D56" t="s">
        <v>4398</v>
      </c>
      <c r="E56">
        <v>80</v>
      </c>
      <c r="F56">
        <v>1</v>
      </c>
      <c r="G56">
        <v>0.12829893434138301</v>
      </c>
      <c r="H56">
        <v>1</v>
      </c>
      <c r="I56" t="s">
        <v>13519</v>
      </c>
    </row>
    <row r="57" spans="3:9" x14ac:dyDescent="0.25">
      <c r="C57" s="3" t="str">
        <f>HYPERLINK("http://amigo.geneontology.org/amigo/term/GO:0016741","GO:0016741")</f>
        <v>GO:0016741</v>
      </c>
      <c r="D57" t="s">
        <v>4447</v>
      </c>
      <c r="E57">
        <v>90</v>
      </c>
      <c r="F57">
        <v>1</v>
      </c>
      <c r="G57">
        <v>0.14323658716726401</v>
      </c>
      <c r="H57">
        <v>1</v>
      </c>
      <c r="I57" t="s">
        <v>13519</v>
      </c>
    </row>
    <row r="58" spans="3:9" x14ac:dyDescent="0.25">
      <c r="C58" s="3" t="str">
        <f>HYPERLINK("http://amigo.geneontology.org/amigo/term/GO:0022804","GO:0022804")</f>
        <v>GO:0022804</v>
      </c>
      <c r="D58" t="s">
        <v>676</v>
      </c>
      <c r="E58">
        <v>101</v>
      </c>
      <c r="F58">
        <v>1</v>
      </c>
      <c r="G58">
        <v>0.15939893833043001</v>
      </c>
      <c r="H58">
        <v>1</v>
      </c>
      <c r="I58" t="s">
        <v>13515</v>
      </c>
    </row>
    <row r="59" spans="3:9" x14ac:dyDescent="0.25">
      <c r="C59" s="3" t="str">
        <f>HYPERLINK("http://amigo.geneontology.org/amigo/term/GO:0019842","GO:0019842")</f>
        <v>GO:0019842</v>
      </c>
      <c r="D59" t="s">
        <v>4329</v>
      </c>
      <c r="E59">
        <v>102</v>
      </c>
      <c r="F59">
        <v>1</v>
      </c>
      <c r="G59">
        <v>0.160854410025282</v>
      </c>
      <c r="H59">
        <v>1</v>
      </c>
      <c r="I59" t="s">
        <v>13523</v>
      </c>
    </row>
    <row r="60" spans="3:9" x14ac:dyDescent="0.25">
      <c r="C60" s="3" t="str">
        <f>HYPERLINK("http://amigo.geneontology.org/amigo/term/GO:0044255","GO:0044255")</f>
        <v>GO:0044255</v>
      </c>
      <c r="D60" t="s">
        <v>258</v>
      </c>
      <c r="E60">
        <v>110</v>
      </c>
      <c r="F60">
        <v>1</v>
      </c>
      <c r="G60">
        <v>0.17241596687442101</v>
      </c>
      <c r="H60">
        <v>1</v>
      </c>
      <c r="I60" t="s">
        <v>13528</v>
      </c>
    </row>
    <row r="61" spans="3:9" x14ac:dyDescent="0.25">
      <c r="C61" s="3" t="str">
        <f>HYPERLINK("http://amigo.geneontology.org/amigo/term/GO:0009057","GO:0009057")</f>
        <v>GO:0009057</v>
      </c>
      <c r="D61" t="s">
        <v>9098</v>
      </c>
      <c r="E61">
        <v>116</v>
      </c>
      <c r="F61">
        <v>1</v>
      </c>
      <c r="G61">
        <v>0.18099189283761499</v>
      </c>
      <c r="H61">
        <v>1</v>
      </c>
      <c r="I61" t="s">
        <v>13514</v>
      </c>
    </row>
    <row r="62" spans="3:9" x14ac:dyDescent="0.25">
      <c r="C62" s="3" t="str">
        <f>HYPERLINK("http://amigo.geneontology.org/amigo/term/GO:0016053","GO:0016053")</f>
        <v>GO:0016053</v>
      </c>
      <c r="D62" t="s">
        <v>685</v>
      </c>
      <c r="E62">
        <v>118</v>
      </c>
      <c r="F62">
        <v>1</v>
      </c>
      <c r="G62">
        <v>0.18383253053103299</v>
      </c>
      <c r="H62">
        <v>1</v>
      </c>
      <c r="I62" t="s">
        <v>13528</v>
      </c>
    </row>
    <row r="63" spans="3:9" x14ac:dyDescent="0.25">
      <c r="C63" s="3" t="str">
        <f>HYPERLINK("http://amigo.geneontology.org/amigo/term/GO:0046394","GO:0046394")</f>
        <v>GO:0046394</v>
      </c>
      <c r="D63" t="s">
        <v>682</v>
      </c>
      <c r="E63">
        <v>118</v>
      </c>
      <c r="F63">
        <v>1</v>
      </c>
      <c r="G63">
        <v>0.18383253053103299</v>
      </c>
      <c r="H63">
        <v>1</v>
      </c>
      <c r="I63" t="s">
        <v>13528</v>
      </c>
    </row>
    <row r="64" spans="3:9" x14ac:dyDescent="0.25">
      <c r="C64" s="3" t="str">
        <f>HYPERLINK("http://amigo.geneontology.org/amigo/term/GO:0044281","GO:0044281")</f>
        <v>GO:0044281</v>
      </c>
      <c r="D64" t="s">
        <v>4410</v>
      </c>
      <c r="E64">
        <v>464</v>
      </c>
      <c r="F64">
        <v>2</v>
      </c>
      <c r="G64">
        <v>0.184761283674232</v>
      </c>
      <c r="H64">
        <v>1</v>
      </c>
      <c r="I64" t="s">
        <v>13537</v>
      </c>
    </row>
    <row r="65" spans="3:9" x14ac:dyDescent="0.25">
      <c r="C65" s="3" t="str">
        <f>HYPERLINK("http://amigo.geneontology.org/amigo/term/GO:0043167","GO:0043167")</f>
        <v>GO:0043167</v>
      </c>
      <c r="D65" t="s">
        <v>6996</v>
      </c>
      <c r="E65">
        <v>1876</v>
      </c>
      <c r="F65">
        <v>5</v>
      </c>
      <c r="G65">
        <v>0.19005931380313201</v>
      </c>
      <c r="H65">
        <v>1</v>
      </c>
      <c r="I65" t="s">
        <v>13538</v>
      </c>
    </row>
    <row r="66" spans="3:9" x14ac:dyDescent="0.25">
      <c r="C66" s="3" t="str">
        <f>HYPERLINK("http://amigo.geneontology.org/amigo/term/GO:0055114","GO:0055114")</f>
        <v>GO:0055114</v>
      </c>
      <c r="D66" t="s">
        <v>454</v>
      </c>
      <c r="E66">
        <v>487</v>
      </c>
      <c r="F66">
        <v>2</v>
      </c>
      <c r="G66">
        <v>0.19927383684975999</v>
      </c>
      <c r="H66">
        <v>1</v>
      </c>
      <c r="I66" t="s">
        <v>13539</v>
      </c>
    </row>
    <row r="67" spans="3:9" x14ac:dyDescent="0.25">
      <c r="C67" s="3" t="str">
        <f>HYPERLINK("http://amigo.geneontology.org/amigo/term/GO:0006811","GO:0006811")</f>
        <v>GO:0006811</v>
      </c>
      <c r="D67" t="s">
        <v>299</v>
      </c>
      <c r="E67">
        <v>131</v>
      </c>
      <c r="F67">
        <v>1</v>
      </c>
      <c r="G67">
        <v>0.20207941939851901</v>
      </c>
      <c r="H67">
        <v>1</v>
      </c>
      <c r="I67" t="s">
        <v>13515</v>
      </c>
    </row>
    <row r="68" spans="3:9" x14ac:dyDescent="0.25">
      <c r="C68" s="3" t="str">
        <f>HYPERLINK("http://amigo.geneontology.org/amigo/term/GO:0016614","GO:0016614")</f>
        <v>GO:0016614</v>
      </c>
      <c r="D68" t="s">
        <v>5631</v>
      </c>
      <c r="E68">
        <v>135</v>
      </c>
      <c r="F68">
        <v>1</v>
      </c>
      <c r="G68">
        <v>0.20761876524771</v>
      </c>
      <c r="H68">
        <v>1</v>
      </c>
      <c r="I68" t="s">
        <v>13520</v>
      </c>
    </row>
    <row r="69" spans="3:9" x14ac:dyDescent="0.25">
      <c r="C69" s="3" t="str">
        <f>HYPERLINK("http://amigo.geneontology.org/amigo/term/GO:0050660","GO:0050660")</f>
        <v>GO:0050660</v>
      </c>
      <c r="D69" t="s">
        <v>5709</v>
      </c>
      <c r="E69">
        <v>162</v>
      </c>
      <c r="F69">
        <v>1</v>
      </c>
      <c r="G69">
        <v>0.244104277808918</v>
      </c>
      <c r="H69">
        <v>1</v>
      </c>
      <c r="I69" t="s">
        <v>13520</v>
      </c>
    </row>
    <row r="70" spans="3:9" x14ac:dyDescent="0.25">
      <c r="C70" s="3" t="str">
        <f>HYPERLINK("http://amigo.geneontology.org/amigo/term/GO:0044283","GO:0044283")</f>
        <v>GO:0044283</v>
      </c>
      <c r="D70" t="s">
        <v>888</v>
      </c>
      <c r="E70">
        <v>163</v>
      </c>
      <c r="F70">
        <v>1</v>
      </c>
      <c r="G70">
        <v>0.245425773827256</v>
      </c>
      <c r="H70">
        <v>1</v>
      </c>
      <c r="I70" t="s">
        <v>13528</v>
      </c>
    </row>
    <row r="71" spans="3:9" x14ac:dyDescent="0.25">
      <c r="C71" s="3" t="str">
        <f>HYPERLINK("http://amigo.geneontology.org/amigo/term/GO:0046872","GO:0046872")</f>
        <v>GO:0046872</v>
      </c>
      <c r="D71" t="s">
        <v>1484</v>
      </c>
      <c r="E71">
        <v>1034</v>
      </c>
      <c r="F71">
        <v>3</v>
      </c>
      <c r="G71">
        <v>0.252654078793767</v>
      </c>
      <c r="H71">
        <v>1</v>
      </c>
      <c r="I71" t="s">
        <v>13522</v>
      </c>
    </row>
    <row r="72" spans="3:9" x14ac:dyDescent="0.25">
      <c r="C72" s="3" t="str">
        <f>HYPERLINK("http://amigo.geneontology.org/amigo/term/GO:0043169","GO:0043169")</f>
        <v>GO:0043169</v>
      </c>
      <c r="D72" t="s">
        <v>1535</v>
      </c>
      <c r="E72">
        <v>1040</v>
      </c>
      <c r="F72">
        <v>3</v>
      </c>
      <c r="G72">
        <v>0.25558202416174503</v>
      </c>
      <c r="H72">
        <v>1</v>
      </c>
      <c r="I72" t="s">
        <v>13522</v>
      </c>
    </row>
    <row r="73" spans="3:9" x14ac:dyDescent="0.25">
      <c r="C73" s="3" t="str">
        <f>HYPERLINK("http://amigo.geneontology.org/amigo/term/GO:0006629","GO:0006629")</f>
        <v>GO:0006629</v>
      </c>
      <c r="D73" t="s">
        <v>182</v>
      </c>
      <c r="E73">
        <v>172</v>
      </c>
      <c r="F73">
        <v>1</v>
      </c>
      <c r="G73">
        <v>0.25722507025187002</v>
      </c>
      <c r="H73">
        <v>1</v>
      </c>
      <c r="I73" t="s">
        <v>13528</v>
      </c>
    </row>
    <row r="74" spans="3:9" x14ac:dyDescent="0.25">
      <c r="C74" s="3" t="str">
        <f>HYPERLINK("http://amigo.geneontology.org/amigo/term/GO:0015318","GO:0015318")</f>
        <v>GO:0015318</v>
      </c>
      <c r="D74" t="s">
        <v>231</v>
      </c>
      <c r="E74">
        <v>173</v>
      </c>
      <c r="F74">
        <v>1</v>
      </c>
      <c r="G74">
        <v>0.25852569493005501</v>
      </c>
      <c r="H74">
        <v>1</v>
      </c>
      <c r="I74" t="s">
        <v>13515</v>
      </c>
    </row>
    <row r="75" spans="3:9" x14ac:dyDescent="0.25">
      <c r="C75" s="3" t="str">
        <f>HYPERLINK("http://amigo.geneontology.org/amigo/term/GO:0016787","GO:0016787")</f>
        <v>GO:0016787</v>
      </c>
      <c r="D75" t="s">
        <v>98</v>
      </c>
      <c r="E75">
        <v>1052</v>
      </c>
      <c r="F75">
        <v>3</v>
      </c>
      <c r="G75">
        <v>0.26146125893711802</v>
      </c>
      <c r="H75">
        <v>1</v>
      </c>
      <c r="I75" t="s">
        <v>13524</v>
      </c>
    </row>
    <row r="76" spans="3:9" x14ac:dyDescent="0.25">
      <c r="C76" s="3" t="str">
        <f>HYPERLINK("http://amigo.geneontology.org/amigo/term/GO:0044248","GO:0044248")</f>
        <v>GO:0044248</v>
      </c>
      <c r="D76" t="s">
        <v>5244</v>
      </c>
      <c r="E76">
        <v>180</v>
      </c>
      <c r="F76">
        <v>1</v>
      </c>
      <c r="G76">
        <v>0.267572253197155</v>
      </c>
      <c r="H76">
        <v>1</v>
      </c>
      <c r="I76" t="s">
        <v>13514</v>
      </c>
    </row>
    <row r="77" spans="3:9" x14ac:dyDescent="0.25">
      <c r="C77" s="3" t="str">
        <f>HYPERLINK("http://amigo.geneontology.org/amigo/term/GO:0044238","GO:0044238")</f>
        <v>GO:0044238</v>
      </c>
      <c r="D77" t="s">
        <v>612</v>
      </c>
      <c r="E77">
        <v>1667</v>
      </c>
      <c r="F77">
        <v>4</v>
      </c>
      <c r="G77">
        <v>0.30966449828008302</v>
      </c>
      <c r="H77">
        <v>1</v>
      </c>
      <c r="I77" t="s">
        <v>13540</v>
      </c>
    </row>
    <row r="78" spans="3:9" x14ac:dyDescent="0.25">
      <c r="C78" s="3" t="str">
        <f>HYPERLINK("http://amigo.geneontology.org/amigo/term/GO:1901575","GO:1901575")</f>
        <v>GO:1901575</v>
      </c>
      <c r="D78" t="s">
        <v>5759</v>
      </c>
      <c r="E78">
        <v>218</v>
      </c>
      <c r="F78">
        <v>1</v>
      </c>
      <c r="G78">
        <v>0.314955038244283</v>
      </c>
      <c r="H78">
        <v>1</v>
      </c>
      <c r="I78" t="s">
        <v>13514</v>
      </c>
    </row>
    <row r="79" spans="3:9" x14ac:dyDescent="0.25">
      <c r="C79" s="3" t="str">
        <f>HYPERLINK("http://amigo.geneontology.org/amigo/term/GO:0009056","GO:0009056")</f>
        <v>GO:0009056</v>
      </c>
      <c r="D79" t="s">
        <v>5309</v>
      </c>
      <c r="E79">
        <v>236</v>
      </c>
      <c r="F79">
        <v>1</v>
      </c>
      <c r="G79">
        <v>0.33641173242176198</v>
      </c>
      <c r="H79">
        <v>1</v>
      </c>
      <c r="I79" t="s">
        <v>13514</v>
      </c>
    </row>
    <row r="80" spans="3:9" x14ac:dyDescent="0.25">
      <c r="C80" s="3" t="str">
        <f>HYPERLINK("http://amigo.geneontology.org/amigo/term/GO:0071704","GO:0071704")</f>
        <v>GO:0071704</v>
      </c>
      <c r="D80" t="s">
        <v>472</v>
      </c>
      <c r="E80">
        <v>1803</v>
      </c>
      <c r="F80">
        <v>4</v>
      </c>
      <c r="G80">
        <v>0.37002370290306202</v>
      </c>
      <c r="H80">
        <v>1</v>
      </c>
      <c r="I80" t="s">
        <v>13540</v>
      </c>
    </row>
    <row r="81" spans="3:9" x14ac:dyDescent="0.25">
      <c r="C81" s="3" t="str">
        <f>HYPERLINK("http://amigo.geneontology.org/amigo/term/GO:0019752","GO:0019752")</f>
        <v>GO:0019752</v>
      </c>
      <c r="D81" t="s">
        <v>4275</v>
      </c>
      <c r="E81">
        <v>272</v>
      </c>
      <c r="F81">
        <v>1</v>
      </c>
      <c r="G81">
        <v>0.37750277935952697</v>
      </c>
      <c r="H81">
        <v>1</v>
      </c>
      <c r="I81" t="s">
        <v>13528</v>
      </c>
    </row>
    <row r="82" spans="3:9" x14ac:dyDescent="0.25">
      <c r="C82" s="3" t="str">
        <f>HYPERLINK("http://amigo.geneontology.org/amigo/term/GO:0043436","GO:0043436")</f>
        <v>GO:0043436</v>
      </c>
      <c r="D82" t="s">
        <v>4300</v>
      </c>
      <c r="E82">
        <v>276</v>
      </c>
      <c r="F82">
        <v>1</v>
      </c>
      <c r="G82">
        <v>0.38192262289051399</v>
      </c>
      <c r="H82">
        <v>1</v>
      </c>
      <c r="I82" t="s">
        <v>13528</v>
      </c>
    </row>
    <row r="83" spans="3:9" x14ac:dyDescent="0.25">
      <c r="C83" s="3" t="str">
        <f>HYPERLINK("http://amigo.geneontology.org/amigo/term/GO:0006082","GO:0006082")</f>
        <v>GO:0006082</v>
      </c>
      <c r="D83" t="s">
        <v>4301</v>
      </c>
      <c r="E83">
        <v>280</v>
      </c>
      <c r="F83">
        <v>1</v>
      </c>
      <c r="G83">
        <v>0.38631391916563901</v>
      </c>
      <c r="H83">
        <v>1</v>
      </c>
      <c r="I83" t="s">
        <v>13528</v>
      </c>
    </row>
    <row r="84" spans="3:9" x14ac:dyDescent="0.25">
      <c r="C84" s="3" t="str">
        <f>HYPERLINK("http://amigo.geneontology.org/amigo/term/GO:0022857","GO:0022857")</f>
        <v>GO:0022857</v>
      </c>
      <c r="D84" t="s">
        <v>261</v>
      </c>
      <c r="E84">
        <v>299</v>
      </c>
      <c r="F84">
        <v>1</v>
      </c>
      <c r="G84">
        <v>0.40678780564245198</v>
      </c>
      <c r="H84">
        <v>1</v>
      </c>
      <c r="I84" t="s">
        <v>13515</v>
      </c>
    </row>
    <row r="85" spans="3:9" x14ac:dyDescent="0.25">
      <c r="C85" s="3" t="str">
        <f>HYPERLINK("http://amigo.geneontology.org/amigo/term/GO:0050662","GO:0050662")</f>
        <v>GO:0050662</v>
      </c>
      <c r="D85" t="s">
        <v>4434</v>
      </c>
      <c r="E85">
        <v>363</v>
      </c>
      <c r="F85">
        <v>1</v>
      </c>
      <c r="G85">
        <v>0.47126846781716097</v>
      </c>
      <c r="H85">
        <v>1</v>
      </c>
      <c r="I85" t="s">
        <v>13520</v>
      </c>
    </row>
    <row r="86" spans="3:9" x14ac:dyDescent="0.25">
      <c r="C86" s="3" t="str">
        <f>HYPERLINK("http://amigo.geneontology.org/amigo/term/GO:0043168","GO:0043168")</f>
        <v>GO:0043168</v>
      </c>
      <c r="D86" t="s">
        <v>7011</v>
      </c>
      <c r="E86">
        <v>922</v>
      </c>
      <c r="F86">
        <v>2</v>
      </c>
      <c r="G86">
        <v>0.48027449650543003</v>
      </c>
      <c r="H86">
        <v>1</v>
      </c>
      <c r="I86" t="s">
        <v>13541</v>
      </c>
    </row>
    <row r="87" spans="3:9" x14ac:dyDescent="0.25">
      <c r="C87" s="3" t="str">
        <f>HYPERLINK("http://amigo.geneontology.org/amigo/term/GO:0036094","GO:0036094")</f>
        <v>GO:0036094</v>
      </c>
      <c r="D87" t="s">
        <v>7049</v>
      </c>
      <c r="E87">
        <v>1050</v>
      </c>
      <c r="F87">
        <v>2</v>
      </c>
      <c r="G87">
        <v>0.55523028136464203</v>
      </c>
      <c r="H87">
        <v>1</v>
      </c>
      <c r="I87" t="s">
        <v>13541</v>
      </c>
    </row>
    <row r="88" spans="3:9" x14ac:dyDescent="0.25">
      <c r="C88" s="3" t="str">
        <f>HYPERLINK("http://amigo.geneontology.org/amigo/term/GO:0016021","GO:0016021")</f>
        <v>GO:0016021</v>
      </c>
      <c r="D88" t="s">
        <v>203</v>
      </c>
      <c r="E88">
        <v>1074</v>
      </c>
      <c r="F88">
        <v>2</v>
      </c>
      <c r="G88">
        <v>0.56858351701916798</v>
      </c>
      <c r="H88">
        <v>1</v>
      </c>
      <c r="I88" t="s">
        <v>13542</v>
      </c>
    </row>
    <row r="89" spans="3:9" x14ac:dyDescent="0.25">
      <c r="C89" s="3" t="str">
        <f>HYPERLINK("http://amigo.geneontology.org/amigo/term/GO:0031224","GO:0031224")</f>
        <v>GO:0031224</v>
      </c>
      <c r="D89" t="s">
        <v>191</v>
      </c>
      <c r="E89">
        <v>1077</v>
      </c>
      <c r="F89">
        <v>2</v>
      </c>
      <c r="G89">
        <v>0.57023618361628103</v>
      </c>
      <c r="H89">
        <v>1</v>
      </c>
      <c r="I89" t="s">
        <v>13542</v>
      </c>
    </row>
    <row r="90" spans="3:9" x14ac:dyDescent="0.25">
      <c r="C90" s="3" t="str">
        <f>HYPERLINK("http://amigo.geneontology.org/amigo/term/GO:1901363","GO:1901363")</f>
        <v>GO:1901363</v>
      </c>
      <c r="D90" t="s">
        <v>6873</v>
      </c>
      <c r="E90">
        <v>1692</v>
      </c>
      <c r="F90">
        <v>3</v>
      </c>
      <c r="G90">
        <v>0.58196924828554797</v>
      </c>
      <c r="H90">
        <v>1</v>
      </c>
      <c r="I90" t="s">
        <v>13543</v>
      </c>
    </row>
    <row r="91" spans="3:9" x14ac:dyDescent="0.25">
      <c r="C91" s="3" t="str">
        <f>HYPERLINK("http://amigo.geneontology.org/amigo/term/GO:0097159","GO:0097159")</f>
        <v>GO:0097159</v>
      </c>
      <c r="D91" t="s">
        <v>6874</v>
      </c>
      <c r="E91">
        <v>1693</v>
      </c>
      <c r="F91">
        <v>3</v>
      </c>
      <c r="G91">
        <v>0.58243244297089802</v>
      </c>
      <c r="H91">
        <v>1</v>
      </c>
      <c r="I91" t="s">
        <v>13543</v>
      </c>
    </row>
    <row r="92" spans="3:9" x14ac:dyDescent="0.25">
      <c r="C92" s="3" t="str">
        <f>HYPERLINK("http://amigo.geneontology.org/amigo/term/GO:0044425","GO:0044425")</f>
        <v>GO:0044425</v>
      </c>
      <c r="D92" t="s">
        <v>215</v>
      </c>
      <c r="E92">
        <v>1161</v>
      </c>
      <c r="F92">
        <v>2</v>
      </c>
      <c r="G92">
        <v>0.61498086630013105</v>
      </c>
      <c r="H92">
        <v>1</v>
      </c>
      <c r="I92" t="s">
        <v>13542</v>
      </c>
    </row>
    <row r="93" spans="3:9" x14ac:dyDescent="0.25">
      <c r="C93" s="3" t="str">
        <f>HYPERLINK("http://amigo.geneontology.org/amigo/term/GO:0016740","GO:0016740")</f>
        <v>GO:0016740</v>
      </c>
      <c r="D93" t="s">
        <v>855</v>
      </c>
      <c r="E93">
        <v>691</v>
      </c>
      <c r="F93">
        <v>1</v>
      </c>
      <c r="G93">
        <v>0.71254360582221599</v>
      </c>
      <c r="H93">
        <v>1</v>
      </c>
      <c r="I93" t="s">
        <v>13519</v>
      </c>
    </row>
    <row r="94" spans="3:9" x14ac:dyDescent="0.25">
      <c r="C94" s="3" t="str">
        <f>HYPERLINK("http://amigo.geneontology.org/amigo/term/GO:0006810","GO:0006810")</f>
        <v>GO:0006810</v>
      </c>
      <c r="D94" t="s">
        <v>318</v>
      </c>
      <c r="E94">
        <v>722</v>
      </c>
      <c r="F94">
        <v>1</v>
      </c>
      <c r="G94">
        <v>0.72911639906270298</v>
      </c>
      <c r="H94">
        <v>1</v>
      </c>
      <c r="I94" t="s">
        <v>13515</v>
      </c>
    </row>
    <row r="95" spans="3:9" x14ac:dyDescent="0.25">
      <c r="C95" s="3" t="str">
        <f>HYPERLINK("http://amigo.geneontology.org/amigo/term/GO:0051234","GO:0051234")</f>
        <v>GO:0051234</v>
      </c>
      <c r="D95" t="s">
        <v>344</v>
      </c>
      <c r="E95">
        <v>726</v>
      </c>
      <c r="F95">
        <v>1</v>
      </c>
      <c r="G95">
        <v>0.73119032008611995</v>
      </c>
      <c r="H95">
        <v>1</v>
      </c>
      <c r="I95" t="s">
        <v>13515</v>
      </c>
    </row>
    <row r="96" spans="3:9" x14ac:dyDescent="0.25">
      <c r="C96" s="3" t="str">
        <f>HYPERLINK("http://amigo.geneontology.org/amigo/term/GO:0044249","GO:0044249")</f>
        <v>GO:0044249</v>
      </c>
      <c r="D96" t="s">
        <v>6857</v>
      </c>
      <c r="E96">
        <v>756</v>
      </c>
      <c r="F96">
        <v>1</v>
      </c>
      <c r="G96">
        <v>0.74629050962449595</v>
      </c>
      <c r="H96">
        <v>1</v>
      </c>
      <c r="I96" t="s">
        <v>13528</v>
      </c>
    </row>
    <row r="97" spans="3:9" x14ac:dyDescent="0.25">
      <c r="C97" s="3" t="str">
        <f>HYPERLINK("http://amigo.geneontology.org/amigo/term/GO:1901576","GO:1901576")</f>
        <v>GO:1901576</v>
      </c>
      <c r="D97" t="s">
        <v>6860</v>
      </c>
      <c r="E97">
        <v>768</v>
      </c>
      <c r="F97">
        <v>1</v>
      </c>
      <c r="G97">
        <v>0.75211150546042405</v>
      </c>
      <c r="H97">
        <v>1</v>
      </c>
      <c r="I97" t="s">
        <v>13528</v>
      </c>
    </row>
    <row r="98" spans="3:9" x14ac:dyDescent="0.25">
      <c r="C98" s="3" t="str">
        <f>HYPERLINK("http://amigo.geneontology.org/amigo/term/GO:0044237","GO:0044237")</f>
        <v>GO:0044237</v>
      </c>
      <c r="D98" t="s">
        <v>6872</v>
      </c>
      <c r="E98">
        <v>1496</v>
      </c>
      <c r="F98">
        <v>2</v>
      </c>
      <c r="G98">
        <v>0.76275322722079297</v>
      </c>
      <c r="H98">
        <v>1</v>
      </c>
      <c r="I98" t="s">
        <v>13544</v>
      </c>
    </row>
    <row r="99" spans="3:9" x14ac:dyDescent="0.25">
      <c r="C99" s="3" t="str">
        <f>HYPERLINK("http://amigo.geneontology.org/amigo/term/GO:0044260","GO:0044260")</f>
        <v>GO:0044260</v>
      </c>
      <c r="D99" t="s">
        <v>6866</v>
      </c>
      <c r="E99">
        <v>791</v>
      </c>
      <c r="F99">
        <v>1</v>
      </c>
      <c r="G99">
        <v>0.76293029666837198</v>
      </c>
      <c r="H99">
        <v>1</v>
      </c>
      <c r="I99" t="s">
        <v>13514</v>
      </c>
    </row>
    <row r="100" spans="3:9" x14ac:dyDescent="0.25">
      <c r="C100" s="3" t="str">
        <f>HYPERLINK("http://amigo.geneontology.org/amigo/term/GO:0009058","GO:0009058")</f>
        <v>GO:0009058</v>
      </c>
      <c r="D100" t="s">
        <v>5724</v>
      </c>
      <c r="E100">
        <v>813</v>
      </c>
      <c r="F100">
        <v>1</v>
      </c>
      <c r="G100">
        <v>0.77287522773565198</v>
      </c>
      <c r="H100">
        <v>1</v>
      </c>
      <c r="I100" t="s">
        <v>13528</v>
      </c>
    </row>
    <row r="101" spans="3:9" x14ac:dyDescent="0.25">
      <c r="C101" s="3" t="str">
        <f>HYPERLINK("http://amigo.geneontology.org/amigo/term/GO:1901265","GO:1901265")</f>
        <v>GO:1901265</v>
      </c>
      <c r="D101" t="s">
        <v>7052</v>
      </c>
      <c r="E101">
        <v>939</v>
      </c>
      <c r="F101">
        <v>1</v>
      </c>
      <c r="G101">
        <v>0.82288667811943506</v>
      </c>
      <c r="H101">
        <v>1</v>
      </c>
      <c r="I101" t="s">
        <v>13520</v>
      </c>
    </row>
    <row r="102" spans="3:9" x14ac:dyDescent="0.25">
      <c r="C102" s="3" t="str">
        <f>HYPERLINK("http://amigo.geneontology.org/amigo/term/GO:0000166","GO:0000166")</f>
        <v>GO:0000166</v>
      </c>
      <c r="D102" t="s">
        <v>7055</v>
      </c>
      <c r="E102">
        <v>939</v>
      </c>
      <c r="F102">
        <v>1</v>
      </c>
      <c r="G102">
        <v>0.82288667811943506</v>
      </c>
      <c r="H102">
        <v>1</v>
      </c>
      <c r="I102" t="s">
        <v>13520</v>
      </c>
    </row>
    <row r="103" spans="3:9" x14ac:dyDescent="0.25">
      <c r="C103" s="3" t="str">
        <f>HYPERLINK("http://amigo.geneontology.org/amigo/term/GO:0043170","GO:0043170")</f>
        <v>GO:0043170</v>
      </c>
      <c r="D103" t="s">
        <v>6870</v>
      </c>
      <c r="E103">
        <v>1036</v>
      </c>
      <c r="F103">
        <v>1</v>
      </c>
      <c r="G103">
        <v>0.85431933648054303</v>
      </c>
      <c r="H103">
        <v>1</v>
      </c>
      <c r="I103" t="s">
        <v>13514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2"/>
  <sheetViews>
    <sheetView workbookViewId="0">
      <pane xSplit="4" ySplit="11" topLeftCell="E12" activePane="bottomRight" state="frozen"/>
      <selection pane="topRight" activeCell="C1" sqref="C1"/>
      <selection pane="bottomLeft" activeCell="A11" sqref="A11"/>
      <selection pane="bottomRight"/>
    </sheetView>
  </sheetViews>
  <sheetFormatPr defaultRowHeight="15" x14ac:dyDescent="0.25"/>
  <cols>
    <col min="1" max="1" width="23.5703125" customWidth="1"/>
    <col min="3" max="3" width="12.28515625" customWidth="1"/>
    <col min="4" max="4" width="47.42578125" customWidth="1"/>
  </cols>
  <sheetData>
    <row r="1" spans="1:9" ht="20.25" x14ac:dyDescent="0.3">
      <c r="A1" s="12" t="s">
        <v>13277</v>
      </c>
    </row>
    <row r="2" spans="1:9" x14ac:dyDescent="0.25">
      <c r="A2" s="19" t="s">
        <v>13450</v>
      </c>
      <c r="C2" t="s">
        <v>2</v>
      </c>
      <c r="D2">
        <v>352</v>
      </c>
    </row>
    <row r="3" spans="1:9" x14ac:dyDescent="0.25">
      <c r="A3" s="2" t="s">
        <v>13451</v>
      </c>
      <c r="C3" t="s">
        <v>4</v>
      </c>
      <c r="D3">
        <v>6454</v>
      </c>
    </row>
    <row r="4" spans="1:9" x14ac:dyDescent="0.25">
      <c r="A4" s="2" t="s">
        <v>13452</v>
      </c>
      <c r="C4" t="s">
        <v>6</v>
      </c>
      <c r="D4" t="s">
        <v>7</v>
      </c>
    </row>
    <row r="5" spans="1:9" x14ac:dyDescent="0.25">
      <c r="A5" s="2" t="s">
        <v>13453</v>
      </c>
      <c r="C5" t="s">
        <v>9</v>
      </c>
      <c r="D5" t="s">
        <v>10</v>
      </c>
    </row>
    <row r="6" spans="1:9" x14ac:dyDescent="0.25">
      <c r="A6" s="2" t="s">
        <v>13454</v>
      </c>
      <c r="C6" t="s">
        <v>12</v>
      </c>
      <c r="D6" t="s">
        <v>13</v>
      </c>
    </row>
    <row r="7" spans="1:9" x14ac:dyDescent="0.25">
      <c r="A7" s="2" t="s">
        <v>13455</v>
      </c>
      <c r="C7" t="s">
        <v>15</v>
      </c>
      <c r="D7" t="s">
        <v>16</v>
      </c>
    </row>
    <row r="8" spans="1:9" x14ac:dyDescent="0.25">
      <c r="A8" s="2" t="s">
        <v>13456</v>
      </c>
      <c r="C8" t="s">
        <v>18</v>
      </c>
      <c r="D8" t="s">
        <v>19</v>
      </c>
    </row>
    <row r="9" spans="1:9" x14ac:dyDescent="0.25">
      <c r="A9" s="2" t="s">
        <v>13545</v>
      </c>
      <c r="C9" t="s">
        <v>21</v>
      </c>
      <c r="D9">
        <v>3</v>
      </c>
    </row>
    <row r="10" spans="1:9" x14ac:dyDescent="0.25">
      <c r="A10" s="2" t="s">
        <v>13546</v>
      </c>
    </row>
    <row r="11" spans="1:9" x14ac:dyDescent="0.25">
      <c r="A11" s="2" t="s">
        <v>13547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</row>
    <row r="12" spans="1:9" x14ac:dyDescent="0.25">
      <c r="A12" s="2" t="s">
        <v>13548</v>
      </c>
      <c r="C12" s="3" t="str">
        <f>HYPERLINK("http://amigo.geneontology.org/amigo/term/GO:0005975","GO:0005975")</f>
        <v>GO:0005975</v>
      </c>
      <c r="D12" t="s">
        <v>171</v>
      </c>
      <c r="E12">
        <v>288</v>
      </c>
      <c r="F12">
        <v>58</v>
      </c>
      <c r="G12" s="4">
        <v>3.8157196131514699E-19</v>
      </c>
      <c r="H12" s="4">
        <v>8.8448380632851003E-16</v>
      </c>
      <c r="I12" t="s">
        <v>13549</v>
      </c>
    </row>
    <row r="13" spans="1:9" x14ac:dyDescent="0.25">
      <c r="A13" s="2" t="s">
        <v>13550</v>
      </c>
      <c r="C13" s="3" t="str">
        <f>HYPERLINK("http://amigo.geneontology.org/amigo/term/GO:0044281","GO:0044281")</f>
        <v>GO:0044281</v>
      </c>
      <c r="D13" t="s">
        <v>4410</v>
      </c>
      <c r="E13">
        <v>464</v>
      </c>
      <c r="F13">
        <v>67</v>
      </c>
      <c r="G13" s="4">
        <v>3.3641039822080997E-14</v>
      </c>
      <c r="H13" s="4">
        <v>3.8989965153791803E-11</v>
      </c>
      <c r="I13" t="s">
        <v>13551</v>
      </c>
    </row>
    <row r="14" spans="1:9" x14ac:dyDescent="0.25">
      <c r="A14" s="2" t="s">
        <v>13552</v>
      </c>
      <c r="C14" s="3" t="str">
        <f>HYPERLINK("http://amigo.geneontology.org/amigo/term/GO:0004553","GO:0004553")</f>
        <v>GO:0004553</v>
      </c>
      <c r="D14" t="s">
        <v>174</v>
      </c>
      <c r="E14">
        <v>185</v>
      </c>
      <c r="F14">
        <v>33</v>
      </c>
      <c r="G14" s="4">
        <v>8.8261352442176198E-10</v>
      </c>
      <c r="H14" s="4">
        <v>6.8137764085360004E-7</v>
      </c>
      <c r="I14" t="s">
        <v>13553</v>
      </c>
    </row>
    <row r="15" spans="1:9" x14ac:dyDescent="0.25">
      <c r="A15" s="2" t="s">
        <v>13554</v>
      </c>
      <c r="C15" s="3" t="str">
        <f>HYPERLINK("http://amigo.geneontology.org/amigo/term/GO:0016798","GO:0016798")</f>
        <v>GO:0016798</v>
      </c>
      <c r="D15" t="s">
        <v>177</v>
      </c>
      <c r="E15">
        <v>193</v>
      </c>
      <c r="F15">
        <v>33</v>
      </c>
      <c r="G15" s="4">
        <v>2.7311251011271001E-9</v>
      </c>
      <c r="H15" s="4">
        <v>1.58132143355259E-6</v>
      </c>
      <c r="I15" t="s">
        <v>13553</v>
      </c>
    </row>
    <row r="16" spans="1:9" x14ac:dyDescent="0.25">
      <c r="A16" s="2" t="s">
        <v>13555</v>
      </c>
      <c r="C16" s="3" t="str">
        <f>HYPERLINK("http://amigo.geneontology.org/amigo/term/GO:0017144","GO:0017144")</f>
        <v>GO:0017144</v>
      </c>
      <c r="D16" t="s">
        <v>4310</v>
      </c>
      <c r="E16">
        <v>127</v>
      </c>
      <c r="F16">
        <v>26</v>
      </c>
      <c r="G16" s="4">
        <v>2.8864872997388698E-9</v>
      </c>
      <c r="H16" s="4">
        <v>1.3364436197790901E-6</v>
      </c>
      <c r="I16" t="s">
        <v>13556</v>
      </c>
    </row>
    <row r="17" spans="1:9" x14ac:dyDescent="0.25">
      <c r="A17" s="2" t="s">
        <v>13557</v>
      </c>
      <c r="C17" s="3" t="str">
        <f>HYPERLINK("http://amigo.geneontology.org/amigo/term/GO:0006082","GO:0006082")</f>
        <v>GO:0006082</v>
      </c>
      <c r="D17" t="s">
        <v>4301</v>
      </c>
      <c r="E17">
        <v>280</v>
      </c>
      <c r="F17">
        <v>41</v>
      </c>
      <c r="G17" s="4">
        <v>3.7308397816038802E-9</v>
      </c>
      <c r="H17" s="4">
        <v>1.4401041556990901E-6</v>
      </c>
      <c r="I17" t="s">
        <v>13558</v>
      </c>
    </row>
    <row r="18" spans="1:9" x14ac:dyDescent="0.25">
      <c r="A18" s="2" t="s">
        <v>13559</v>
      </c>
      <c r="C18" s="3" t="str">
        <f>HYPERLINK("http://amigo.geneontology.org/amigo/term/GO:0019752","GO:0019752")</f>
        <v>GO:0019752</v>
      </c>
      <c r="D18" t="s">
        <v>4275</v>
      </c>
      <c r="E18">
        <v>272</v>
      </c>
      <c r="F18">
        <v>40</v>
      </c>
      <c r="G18" s="4">
        <v>5.18465969977465E-9</v>
      </c>
      <c r="H18" s="4">
        <v>1.7161223606254099E-6</v>
      </c>
      <c r="I18" t="s">
        <v>13560</v>
      </c>
    </row>
    <row r="19" spans="1:9" x14ac:dyDescent="0.25">
      <c r="A19" s="2" t="s">
        <v>13561</v>
      </c>
      <c r="C19" s="3" t="str">
        <f>HYPERLINK("http://amigo.geneontology.org/amigo/term/GO:0019318","GO:0019318")</f>
        <v>GO:0019318</v>
      </c>
      <c r="D19" t="s">
        <v>13562</v>
      </c>
      <c r="E19">
        <v>14</v>
      </c>
      <c r="F19">
        <v>9</v>
      </c>
      <c r="G19" s="4">
        <v>6.06781243429589E-9</v>
      </c>
      <c r="H19" s="4">
        <v>1.75359779351151E-6</v>
      </c>
      <c r="I19" t="s">
        <v>13563</v>
      </c>
    </row>
    <row r="20" spans="1:9" x14ac:dyDescent="0.25">
      <c r="A20" s="2" t="s">
        <v>13564</v>
      </c>
      <c r="C20" s="3" t="str">
        <f>HYPERLINK("http://amigo.geneontology.org/amigo/term/GO:0043436","GO:0043436")</f>
        <v>GO:0043436</v>
      </c>
      <c r="D20" t="s">
        <v>4300</v>
      </c>
      <c r="E20">
        <v>276</v>
      </c>
      <c r="F20">
        <v>40</v>
      </c>
      <c r="G20" s="4">
        <v>7.9723315814291401E-9</v>
      </c>
      <c r="H20" s="4">
        <v>2.0488892164272801E-6</v>
      </c>
      <c r="I20" t="s">
        <v>13560</v>
      </c>
    </row>
    <row r="21" spans="1:9" x14ac:dyDescent="0.25">
      <c r="A21" s="2" t="s">
        <v>13565</v>
      </c>
      <c r="C21" s="3" t="str">
        <f>HYPERLINK("http://amigo.geneontology.org/amigo/term/GO:0005996","GO:0005996")</f>
        <v>GO:0005996</v>
      </c>
      <c r="D21" t="s">
        <v>13535</v>
      </c>
      <c r="E21">
        <v>23</v>
      </c>
      <c r="F21">
        <v>11</v>
      </c>
      <c r="G21" s="4">
        <v>8.1500436872831396E-9</v>
      </c>
      <c r="H21" s="4">
        <v>1.8826600917623999E-6</v>
      </c>
      <c r="I21" t="s">
        <v>13566</v>
      </c>
    </row>
    <row r="22" spans="1:9" x14ac:dyDescent="0.25">
      <c r="A22" s="2" t="s">
        <v>13567</v>
      </c>
      <c r="C22" s="3" t="str">
        <f>HYPERLINK("http://amigo.geneontology.org/amigo/term/GO:0009081","GO:0009081")</f>
        <v>GO:0009081</v>
      </c>
      <c r="D22" t="s">
        <v>5670</v>
      </c>
      <c r="E22">
        <v>18</v>
      </c>
      <c r="F22">
        <v>9</v>
      </c>
      <c r="G22" s="4">
        <v>1.2115278625381299E-7</v>
      </c>
      <c r="H22" s="4">
        <v>2.54420851133007E-5</v>
      </c>
      <c r="I22" t="s">
        <v>13568</v>
      </c>
    </row>
    <row r="23" spans="1:9" x14ac:dyDescent="0.25">
      <c r="A23" s="2" t="s">
        <v>13569</v>
      </c>
      <c r="C23" s="3" t="str">
        <f>HYPERLINK("http://amigo.geneontology.org/amigo/term/GO:0044283","GO:0044283")</f>
        <v>GO:0044283</v>
      </c>
      <c r="D23" t="s">
        <v>888</v>
      </c>
      <c r="E23">
        <v>163</v>
      </c>
      <c r="F23">
        <v>27</v>
      </c>
      <c r="G23" s="4">
        <v>1.6027226964186901E-7</v>
      </c>
      <c r="H23" s="4">
        <v>3.0932548040880697E-5</v>
      </c>
      <c r="I23" t="s">
        <v>13570</v>
      </c>
    </row>
    <row r="24" spans="1:9" x14ac:dyDescent="0.25">
      <c r="A24" s="2" t="s">
        <v>13571</v>
      </c>
      <c r="C24" s="3" t="str">
        <f>HYPERLINK("http://amigo.geneontology.org/amigo/term/GO:0051186","GO:0051186")</f>
        <v>GO:0051186</v>
      </c>
      <c r="D24" t="s">
        <v>13402</v>
      </c>
      <c r="E24">
        <v>124</v>
      </c>
      <c r="F24">
        <v>22</v>
      </c>
      <c r="G24" s="4">
        <v>6.9729987805485095E-7</v>
      </c>
      <c r="H24" s="4">
        <v>1.24119378293763E-4</v>
      </c>
      <c r="I24" t="s">
        <v>13572</v>
      </c>
    </row>
    <row r="25" spans="1:9" x14ac:dyDescent="0.25">
      <c r="A25" s="2" t="s">
        <v>13573</v>
      </c>
      <c r="C25" s="3" t="str">
        <f>HYPERLINK("http://amigo.geneontology.org/amigo/term/GO:0072524","GO:0072524")</f>
        <v>GO:0072524</v>
      </c>
      <c r="D25" t="s">
        <v>13574</v>
      </c>
      <c r="E25">
        <v>33</v>
      </c>
      <c r="F25">
        <v>11</v>
      </c>
      <c r="G25" s="4">
        <v>7.1088830040381402E-7</v>
      </c>
      <c r="H25" s="4">
        <v>1.1729656956662901E-4</v>
      </c>
      <c r="I25" t="s">
        <v>13575</v>
      </c>
    </row>
    <row r="26" spans="1:9" x14ac:dyDescent="0.25">
      <c r="A26" s="2" t="s">
        <v>13576</v>
      </c>
      <c r="C26" s="3" t="str">
        <f>HYPERLINK("http://amigo.geneontology.org/amigo/term/GO:0019362","GO:0019362")</f>
        <v>GO:0019362</v>
      </c>
      <c r="D26" t="s">
        <v>13577</v>
      </c>
      <c r="E26">
        <v>27</v>
      </c>
      <c r="F26">
        <v>10</v>
      </c>
      <c r="G26" s="4">
        <v>7.5177507989310398E-7</v>
      </c>
      <c r="H26" s="4">
        <v>1.08255611504606E-4</v>
      </c>
      <c r="I26" t="s">
        <v>13578</v>
      </c>
    </row>
    <row r="27" spans="1:9" x14ac:dyDescent="0.25">
      <c r="A27" s="2" t="s">
        <v>13579</v>
      </c>
      <c r="C27" s="3" t="str">
        <f>HYPERLINK("http://amigo.geneontology.org/amigo/term/GO:0046496","GO:0046496")</f>
        <v>GO:0046496</v>
      </c>
      <c r="D27" t="s">
        <v>13580</v>
      </c>
      <c r="E27">
        <v>27</v>
      </c>
      <c r="F27">
        <v>10</v>
      </c>
      <c r="G27" s="4">
        <v>7.5177507989310398E-7</v>
      </c>
      <c r="H27" s="4">
        <v>1.1577336230353801E-4</v>
      </c>
      <c r="I27" t="s">
        <v>13578</v>
      </c>
    </row>
    <row r="28" spans="1:9" x14ac:dyDescent="0.25">
      <c r="A28" s="2" t="s">
        <v>13581</v>
      </c>
      <c r="C28" s="3" t="str">
        <f>HYPERLINK("http://amigo.geneontology.org/amigo/term/GO:0006520","GO:0006520")</f>
        <v>GO:0006520</v>
      </c>
      <c r="D28" t="s">
        <v>5762</v>
      </c>
      <c r="E28">
        <v>177</v>
      </c>
      <c r="F28">
        <v>27</v>
      </c>
      <c r="G28" s="4">
        <v>8.8521883483477801E-7</v>
      </c>
      <c r="H28" s="4">
        <v>1.20389761537529E-4</v>
      </c>
      <c r="I28" t="s">
        <v>13582</v>
      </c>
    </row>
    <row r="29" spans="1:9" x14ac:dyDescent="0.25">
      <c r="A29" s="2" t="s">
        <v>13583</v>
      </c>
      <c r="C29" s="3" t="str">
        <f>HYPERLINK("http://amigo.geneontology.org/amigo/term/GO:0016053","GO:0016053")</f>
        <v>GO:0016053</v>
      </c>
      <c r="D29" t="s">
        <v>685</v>
      </c>
      <c r="E29">
        <v>118</v>
      </c>
      <c r="F29">
        <v>21</v>
      </c>
      <c r="G29" s="4">
        <v>1.1913643923222699E-6</v>
      </c>
      <c r="H29" s="4">
        <v>1.4534645586331799E-4</v>
      </c>
      <c r="I29" t="s">
        <v>13584</v>
      </c>
    </row>
    <row r="30" spans="1:9" x14ac:dyDescent="0.25">
      <c r="A30" s="2" t="s">
        <v>13585</v>
      </c>
      <c r="C30" s="3" t="str">
        <f>HYPERLINK("http://amigo.geneontology.org/amigo/term/GO:0046394","GO:0046394")</f>
        <v>GO:0046394</v>
      </c>
      <c r="D30" t="s">
        <v>682</v>
      </c>
      <c r="E30">
        <v>118</v>
      </c>
      <c r="F30">
        <v>21</v>
      </c>
      <c r="G30" s="4">
        <v>1.1913643923222699E-6</v>
      </c>
      <c r="H30" s="4">
        <v>1.5249464221725101E-4</v>
      </c>
      <c r="I30" t="s">
        <v>13584</v>
      </c>
    </row>
    <row r="31" spans="1:9" x14ac:dyDescent="0.25">
      <c r="A31" s="2" t="s">
        <v>13586</v>
      </c>
      <c r="C31" s="3" t="str">
        <f>HYPERLINK("http://amigo.geneontology.org/amigo/term/GO:0009082","GO:0009082")</f>
        <v>GO:0009082</v>
      </c>
      <c r="D31" t="s">
        <v>13587</v>
      </c>
      <c r="E31">
        <v>13</v>
      </c>
      <c r="F31">
        <v>7</v>
      </c>
      <c r="G31" s="4">
        <v>1.74623725604112E-6</v>
      </c>
      <c r="H31" s="4">
        <v>2.00817284444729E-4</v>
      </c>
      <c r="I31" t="s">
        <v>13588</v>
      </c>
    </row>
    <row r="32" spans="1:9" x14ac:dyDescent="0.25">
      <c r="A32" s="2" t="s">
        <v>13589</v>
      </c>
      <c r="C32" s="3" t="str">
        <f>HYPERLINK("http://amigo.geneontology.org/amigo/term/GO:0006732","GO:0006732")</f>
        <v>GO:0006732</v>
      </c>
      <c r="D32" t="s">
        <v>13590</v>
      </c>
      <c r="E32">
        <v>82</v>
      </c>
      <c r="F32">
        <v>16</v>
      </c>
      <c r="G32" s="4">
        <v>6.6808424473341799E-6</v>
      </c>
      <c r="H32" s="4">
        <v>7.3489266920676E-4</v>
      </c>
      <c r="I32" t="s">
        <v>13591</v>
      </c>
    </row>
    <row r="33" spans="1:9" x14ac:dyDescent="0.25">
      <c r="A33" s="2" t="s">
        <v>13592</v>
      </c>
      <c r="C33" s="3" t="str">
        <f>HYPERLINK("http://amigo.geneontology.org/amigo/term/GO:1901605","GO:1901605")</f>
        <v>GO:1901605</v>
      </c>
      <c r="D33" t="s">
        <v>7075</v>
      </c>
      <c r="E33">
        <v>102</v>
      </c>
      <c r="F33">
        <v>18</v>
      </c>
      <c r="G33" s="4">
        <v>7.9034735900275802E-6</v>
      </c>
      <c r="H33" s="4">
        <v>8.2986472695289603E-4</v>
      </c>
      <c r="I33" t="s">
        <v>13593</v>
      </c>
    </row>
    <row r="34" spans="1:9" x14ac:dyDescent="0.25">
      <c r="A34" s="2" t="s">
        <v>13594</v>
      </c>
      <c r="C34" s="3" t="str">
        <f>HYPERLINK("http://amigo.geneontology.org/amigo/term/GO:0006081","GO:0006081")</f>
        <v>GO:0006081</v>
      </c>
      <c r="D34" t="s">
        <v>13595</v>
      </c>
      <c r="E34">
        <v>16</v>
      </c>
      <c r="F34">
        <v>7</v>
      </c>
      <c r="G34" s="4">
        <v>1.0088553799031101E-5</v>
      </c>
      <c r="H34">
        <v>1.00885537990311E-3</v>
      </c>
      <c r="I34" t="s">
        <v>13596</v>
      </c>
    </row>
    <row r="35" spans="1:9" x14ac:dyDescent="0.25">
      <c r="A35" s="2" t="s">
        <v>13597</v>
      </c>
      <c r="C35" s="3" t="str">
        <f>HYPERLINK("http://amigo.geneontology.org/amigo/term/GO:0006733","GO:0006733")</f>
        <v>GO:0006733</v>
      </c>
      <c r="D35" t="s">
        <v>13598</v>
      </c>
      <c r="E35">
        <v>35</v>
      </c>
      <c r="F35">
        <v>10</v>
      </c>
      <c r="G35" s="4">
        <v>1.10430335320657E-5</v>
      </c>
      <c r="H35">
        <v>1.0601312190783099E-3</v>
      </c>
      <c r="I35" t="s">
        <v>13578</v>
      </c>
    </row>
    <row r="36" spans="1:9" x14ac:dyDescent="0.25">
      <c r="A36" s="2" t="s">
        <v>13599</v>
      </c>
      <c r="C36" s="3" t="str">
        <f>HYPERLINK("http://amigo.geneontology.org/amigo/term/GO:0016829","GO:0016829")</f>
        <v>GO:0016829</v>
      </c>
      <c r="D36" t="s">
        <v>523</v>
      </c>
      <c r="E36">
        <v>136</v>
      </c>
      <c r="F36">
        <v>21</v>
      </c>
      <c r="G36" s="4">
        <v>1.23505404523629E-5</v>
      </c>
      <c r="H36">
        <v>1.13624972161738E-3</v>
      </c>
      <c r="I36" t="s">
        <v>13600</v>
      </c>
    </row>
    <row r="37" spans="1:9" x14ac:dyDescent="0.25">
      <c r="A37" s="2" t="s">
        <v>13601</v>
      </c>
      <c r="C37" s="3" t="str">
        <f>HYPERLINK("http://amigo.geneontology.org/amigo/term/GO:0006091","GO:0006091")</f>
        <v>GO:0006091</v>
      </c>
      <c r="D37" t="s">
        <v>8756</v>
      </c>
      <c r="E37">
        <v>44</v>
      </c>
      <c r="F37">
        <v>11</v>
      </c>
      <c r="G37" s="4">
        <v>1.6363137891235701E-5</v>
      </c>
      <c r="H37">
        <v>1.4563192723199799E-3</v>
      </c>
      <c r="I37" t="s">
        <v>13602</v>
      </c>
    </row>
    <row r="38" spans="1:9" x14ac:dyDescent="0.25">
      <c r="A38" s="2" t="s">
        <v>13603</v>
      </c>
      <c r="C38" s="3" t="str">
        <f>HYPERLINK("http://amigo.geneontology.org/amigo/term/GO:0019693","GO:0019693")</f>
        <v>GO:0019693</v>
      </c>
      <c r="D38" t="s">
        <v>13604</v>
      </c>
      <c r="E38">
        <v>70</v>
      </c>
      <c r="F38">
        <v>14</v>
      </c>
      <c r="G38" s="4">
        <v>1.8832577113496002E-5</v>
      </c>
      <c r="H38">
        <v>1.60076905464716E-3</v>
      </c>
      <c r="I38" t="s">
        <v>13605</v>
      </c>
    </row>
    <row r="39" spans="1:9" x14ac:dyDescent="0.25">
      <c r="A39" s="2" t="s">
        <v>13606</v>
      </c>
      <c r="C39" s="3" t="str">
        <f>HYPERLINK("http://amigo.geneontology.org/amigo/term/GO:1901564","GO:1901564")</f>
        <v>GO:1901564</v>
      </c>
      <c r="D39" t="s">
        <v>7043</v>
      </c>
      <c r="E39">
        <v>838</v>
      </c>
      <c r="F39">
        <v>73</v>
      </c>
      <c r="G39" s="4">
        <v>1.9619736565340201E-5</v>
      </c>
      <c r="H39">
        <v>1.60881839835789E-3</v>
      </c>
      <c r="I39" t="s">
        <v>13607</v>
      </c>
    </row>
    <row r="40" spans="1:9" x14ac:dyDescent="0.25">
      <c r="A40" s="2" t="s">
        <v>13608</v>
      </c>
      <c r="C40" s="3" t="str">
        <f>HYPERLINK("http://amigo.geneontology.org/amigo/term/GO:0034637","GO:0034637")</f>
        <v>GO:0034637</v>
      </c>
      <c r="D40" t="s">
        <v>1543</v>
      </c>
      <c r="E40">
        <v>8</v>
      </c>
      <c r="F40">
        <v>5</v>
      </c>
      <c r="G40" s="4">
        <v>2.29267652258002E-5</v>
      </c>
      <c r="H40">
        <v>1.8112144528382101E-3</v>
      </c>
      <c r="I40" t="s">
        <v>13609</v>
      </c>
    </row>
    <row r="41" spans="1:9" x14ac:dyDescent="0.25">
      <c r="A41" s="2" t="s">
        <v>13610</v>
      </c>
      <c r="C41" s="3" t="str">
        <f>HYPERLINK("http://amigo.geneontology.org/amigo/term/GO:0071704","GO:0071704")</f>
        <v>GO:0071704</v>
      </c>
      <c r="D41" t="s">
        <v>472</v>
      </c>
      <c r="E41">
        <v>1803</v>
      </c>
      <c r="F41">
        <v>133</v>
      </c>
      <c r="G41" s="4">
        <v>2.39811465917284E-5</v>
      </c>
      <c r="H41">
        <v>1.84654828756309E-3</v>
      </c>
      <c r="I41" t="s">
        <v>13611</v>
      </c>
    </row>
    <row r="42" spans="1:9" x14ac:dyDescent="0.25">
      <c r="A42" s="2" t="s">
        <v>13612</v>
      </c>
      <c r="C42" s="3" t="str">
        <f>HYPERLINK("http://amigo.geneontology.org/amigo/term/GO:0016051","GO:0016051")</f>
        <v>GO:0016051</v>
      </c>
      <c r="D42" t="s">
        <v>4334</v>
      </c>
      <c r="E42">
        <v>18</v>
      </c>
      <c r="F42">
        <v>7</v>
      </c>
      <c r="G42" s="4">
        <v>2.5513896357123499E-5</v>
      </c>
      <c r="H42">
        <v>1.88802833042714E-3</v>
      </c>
      <c r="I42" t="s">
        <v>13613</v>
      </c>
    </row>
    <row r="43" spans="1:9" x14ac:dyDescent="0.25">
      <c r="A43" s="2" t="s">
        <v>13614</v>
      </c>
      <c r="C43" s="3" t="str">
        <f>HYPERLINK("http://amigo.geneontology.org/amigo/term/GO:0044262","GO:0044262")</f>
        <v>GO:0044262</v>
      </c>
      <c r="D43" t="s">
        <v>237</v>
      </c>
      <c r="E43">
        <v>32</v>
      </c>
      <c r="F43">
        <v>9</v>
      </c>
      <c r="G43" s="4">
        <v>3.5310786265037398E-5</v>
      </c>
      <c r="H43">
        <v>2.5423766110826899E-3</v>
      </c>
      <c r="I43" t="s">
        <v>13615</v>
      </c>
    </row>
    <row r="44" spans="1:9" x14ac:dyDescent="0.25">
      <c r="A44" s="2" t="s">
        <v>13616</v>
      </c>
      <c r="C44" s="3" t="str">
        <f>HYPERLINK("http://amigo.geneontology.org/amigo/term/GO:0009117","GO:0009117")</f>
        <v>GO:0009117</v>
      </c>
      <c r="D44" t="s">
        <v>13617</v>
      </c>
      <c r="E44">
        <v>94</v>
      </c>
      <c r="F44">
        <v>16</v>
      </c>
      <c r="G44" s="4">
        <v>4.0274080193873502E-5</v>
      </c>
      <c r="H44">
        <v>2.8191856135711501E-3</v>
      </c>
      <c r="I44" t="s">
        <v>13618</v>
      </c>
    </row>
    <row r="45" spans="1:9" x14ac:dyDescent="0.25">
      <c r="A45" s="2" t="s">
        <v>13619</v>
      </c>
      <c r="C45" s="3" t="str">
        <f>HYPERLINK("http://amigo.geneontology.org/amigo/term/GO:0008289","GO:0008289")</f>
        <v>GO:0008289</v>
      </c>
      <c r="D45" t="s">
        <v>745</v>
      </c>
      <c r="E45">
        <v>26</v>
      </c>
      <c r="F45">
        <v>8</v>
      </c>
      <c r="G45" s="4">
        <v>4.7461781578467201E-5</v>
      </c>
      <c r="H45">
        <v>3.2274011473357699E-3</v>
      </c>
      <c r="I45" t="s">
        <v>13620</v>
      </c>
    </row>
    <row r="46" spans="1:9" x14ac:dyDescent="0.25">
      <c r="A46" s="2" t="s">
        <v>13621</v>
      </c>
      <c r="C46" s="3" t="str">
        <f>HYPERLINK("http://amigo.geneontology.org/amigo/term/GO:0006753","GO:0006753")</f>
        <v>GO:0006753</v>
      </c>
      <c r="D46" t="s">
        <v>13622</v>
      </c>
      <c r="E46">
        <v>97</v>
      </c>
      <c r="F46">
        <v>16</v>
      </c>
      <c r="G46" s="4">
        <v>5.9896756635179103E-5</v>
      </c>
      <c r="H46">
        <v>3.9531859379218198E-3</v>
      </c>
      <c r="I46" t="s">
        <v>13618</v>
      </c>
    </row>
    <row r="47" spans="1:9" x14ac:dyDescent="0.25">
      <c r="A47" s="2" t="s">
        <v>13623</v>
      </c>
      <c r="C47" s="3" t="str">
        <f>HYPERLINK("http://amigo.geneontology.org/amigo/term/GO:0072525","GO:0072525")</f>
        <v>GO:0072525</v>
      </c>
      <c r="D47" t="s">
        <v>13624</v>
      </c>
      <c r="E47">
        <v>27</v>
      </c>
      <c r="F47">
        <v>8</v>
      </c>
      <c r="G47" s="4">
        <v>6.4276886429510095E-5</v>
      </c>
      <c r="H47">
        <v>4.1137207314886504E-3</v>
      </c>
      <c r="I47" t="s">
        <v>13625</v>
      </c>
    </row>
    <row r="48" spans="1:9" x14ac:dyDescent="0.25">
      <c r="A48" s="2" t="s">
        <v>13626</v>
      </c>
      <c r="C48" s="3" t="str">
        <f>HYPERLINK("http://amigo.geneontology.org/amigo/term/GO:0019363","GO:0019363")</f>
        <v>GO:0019363</v>
      </c>
      <c r="D48" t="s">
        <v>13627</v>
      </c>
      <c r="E48">
        <v>21</v>
      </c>
      <c r="F48">
        <v>7</v>
      </c>
      <c r="G48" s="4">
        <v>8.0829662120088393E-5</v>
      </c>
      <c r="H48">
        <v>4.9306093893253904E-3</v>
      </c>
      <c r="I48" t="s">
        <v>13628</v>
      </c>
    </row>
    <row r="49" spans="1:9" x14ac:dyDescent="0.25">
      <c r="A49" s="2" t="s">
        <v>13629</v>
      </c>
      <c r="C49" s="3" t="str">
        <f>HYPERLINK("http://amigo.geneontology.org/amigo/term/GO:0019359","GO:0019359")</f>
        <v>GO:0019359</v>
      </c>
      <c r="D49" t="s">
        <v>13630</v>
      </c>
      <c r="E49">
        <v>21</v>
      </c>
      <c r="F49">
        <v>7</v>
      </c>
      <c r="G49" s="4">
        <v>8.0829662120088393E-5</v>
      </c>
      <c r="H49">
        <v>5.0114390514454802E-3</v>
      </c>
      <c r="I49" t="s">
        <v>13628</v>
      </c>
    </row>
    <row r="50" spans="1:9" x14ac:dyDescent="0.25">
      <c r="A50" s="2" t="s">
        <v>13631</v>
      </c>
      <c r="C50" s="3" t="str">
        <f>HYPERLINK("http://amigo.geneontology.org/amigo/term/GO:0044272","GO:0044272")</f>
        <v>GO:0044272</v>
      </c>
      <c r="D50" t="s">
        <v>13632</v>
      </c>
      <c r="E50">
        <v>36</v>
      </c>
      <c r="F50">
        <v>9</v>
      </c>
      <c r="G50" s="4">
        <v>9.75924249304816E-5</v>
      </c>
      <c r="H50">
        <v>5.7579530708984101E-3</v>
      </c>
      <c r="I50" t="s">
        <v>13633</v>
      </c>
    </row>
    <row r="51" spans="1:9" x14ac:dyDescent="0.25">
      <c r="A51" s="2" t="s">
        <v>13634</v>
      </c>
      <c r="C51" s="3" t="str">
        <f>HYPERLINK("http://amigo.geneontology.org/amigo/term/GO:0044248","GO:0044248")</f>
        <v>GO:0044248</v>
      </c>
      <c r="D51" t="s">
        <v>5244</v>
      </c>
      <c r="E51">
        <v>180</v>
      </c>
      <c r="F51">
        <v>23</v>
      </c>
      <c r="G51" s="4">
        <v>1.06351331418929E-4</v>
      </c>
      <c r="H51">
        <v>6.06202589087897E-3</v>
      </c>
      <c r="I51" t="s">
        <v>13635</v>
      </c>
    </row>
    <row r="52" spans="1:9" x14ac:dyDescent="0.25">
      <c r="A52" s="2" t="s">
        <v>13636</v>
      </c>
      <c r="C52" s="3" t="str">
        <f>HYPERLINK("http://amigo.geneontology.org/amigo/term/GO:0006790","GO:0006790")</f>
        <v>GO:0006790</v>
      </c>
      <c r="D52" t="s">
        <v>13637</v>
      </c>
      <c r="E52">
        <v>64</v>
      </c>
      <c r="F52">
        <v>12</v>
      </c>
      <c r="G52" s="4">
        <v>1.4357666642370899E-4</v>
      </c>
      <c r="H52">
        <v>8.04029331972771E-3</v>
      </c>
      <c r="I52" t="s">
        <v>13638</v>
      </c>
    </row>
    <row r="53" spans="1:9" x14ac:dyDescent="0.25">
      <c r="A53" s="2" t="s">
        <v>13639</v>
      </c>
      <c r="C53" s="3" t="str">
        <f>HYPERLINK("http://amigo.geneontology.org/amigo/term/GO:0055086","GO:0055086")</f>
        <v>GO:0055086</v>
      </c>
      <c r="D53" t="s">
        <v>13403</v>
      </c>
      <c r="E53">
        <v>137</v>
      </c>
      <c r="F53">
        <v>19</v>
      </c>
      <c r="G53" s="4">
        <v>1.4363598223384E-4</v>
      </c>
      <c r="H53">
        <v>7.8999790228612091E-3</v>
      </c>
      <c r="I53" t="s">
        <v>13640</v>
      </c>
    </row>
    <row r="54" spans="1:9" x14ac:dyDescent="0.25">
      <c r="A54" s="2" t="s">
        <v>13641</v>
      </c>
      <c r="C54" s="3" t="str">
        <f>HYPERLINK("http://amigo.geneontology.org/amigo/term/GO:0046034","GO:0046034")</f>
        <v>GO:0046034</v>
      </c>
      <c r="D54" t="s">
        <v>13642</v>
      </c>
      <c r="E54">
        <v>30</v>
      </c>
      <c r="F54">
        <v>8</v>
      </c>
      <c r="G54" s="4">
        <v>1.4670294271409699E-4</v>
      </c>
      <c r="H54">
        <v>7.7752559638471401E-3</v>
      </c>
      <c r="I54" t="s">
        <v>13643</v>
      </c>
    </row>
    <row r="55" spans="1:9" x14ac:dyDescent="0.25">
      <c r="A55" s="2" t="s">
        <v>13644</v>
      </c>
      <c r="C55" s="3" t="str">
        <f>HYPERLINK("http://amigo.geneontology.org/amigo/term/GO:0006012","GO:0006012")</f>
        <v>GO:0006012</v>
      </c>
      <c r="D55" t="s">
        <v>13645</v>
      </c>
      <c r="E55">
        <v>3</v>
      </c>
      <c r="F55">
        <v>3</v>
      </c>
      <c r="G55" s="4">
        <v>1.6092845409553601E-4</v>
      </c>
      <c r="H55">
        <v>8.3682796129679101E-3</v>
      </c>
      <c r="I55" t="s">
        <v>13646</v>
      </c>
    </row>
    <row r="56" spans="1:9" x14ac:dyDescent="0.25">
      <c r="A56" s="2" t="s">
        <v>13647</v>
      </c>
      <c r="C56" s="3" t="str">
        <f>HYPERLINK("http://amigo.geneontology.org/amigo/term/GO:0046939","GO:0046939")</f>
        <v>GO:0046939</v>
      </c>
      <c r="D56" t="s">
        <v>1400</v>
      </c>
      <c r="E56">
        <v>11</v>
      </c>
      <c r="F56">
        <v>5</v>
      </c>
      <c r="G56" s="4">
        <v>1.6494060210561101E-4</v>
      </c>
      <c r="H56">
        <v>7.7522082989637097E-3</v>
      </c>
      <c r="I56" t="s">
        <v>13648</v>
      </c>
    </row>
    <row r="57" spans="1:9" x14ac:dyDescent="0.25">
      <c r="A57" s="2" t="s">
        <v>13649</v>
      </c>
      <c r="C57" s="3" t="str">
        <f>HYPERLINK("http://amigo.geneontology.org/amigo/term/GO:0006165","GO:0006165")</f>
        <v>GO:0006165</v>
      </c>
      <c r="D57" t="s">
        <v>1178</v>
      </c>
      <c r="E57">
        <v>11</v>
      </c>
      <c r="F57">
        <v>5</v>
      </c>
      <c r="G57" s="4">
        <v>1.6494060210561101E-4</v>
      </c>
      <c r="H57">
        <v>7.9171489010693204E-3</v>
      </c>
      <c r="I57" t="s">
        <v>13648</v>
      </c>
    </row>
    <row r="58" spans="1:9" x14ac:dyDescent="0.25">
      <c r="A58" s="2" t="s">
        <v>13650</v>
      </c>
      <c r="C58" s="3" t="str">
        <f>HYPERLINK("http://amigo.geneontology.org/amigo/term/GO:0006757","GO:0006757")</f>
        <v>GO:0006757</v>
      </c>
      <c r="D58" t="s">
        <v>13651</v>
      </c>
      <c r="E58">
        <v>11</v>
      </c>
      <c r="F58">
        <v>5</v>
      </c>
      <c r="G58" s="4">
        <v>1.6494060210561101E-4</v>
      </c>
      <c r="H58">
        <v>8.0820895031749398E-3</v>
      </c>
      <c r="I58" t="s">
        <v>13648</v>
      </c>
    </row>
    <row r="59" spans="1:9" x14ac:dyDescent="0.25">
      <c r="A59" s="2" t="s">
        <v>13652</v>
      </c>
      <c r="C59" s="3" t="str">
        <f>HYPERLINK("http://amigo.geneontology.org/amigo/term/GO:0042866","GO:0042866")</f>
        <v>GO:0042866</v>
      </c>
      <c r="D59" t="s">
        <v>13653</v>
      </c>
      <c r="E59">
        <v>11</v>
      </c>
      <c r="F59">
        <v>5</v>
      </c>
      <c r="G59" s="4">
        <v>1.6494060210561101E-4</v>
      </c>
      <c r="H59">
        <v>8.2470301052805506E-3</v>
      </c>
      <c r="I59" t="s">
        <v>13648</v>
      </c>
    </row>
    <row r="60" spans="1:9" x14ac:dyDescent="0.25">
      <c r="A60" s="2" t="s">
        <v>13654</v>
      </c>
      <c r="C60" s="3" t="str">
        <f>HYPERLINK("http://amigo.geneontology.org/amigo/term/GO:0006096","GO:0006096")</f>
        <v>GO:0006096</v>
      </c>
      <c r="D60" t="s">
        <v>13655</v>
      </c>
      <c r="E60">
        <v>11</v>
      </c>
      <c r="F60">
        <v>5</v>
      </c>
      <c r="G60" s="4">
        <v>1.6494060210561101E-4</v>
      </c>
      <c r="H60">
        <v>8.4119707073861596E-3</v>
      </c>
      <c r="I60" t="s">
        <v>13648</v>
      </c>
    </row>
    <row r="61" spans="1:9" x14ac:dyDescent="0.25">
      <c r="A61" s="2" t="s">
        <v>13656</v>
      </c>
      <c r="C61" s="3" t="str">
        <f>HYPERLINK("http://amigo.geneontology.org/amigo/term/GO:0051188","GO:0051188")</f>
        <v>GO:0051188</v>
      </c>
      <c r="D61" t="s">
        <v>13657</v>
      </c>
      <c r="E61">
        <v>85</v>
      </c>
      <c r="F61">
        <v>14</v>
      </c>
      <c r="G61" s="4">
        <v>1.7548518317703801E-4</v>
      </c>
      <c r="H61">
        <v>8.0723184261437507E-3</v>
      </c>
      <c r="I61" t="s">
        <v>13658</v>
      </c>
    </row>
    <row r="62" spans="1:9" x14ac:dyDescent="0.25">
      <c r="A62" s="2" t="s">
        <v>13659</v>
      </c>
      <c r="C62" s="3" t="str">
        <f>HYPERLINK("http://amigo.geneontology.org/amigo/term/GO:0015925","GO:0015925")</f>
        <v>GO:0015925</v>
      </c>
      <c r="D62" t="s">
        <v>847</v>
      </c>
      <c r="E62">
        <v>7</v>
      </c>
      <c r="F62">
        <v>4</v>
      </c>
      <c r="G62" s="4">
        <v>2.6700338206983397E-4</v>
      </c>
      <c r="H62">
        <v>1.1214142046933001E-2</v>
      </c>
      <c r="I62" t="s">
        <v>13660</v>
      </c>
    </row>
    <row r="63" spans="1:9" x14ac:dyDescent="0.25">
      <c r="A63" s="2" t="s">
        <v>13661</v>
      </c>
      <c r="C63" s="3" t="str">
        <f>HYPERLINK("http://amigo.geneontology.org/amigo/term/GO:0019682","GO:0019682")</f>
        <v>GO:0019682</v>
      </c>
      <c r="D63" t="s">
        <v>13662</v>
      </c>
      <c r="E63">
        <v>7</v>
      </c>
      <c r="F63">
        <v>4</v>
      </c>
      <c r="G63" s="4">
        <v>2.6700338206983397E-4</v>
      </c>
      <c r="H63">
        <v>1.1214142046933001E-2</v>
      </c>
      <c r="I63" t="s">
        <v>13663</v>
      </c>
    </row>
    <row r="64" spans="1:9" x14ac:dyDescent="0.25">
      <c r="A64" s="2" t="s">
        <v>13664</v>
      </c>
      <c r="C64" s="3" t="str">
        <f>HYPERLINK("http://amigo.geneontology.org/amigo/term/GO:0051156","GO:0051156")</f>
        <v>GO:0051156</v>
      </c>
      <c r="D64" t="s">
        <v>13665</v>
      </c>
      <c r="E64">
        <v>7</v>
      </c>
      <c r="F64">
        <v>4</v>
      </c>
      <c r="G64" s="4">
        <v>2.6700338206983397E-4</v>
      </c>
      <c r="H64">
        <v>1.14811454290028E-2</v>
      </c>
      <c r="I64" t="s">
        <v>13663</v>
      </c>
    </row>
    <row r="65" spans="1:9" x14ac:dyDescent="0.25">
      <c r="A65" s="2" t="s">
        <v>13666</v>
      </c>
      <c r="C65" s="3" t="str">
        <f>HYPERLINK("http://amigo.geneontology.org/amigo/term/GO:0006098","GO:0006098")</f>
        <v>GO:0006098</v>
      </c>
      <c r="D65" t="s">
        <v>13667</v>
      </c>
      <c r="E65">
        <v>7</v>
      </c>
      <c r="F65">
        <v>4</v>
      </c>
      <c r="G65" s="4">
        <v>2.6700338206983397E-4</v>
      </c>
      <c r="H65">
        <v>1.17481488110726E-2</v>
      </c>
      <c r="I65" t="s">
        <v>13663</v>
      </c>
    </row>
    <row r="66" spans="1:9" x14ac:dyDescent="0.25">
      <c r="A66" s="2" t="s">
        <v>13668</v>
      </c>
      <c r="C66" s="3" t="str">
        <f>HYPERLINK("http://amigo.geneontology.org/amigo/term/GO:0006006","GO:0006006")</f>
        <v>GO:0006006</v>
      </c>
      <c r="D66" t="s">
        <v>13669</v>
      </c>
      <c r="E66">
        <v>7</v>
      </c>
      <c r="F66">
        <v>4</v>
      </c>
      <c r="G66" s="4">
        <v>2.6700338206983397E-4</v>
      </c>
      <c r="H66">
        <v>1.20151521931425E-2</v>
      </c>
      <c r="I66" t="s">
        <v>13670</v>
      </c>
    </row>
    <row r="67" spans="1:9" x14ac:dyDescent="0.25">
      <c r="A67" s="2" t="s">
        <v>13671</v>
      </c>
      <c r="C67" s="3" t="str">
        <f>HYPERLINK("http://amigo.geneontology.org/amigo/term/GO:0006767","GO:0006767")</f>
        <v>GO:0006767</v>
      </c>
      <c r="D67" t="s">
        <v>13672</v>
      </c>
      <c r="E67">
        <v>25</v>
      </c>
      <c r="F67">
        <v>7</v>
      </c>
      <c r="G67" s="4">
        <v>2.7640965066262998E-4</v>
      </c>
      <c r="H67">
        <v>1.1332795677167801E-2</v>
      </c>
      <c r="I67" t="s">
        <v>13673</v>
      </c>
    </row>
    <row r="68" spans="1:9" x14ac:dyDescent="0.25">
      <c r="A68" s="2" t="s">
        <v>13674</v>
      </c>
      <c r="C68" s="3" t="str">
        <f>HYPERLINK("http://amigo.geneontology.org/amigo/term/GO:0008652","GO:0008652")</f>
        <v>GO:0008652</v>
      </c>
      <c r="D68" t="s">
        <v>13675</v>
      </c>
      <c r="E68">
        <v>69</v>
      </c>
      <c r="F68">
        <v>12</v>
      </c>
      <c r="G68" s="4">
        <v>3.0115025815920802E-4</v>
      </c>
      <c r="H68">
        <v>1.20460103263683E-2</v>
      </c>
      <c r="I68" t="s">
        <v>13676</v>
      </c>
    </row>
    <row r="69" spans="1:9" x14ac:dyDescent="0.25">
      <c r="A69" s="2" t="s">
        <v>13677</v>
      </c>
      <c r="C69" s="3" t="str">
        <f>HYPERLINK("http://amigo.geneontology.org/amigo/term/GO:0009144","GO:0009144")</f>
        <v>GO:0009144</v>
      </c>
      <c r="D69" t="s">
        <v>4418</v>
      </c>
      <c r="E69">
        <v>33</v>
      </c>
      <c r="F69">
        <v>8</v>
      </c>
      <c r="G69" s="4">
        <v>3.0135756597972899E-4</v>
      </c>
      <c r="H69">
        <v>1.1752945073209399E-2</v>
      </c>
      <c r="I69" t="s">
        <v>13643</v>
      </c>
    </row>
    <row r="70" spans="1:9" x14ac:dyDescent="0.25">
      <c r="A70" s="2" t="s">
        <v>13678</v>
      </c>
      <c r="C70" s="3" t="str">
        <f>HYPERLINK("http://amigo.geneontology.org/amigo/term/GO:0009205","GO:0009205")</f>
        <v>GO:0009205</v>
      </c>
      <c r="D70" t="s">
        <v>4419</v>
      </c>
      <c r="E70">
        <v>33</v>
      </c>
      <c r="F70">
        <v>8</v>
      </c>
      <c r="G70" s="4">
        <v>3.0135756597972899E-4</v>
      </c>
      <c r="H70">
        <v>1.1752945073209399E-2</v>
      </c>
      <c r="I70" t="s">
        <v>13643</v>
      </c>
    </row>
    <row r="71" spans="1:9" x14ac:dyDescent="0.25">
      <c r="A71" s="2" t="s">
        <v>13679</v>
      </c>
      <c r="C71" s="3" t="str">
        <f>HYPERLINK("http://amigo.geneontology.org/amigo/term/GO:0016830","GO:0016830")</f>
        <v>GO:0016830</v>
      </c>
      <c r="D71" t="s">
        <v>411</v>
      </c>
      <c r="E71">
        <v>42</v>
      </c>
      <c r="F71">
        <v>9</v>
      </c>
      <c r="G71" s="4">
        <v>3.45644014015505E-4</v>
      </c>
      <c r="H71">
        <v>1.31344725325892E-2</v>
      </c>
      <c r="I71" t="s">
        <v>13680</v>
      </c>
    </row>
    <row r="72" spans="1:9" x14ac:dyDescent="0.25">
      <c r="A72" s="2" t="s">
        <v>13681</v>
      </c>
      <c r="C72" s="3" t="str">
        <f>HYPERLINK("http://amigo.geneontology.org/amigo/term/GO:0006766","GO:0006766")</f>
        <v>GO:0006766</v>
      </c>
      <c r="D72" t="s">
        <v>13682</v>
      </c>
      <c r="E72">
        <v>26</v>
      </c>
      <c r="F72">
        <v>7</v>
      </c>
      <c r="G72" s="4">
        <v>3.6075886558854998E-4</v>
      </c>
      <c r="H72">
        <v>1.3708836892364899E-2</v>
      </c>
      <c r="I72" t="s">
        <v>13673</v>
      </c>
    </row>
    <row r="73" spans="1:9" x14ac:dyDescent="0.25">
      <c r="A73" s="2" t="s">
        <v>13683</v>
      </c>
      <c r="C73" s="3" t="str">
        <f>HYPERLINK("http://amigo.geneontology.org/amigo/term/GO:0044238","GO:0044238")</f>
        <v>GO:0044238</v>
      </c>
      <c r="D73" t="s">
        <v>612</v>
      </c>
      <c r="E73">
        <v>1667</v>
      </c>
      <c r="F73">
        <v>119</v>
      </c>
      <c r="G73" s="4">
        <v>3.7520039452967901E-4</v>
      </c>
      <c r="H73">
        <v>1.38824145975981E-2</v>
      </c>
      <c r="I73" t="s">
        <v>13684</v>
      </c>
    </row>
    <row r="74" spans="1:9" x14ac:dyDescent="0.25">
      <c r="A74" s="2" t="s">
        <v>13685</v>
      </c>
      <c r="C74" s="3" t="str">
        <f>HYPERLINK("http://amigo.geneontology.org/amigo/term/GO:0009199","GO:0009199")</f>
        <v>GO:0009199</v>
      </c>
      <c r="D74" t="s">
        <v>4464</v>
      </c>
      <c r="E74">
        <v>34</v>
      </c>
      <c r="F74">
        <v>8</v>
      </c>
      <c r="G74" s="4">
        <v>3.75647187565201E-4</v>
      </c>
      <c r="H74">
        <v>1.35232987523472E-2</v>
      </c>
      <c r="I74" t="s">
        <v>13643</v>
      </c>
    </row>
    <row r="75" spans="1:9" x14ac:dyDescent="0.25">
      <c r="A75" s="2" t="s">
        <v>13686</v>
      </c>
      <c r="C75" s="3" t="str">
        <f>HYPERLINK("http://amigo.geneontology.org/amigo/term/GO:0009126","GO:0009126")</f>
        <v>GO:0009126</v>
      </c>
      <c r="D75" t="s">
        <v>13687</v>
      </c>
      <c r="E75">
        <v>43</v>
      </c>
      <c r="F75">
        <v>9</v>
      </c>
      <c r="G75" s="4">
        <v>4.1650457926890801E-4</v>
      </c>
      <c r="H75">
        <v>1.45776602744118E-2</v>
      </c>
      <c r="I75" t="s">
        <v>13688</v>
      </c>
    </row>
    <row r="76" spans="1:9" x14ac:dyDescent="0.25">
      <c r="A76" s="2" t="s">
        <v>13689</v>
      </c>
      <c r="C76" s="3" t="str">
        <f>HYPERLINK("http://amigo.geneontology.org/amigo/term/GO:0009167","GO:0009167")</f>
        <v>GO:0009167</v>
      </c>
      <c r="D76" t="s">
        <v>13358</v>
      </c>
      <c r="E76">
        <v>43</v>
      </c>
      <c r="F76">
        <v>9</v>
      </c>
      <c r="G76" s="4">
        <v>4.1650457926890801E-4</v>
      </c>
      <c r="H76">
        <v>1.49941648536807E-2</v>
      </c>
      <c r="I76" t="s">
        <v>13688</v>
      </c>
    </row>
    <row r="77" spans="1:9" x14ac:dyDescent="0.25">
      <c r="A77" s="2" t="s">
        <v>13690</v>
      </c>
      <c r="C77" s="3" t="str">
        <f>HYPERLINK("http://amigo.geneontology.org/amigo/term/GO:0009135","GO:0009135")</f>
        <v>GO:0009135</v>
      </c>
      <c r="D77" t="s">
        <v>13691</v>
      </c>
      <c r="E77">
        <v>13</v>
      </c>
      <c r="F77">
        <v>5</v>
      </c>
      <c r="G77" s="4">
        <v>4.1951525166610199E-4</v>
      </c>
      <c r="H77">
        <v>1.3844003304981299E-2</v>
      </c>
      <c r="I77" t="s">
        <v>13648</v>
      </c>
    </row>
    <row r="78" spans="1:9" x14ac:dyDescent="0.25">
      <c r="A78" s="2" t="s">
        <v>13692</v>
      </c>
      <c r="C78" s="3" t="str">
        <f>HYPERLINK("http://amigo.geneontology.org/amigo/term/GO:0009185","GO:0009185")</f>
        <v>GO:0009185</v>
      </c>
      <c r="D78" t="s">
        <v>13693</v>
      </c>
      <c r="E78">
        <v>13</v>
      </c>
      <c r="F78">
        <v>5</v>
      </c>
      <c r="G78" s="4">
        <v>4.1951525166610199E-4</v>
      </c>
      <c r="H78">
        <v>1.4263518556647399E-2</v>
      </c>
      <c r="I78" t="s">
        <v>13648</v>
      </c>
    </row>
    <row r="79" spans="1:9" x14ac:dyDescent="0.25">
      <c r="A79" s="2" t="s">
        <v>13694</v>
      </c>
      <c r="C79" s="3" t="str">
        <f>HYPERLINK("http://amigo.geneontology.org/amigo/term/GO:0009179","GO:0009179")</f>
        <v>GO:0009179</v>
      </c>
      <c r="D79" t="s">
        <v>13695</v>
      </c>
      <c r="E79">
        <v>13</v>
      </c>
      <c r="F79">
        <v>5</v>
      </c>
      <c r="G79" s="4">
        <v>4.1951525166610199E-4</v>
      </c>
      <c r="H79">
        <v>1.4263518556647399E-2</v>
      </c>
      <c r="I79" t="s">
        <v>13648</v>
      </c>
    </row>
    <row r="80" spans="1:9" x14ac:dyDescent="0.25">
      <c r="A80" s="2" t="s">
        <v>13696</v>
      </c>
      <c r="C80" s="3" t="str">
        <f>HYPERLINK("http://amigo.geneontology.org/amigo/term/GO:0046031","GO:0046031")</f>
        <v>GO:0046031</v>
      </c>
      <c r="D80" t="s">
        <v>13697</v>
      </c>
      <c r="E80">
        <v>13</v>
      </c>
      <c r="F80">
        <v>5</v>
      </c>
      <c r="G80" s="4">
        <v>4.1951525166610199E-4</v>
      </c>
      <c r="H80">
        <v>1.4683033808313499E-2</v>
      </c>
      <c r="I80" t="s">
        <v>13648</v>
      </c>
    </row>
    <row r="81" spans="1:9" x14ac:dyDescent="0.25">
      <c r="A81" s="2" t="s">
        <v>13698</v>
      </c>
      <c r="C81" s="3" t="str">
        <f>HYPERLINK("http://amigo.geneontology.org/amigo/term/GO:0009056","GO:0009056")</f>
        <v>GO:0009056</v>
      </c>
      <c r="D81" t="s">
        <v>5309</v>
      </c>
      <c r="E81">
        <v>236</v>
      </c>
      <c r="F81">
        <v>26</v>
      </c>
      <c r="G81" s="4">
        <v>4.3844293723714899E-4</v>
      </c>
      <c r="H81">
        <v>1.44686169288259E-2</v>
      </c>
      <c r="I81" t="s">
        <v>13699</v>
      </c>
    </row>
    <row r="82" spans="1:9" x14ac:dyDescent="0.25">
      <c r="A82" s="2" t="s">
        <v>13700</v>
      </c>
      <c r="C82" s="3" t="str">
        <f>HYPERLINK("http://amigo.geneontology.org/amigo/term/GO:0016853","GO:0016853")</f>
        <v>GO:0016853</v>
      </c>
      <c r="D82" t="s">
        <v>13701</v>
      </c>
      <c r="E82">
        <v>62</v>
      </c>
      <c r="F82">
        <v>11</v>
      </c>
      <c r="G82" s="4">
        <v>4.47687960912617E-4</v>
      </c>
      <c r="H82">
        <v>1.4326014749203701E-2</v>
      </c>
      <c r="I82" t="s">
        <v>13702</v>
      </c>
    </row>
    <row r="83" spans="1:9" x14ac:dyDescent="0.25">
      <c r="A83" s="2" t="s">
        <v>13703</v>
      </c>
      <c r="C83" s="3" t="str">
        <f>HYPERLINK("http://amigo.geneontology.org/amigo/term/GO:0009150","GO:0009150")</f>
        <v>GO:0009150</v>
      </c>
      <c r="D83" t="s">
        <v>13704</v>
      </c>
      <c r="E83">
        <v>62</v>
      </c>
      <c r="F83">
        <v>11</v>
      </c>
      <c r="G83" s="4">
        <v>4.47687960912617E-4</v>
      </c>
      <c r="H83">
        <v>1.4326014749203701E-2</v>
      </c>
      <c r="I83" t="s">
        <v>13705</v>
      </c>
    </row>
    <row r="84" spans="1:9" x14ac:dyDescent="0.25">
      <c r="A84" s="2" t="s">
        <v>13706</v>
      </c>
      <c r="C84" s="3" t="str">
        <f>HYPERLINK("http://amigo.geneontology.org/amigo/term/GO:0006739","GO:0006739")</f>
        <v>GO:0006739</v>
      </c>
      <c r="D84" t="s">
        <v>13707</v>
      </c>
      <c r="E84">
        <v>8</v>
      </c>
      <c r="F84">
        <v>4</v>
      </c>
      <c r="G84" s="4">
        <v>5.1107999891206505E-4</v>
      </c>
      <c r="H84">
        <v>1.5843479966273999E-2</v>
      </c>
      <c r="I84" t="s">
        <v>13663</v>
      </c>
    </row>
    <row r="85" spans="1:9" x14ac:dyDescent="0.25">
      <c r="A85" s="2" t="s">
        <v>13708</v>
      </c>
      <c r="C85" s="3" t="str">
        <f>HYPERLINK("http://amigo.geneontology.org/amigo/term/GO:0072521","GO:0072521")</f>
        <v>GO:0072521</v>
      </c>
      <c r="D85" t="s">
        <v>13709</v>
      </c>
      <c r="E85">
        <v>73</v>
      </c>
      <c r="F85">
        <v>12</v>
      </c>
      <c r="G85" s="4">
        <v>5.1580053606202795E-4</v>
      </c>
      <c r="H85">
        <v>1.59898166179228E-2</v>
      </c>
      <c r="I85" t="s">
        <v>13710</v>
      </c>
    </row>
    <row r="86" spans="1:9" x14ac:dyDescent="0.25">
      <c r="A86" s="2" t="s">
        <v>13711</v>
      </c>
      <c r="C86" s="3" t="str">
        <f>HYPERLINK("http://amigo.geneontology.org/amigo/term/GO:0006163","GO:0006163")</f>
        <v>GO:0006163</v>
      </c>
      <c r="D86" t="s">
        <v>13712</v>
      </c>
      <c r="E86">
        <v>63</v>
      </c>
      <c r="F86">
        <v>11</v>
      </c>
      <c r="G86" s="4">
        <v>5.1646517465356702E-4</v>
      </c>
      <c r="H86">
        <v>1.5493955239606999E-2</v>
      </c>
      <c r="I86" t="s">
        <v>13705</v>
      </c>
    </row>
    <row r="87" spans="1:9" x14ac:dyDescent="0.25">
      <c r="A87" s="2" t="s">
        <v>13713</v>
      </c>
      <c r="C87" s="3" t="str">
        <f>HYPERLINK("http://amigo.geneontology.org/amigo/term/GO:0009259","GO:0009259")</f>
        <v>GO:0009259</v>
      </c>
      <c r="D87" t="s">
        <v>13714</v>
      </c>
      <c r="E87">
        <v>63</v>
      </c>
      <c r="F87">
        <v>11</v>
      </c>
      <c r="G87" s="4">
        <v>5.1646517465356702E-4</v>
      </c>
      <c r="H87">
        <v>1.5493955239606999E-2</v>
      </c>
      <c r="I87" t="s">
        <v>13705</v>
      </c>
    </row>
    <row r="88" spans="1:9" x14ac:dyDescent="0.25">
      <c r="A88" s="2" t="s">
        <v>13715</v>
      </c>
      <c r="C88" s="3" t="str">
        <f>HYPERLINK("http://amigo.geneontology.org/amigo/term/GO:0009141","GO:0009141")</f>
        <v>GO:0009141</v>
      </c>
      <c r="D88" t="s">
        <v>4482</v>
      </c>
      <c r="E88">
        <v>36</v>
      </c>
      <c r="F88">
        <v>8</v>
      </c>
      <c r="G88" s="4">
        <v>5.6892501460782598E-4</v>
      </c>
      <c r="H88">
        <v>1.7067750438234799E-2</v>
      </c>
      <c r="I88" t="s">
        <v>13643</v>
      </c>
    </row>
    <row r="89" spans="1:9" x14ac:dyDescent="0.25">
      <c r="A89" s="2" t="s">
        <v>13716</v>
      </c>
      <c r="C89" s="3" t="str">
        <f>HYPERLINK("http://amigo.geneontology.org/amigo/term/GO:0009108","GO:0009108")</f>
        <v>GO:0009108</v>
      </c>
      <c r="D89" t="s">
        <v>13717</v>
      </c>
      <c r="E89">
        <v>64</v>
      </c>
      <c r="F89">
        <v>11</v>
      </c>
      <c r="G89" s="4">
        <v>5.9385712918979205E-4</v>
      </c>
      <c r="H89">
        <v>1.7221856746503901E-2</v>
      </c>
      <c r="I89" t="s">
        <v>13718</v>
      </c>
    </row>
    <row r="90" spans="1:9" x14ac:dyDescent="0.25">
      <c r="A90" s="2" t="s">
        <v>13719</v>
      </c>
      <c r="C90" s="3" t="str">
        <f>HYPERLINK("http://amigo.geneontology.org/amigo/term/GO:0009161","GO:0009161")</f>
        <v>GO:0009161</v>
      </c>
      <c r="D90" t="s">
        <v>13720</v>
      </c>
      <c r="E90">
        <v>45</v>
      </c>
      <c r="F90">
        <v>9</v>
      </c>
      <c r="G90" s="4">
        <v>5.9422564547372198E-4</v>
      </c>
      <c r="H90">
        <v>1.7232543718737899E-2</v>
      </c>
      <c r="I90" t="s">
        <v>13688</v>
      </c>
    </row>
    <row r="91" spans="1:9" x14ac:dyDescent="0.25">
      <c r="A91" s="2" t="s">
        <v>13721</v>
      </c>
      <c r="C91" s="3" t="str">
        <f>HYPERLINK("http://amigo.geneontology.org/amigo/term/GO:0006573","GO:0006573")</f>
        <v>GO:0006573</v>
      </c>
      <c r="D91" t="s">
        <v>13722</v>
      </c>
      <c r="E91">
        <v>4</v>
      </c>
      <c r="F91">
        <v>3</v>
      </c>
      <c r="G91" s="4">
        <v>6.1759506092735797E-4</v>
      </c>
      <c r="H91">
        <v>1.6675066645038601E-2</v>
      </c>
      <c r="I91" t="s">
        <v>13723</v>
      </c>
    </row>
    <row r="92" spans="1:9" x14ac:dyDescent="0.25">
      <c r="A92" s="2" t="s">
        <v>13724</v>
      </c>
      <c r="C92" s="3" t="str">
        <f>HYPERLINK("http://amigo.geneontology.org/amigo/term/GO:0042724","GO:0042724")</f>
        <v>GO:0042724</v>
      </c>
      <c r="D92" t="s">
        <v>13725</v>
      </c>
      <c r="E92">
        <v>4</v>
      </c>
      <c r="F92">
        <v>3</v>
      </c>
      <c r="G92" s="4">
        <v>6.1759506092735797E-4</v>
      </c>
      <c r="H92">
        <v>1.7292661705965998E-2</v>
      </c>
      <c r="I92" t="s">
        <v>13726</v>
      </c>
    </row>
    <row r="93" spans="1:9" x14ac:dyDescent="0.25">
      <c r="A93" s="2" t="s">
        <v>13727</v>
      </c>
      <c r="C93" s="3" t="str">
        <f>HYPERLINK("http://amigo.geneontology.org/amigo/term/GO:0009228","GO:0009228")</f>
        <v>GO:0009228</v>
      </c>
      <c r="D93" t="s">
        <v>13728</v>
      </c>
      <c r="E93">
        <v>4</v>
      </c>
      <c r="F93">
        <v>3</v>
      </c>
      <c r="G93" s="4">
        <v>6.1759506092735797E-4</v>
      </c>
      <c r="H93">
        <v>1.7292661705965998E-2</v>
      </c>
      <c r="I93" t="s">
        <v>13726</v>
      </c>
    </row>
    <row r="94" spans="1:9" x14ac:dyDescent="0.25">
      <c r="A94" s="2" t="s">
        <v>13729</v>
      </c>
      <c r="C94" s="3" t="str">
        <f>HYPERLINK("http://amigo.geneontology.org/amigo/term/GO:0009098","GO:0009098")</f>
        <v>GO:0009098</v>
      </c>
      <c r="D94" t="s">
        <v>13730</v>
      </c>
      <c r="E94">
        <v>4</v>
      </c>
      <c r="F94">
        <v>3</v>
      </c>
      <c r="G94" s="4">
        <v>6.1759506092735797E-4</v>
      </c>
      <c r="H94">
        <v>1.7292661705965998E-2</v>
      </c>
      <c r="I94" t="s">
        <v>13731</v>
      </c>
    </row>
    <row r="95" spans="1:9" x14ac:dyDescent="0.25">
      <c r="A95" s="2" t="s">
        <v>13732</v>
      </c>
      <c r="C95" s="3" t="str">
        <f>HYPERLINK("http://amigo.geneontology.org/amigo/term/GO:0016052","GO:0016052")</f>
        <v>GO:0016052</v>
      </c>
      <c r="D95" t="s">
        <v>445</v>
      </c>
      <c r="E95">
        <v>55</v>
      </c>
      <c r="F95">
        <v>10</v>
      </c>
      <c r="G95" s="4">
        <v>6.6230528128019203E-4</v>
      </c>
      <c r="H95">
        <v>1.7882242594565102E-2</v>
      </c>
      <c r="I95" t="s">
        <v>13733</v>
      </c>
    </row>
    <row r="96" spans="1:9" x14ac:dyDescent="0.25">
      <c r="A96" s="2" t="s">
        <v>13734</v>
      </c>
      <c r="C96" s="3" t="str">
        <f>HYPERLINK("http://amigo.geneontology.org/amigo/term/GO:0042364","GO:0042364")</f>
        <v>GO:0042364</v>
      </c>
      <c r="D96" t="s">
        <v>13735</v>
      </c>
      <c r="E96">
        <v>21</v>
      </c>
      <c r="F96">
        <v>6</v>
      </c>
      <c r="G96" s="4">
        <v>6.7993839007610504E-4</v>
      </c>
      <c r="H96">
        <v>1.7678398141978701E-2</v>
      </c>
      <c r="I96" t="s">
        <v>13736</v>
      </c>
    </row>
    <row r="97" spans="1:9" x14ac:dyDescent="0.25">
      <c r="A97" s="2" t="s">
        <v>13737</v>
      </c>
      <c r="C97" s="3" t="str">
        <f>HYPERLINK("http://amigo.geneontology.org/amigo/term/GO:0006754","GO:0006754")</f>
        <v>GO:0006754</v>
      </c>
      <c r="D97" t="s">
        <v>4462</v>
      </c>
      <c r="E97">
        <v>21</v>
      </c>
      <c r="F97">
        <v>6</v>
      </c>
      <c r="G97" s="4">
        <v>6.7993839007610504E-4</v>
      </c>
      <c r="H97">
        <v>1.8358336532054799E-2</v>
      </c>
      <c r="I97" t="s">
        <v>13738</v>
      </c>
    </row>
    <row r="98" spans="1:9" x14ac:dyDescent="0.25">
      <c r="A98" s="2" t="s">
        <v>13739</v>
      </c>
      <c r="C98" s="3" t="str">
        <f>HYPERLINK("http://amigo.geneontology.org/amigo/term/GO:0030246","GO:0030246")</f>
        <v>GO:0030246</v>
      </c>
      <c r="D98" t="s">
        <v>6959</v>
      </c>
      <c r="E98">
        <v>47</v>
      </c>
      <c r="F98">
        <v>9</v>
      </c>
      <c r="G98" s="4">
        <v>8.2967043945154895E-4</v>
      </c>
      <c r="H98">
        <v>2.1571431425740199E-2</v>
      </c>
      <c r="I98" t="s">
        <v>13740</v>
      </c>
    </row>
    <row r="99" spans="1:9" x14ac:dyDescent="0.25">
      <c r="A99" s="2" t="s">
        <v>13741</v>
      </c>
      <c r="C99" s="3" t="str">
        <f>HYPERLINK("http://amigo.geneontology.org/amigo/term/GO:0009123","GO:0009123")</f>
        <v>GO:0009123</v>
      </c>
      <c r="D99" t="s">
        <v>13742</v>
      </c>
      <c r="E99">
        <v>47</v>
      </c>
      <c r="F99">
        <v>9</v>
      </c>
      <c r="G99" s="4">
        <v>8.2967043945154895E-4</v>
      </c>
      <c r="H99">
        <v>2.1571431425740199E-2</v>
      </c>
      <c r="I99" t="s">
        <v>13688</v>
      </c>
    </row>
    <row r="100" spans="1:9" x14ac:dyDescent="0.25">
      <c r="A100" s="2" t="s">
        <v>13743</v>
      </c>
      <c r="C100" s="3" t="str">
        <f>HYPERLINK("http://amigo.geneontology.org/amigo/term/GO:0009110","GO:0009110")</f>
        <v>GO:0009110</v>
      </c>
      <c r="D100" t="s">
        <v>13744</v>
      </c>
      <c r="E100">
        <v>22</v>
      </c>
      <c r="F100">
        <v>6</v>
      </c>
      <c r="G100" s="4">
        <v>8.9252047622152895E-4</v>
      </c>
      <c r="H100">
        <v>2.2313011905538201E-2</v>
      </c>
      <c r="I100" t="s">
        <v>13736</v>
      </c>
    </row>
    <row r="101" spans="1:9" x14ac:dyDescent="0.25">
      <c r="A101" s="2" t="s">
        <v>13745</v>
      </c>
      <c r="C101" s="3" t="str">
        <f>HYPERLINK("http://amigo.geneontology.org/amigo/term/GO:0009145","GO:0009145")</f>
        <v>GO:0009145</v>
      </c>
      <c r="D101" t="s">
        <v>1359</v>
      </c>
      <c r="E101">
        <v>22</v>
      </c>
      <c r="F101">
        <v>6</v>
      </c>
      <c r="G101" s="4">
        <v>8.9252047622152895E-4</v>
      </c>
      <c r="H101">
        <v>2.2313011905538201E-2</v>
      </c>
      <c r="I101" t="s">
        <v>13738</v>
      </c>
    </row>
    <row r="102" spans="1:9" x14ac:dyDescent="0.25">
      <c r="A102" s="2" t="s">
        <v>13746</v>
      </c>
      <c r="C102" s="3" t="str">
        <f>HYPERLINK("http://amigo.geneontology.org/amigo/term/GO:0009206","GO:0009206")</f>
        <v>GO:0009206</v>
      </c>
      <c r="D102" t="s">
        <v>1362</v>
      </c>
      <c r="E102">
        <v>22</v>
      </c>
      <c r="F102">
        <v>6</v>
      </c>
      <c r="G102" s="4">
        <v>8.9252047622152895E-4</v>
      </c>
      <c r="H102">
        <v>2.3205532381759701E-2</v>
      </c>
      <c r="I102" t="s">
        <v>13738</v>
      </c>
    </row>
    <row r="103" spans="1:9" x14ac:dyDescent="0.25">
      <c r="A103" s="2" t="s">
        <v>13747</v>
      </c>
      <c r="C103" s="3" t="str">
        <f>HYPERLINK("http://amigo.geneontology.org/amigo/term/GO:0009132","GO:0009132")</f>
        <v>GO:0009132</v>
      </c>
      <c r="D103" t="s">
        <v>1228</v>
      </c>
      <c r="E103">
        <v>15</v>
      </c>
      <c r="F103">
        <v>5</v>
      </c>
      <c r="G103" s="4">
        <v>8.93952719214655E-4</v>
      </c>
      <c r="H103">
        <v>2.1454865261151701E-2</v>
      </c>
      <c r="I103" t="s">
        <v>13648</v>
      </c>
    </row>
    <row r="104" spans="1:9" x14ac:dyDescent="0.25">
      <c r="A104" s="2" t="s">
        <v>13748</v>
      </c>
      <c r="C104" s="3" t="str">
        <f>HYPERLINK("http://amigo.geneontology.org/amigo/term/GO:0009166","GO:0009166")</f>
        <v>GO:0009166</v>
      </c>
      <c r="D104" t="s">
        <v>13749</v>
      </c>
      <c r="E104">
        <v>15</v>
      </c>
      <c r="F104">
        <v>5</v>
      </c>
      <c r="G104" s="4">
        <v>8.93952719214655E-4</v>
      </c>
      <c r="H104">
        <v>2.2348817980366299E-2</v>
      </c>
      <c r="I104" t="s">
        <v>13648</v>
      </c>
    </row>
    <row r="105" spans="1:9" x14ac:dyDescent="0.25">
      <c r="A105" s="2" t="s">
        <v>13750</v>
      </c>
      <c r="C105" s="3" t="str">
        <f>HYPERLINK("http://amigo.geneontology.org/amigo/term/GO:0016831","GO:0016831")</f>
        <v>GO:0016831</v>
      </c>
      <c r="D105" t="s">
        <v>296</v>
      </c>
      <c r="E105">
        <v>30</v>
      </c>
      <c r="F105">
        <v>7</v>
      </c>
      <c r="G105" s="4">
        <v>9.2427811874036699E-4</v>
      </c>
      <c r="H105">
        <v>2.21826748497688E-2</v>
      </c>
      <c r="I105" t="s">
        <v>13751</v>
      </c>
    </row>
    <row r="106" spans="1:9" x14ac:dyDescent="0.25">
      <c r="A106" s="2" t="s">
        <v>13752</v>
      </c>
      <c r="C106" s="3" t="str">
        <f>HYPERLINK("http://amigo.geneontology.org/amigo/term/GO:0016491","GO:0016491")</f>
        <v>GO:0016491</v>
      </c>
      <c r="D106" t="s">
        <v>315</v>
      </c>
      <c r="E106">
        <v>904</v>
      </c>
      <c r="F106">
        <v>70</v>
      </c>
      <c r="G106">
        <v>1.10839836093988E-3</v>
      </c>
      <c r="H106">
        <v>2.66015606625572E-2</v>
      </c>
      <c r="I106" t="s">
        <v>13753</v>
      </c>
    </row>
    <row r="107" spans="1:9" x14ac:dyDescent="0.25">
      <c r="A107" s="2" t="s">
        <v>13754</v>
      </c>
      <c r="C107" s="3" t="str">
        <f>HYPERLINK("http://amigo.geneontology.org/amigo/term/GO:0019637","GO:0019637")</f>
        <v>GO:0019637</v>
      </c>
      <c r="D107" t="s">
        <v>1397</v>
      </c>
      <c r="E107">
        <v>161</v>
      </c>
      <c r="F107">
        <v>19</v>
      </c>
      <c r="G107">
        <v>1.13458541863705E-3</v>
      </c>
      <c r="H107">
        <v>2.72300500472893E-2</v>
      </c>
      <c r="I107" t="s">
        <v>13755</v>
      </c>
    </row>
    <row r="108" spans="1:9" x14ac:dyDescent="0.25">
      <c r="A108" s="2" t="s">
        <v>13756</v>
      </c>
      <c r="C108" s="3" t="str">
        <f>HYPERLINK("http://amigo.geneontology.org/amigo/term/GO:0072522","GO:0072522")</f>
        <v>GO:0072522</v>
      </c>
      <c r="D108" t="s">
        <v>13757</v>
      </c>
      <c r="E108">
        <v>49</v>
      </c>
      <c r="F108">
        <v>9</v>
      </c>
      <c r="G108">
        <v>1.13592607955394E-3</v>
      </c>
      <c r="H108">
        <v>2.6126299829740698E-2</v>
      </c>
      <c r="I108" t="s">
        <v>13758</v>
      </c>
    </row>
    <row r="109" spans="1:9" x14ac:dyDescent="0.25">
      <c r="A109" s="2" t="s">
        <v>13759</v>
      </c>
      <c r="C109" s="3" t="str">
        <f>HYPERLINK("http://amigo.geneontology.org/amigo/term/GO:0009142","GO:0009142")</f>
        <v>GO:0009142</v>
      </c>
      <c r="D109" t="s">
        <v>1513</v>
      </c>
      <c r="E109">
        <v>23</v>
      </c>
      <c r="F109">
        <v>6</v>
      </c>
      <c r="G109">
        <v>1.15282776950877E-3</v>
      </c>
      <c r="H109">
        <v>2.6515038698701799E-2</v>
      </c>
      <c r="I109" t="s">
        <v>13738</v>
      </c>
    </row>
    <row r="110" spans="1:9" x14ac:dyDescent="0.25">
      <c r="A110" s="2" t="s">
        <v>13760</v>
      </c>
      <c r="C110" s="3" t="str">
        <f>HYPERLINK("http://amigo.geneontology.org/amigo/term/GO:0009201","GO:0009201")</f>
        <v>GO:0009201</v>
      </c>
      <c r="D110" t="s">
        <v>1515</v>
      </c>
      <c r="E110">
        <v>23</v>
      </c>
      <c r="F110">
        <v>6</v>
      </c>
      <c r="G110">
        <v>1.15282776950877E-3</v>
      </c>
      <c r="H110">
        <v>2.6515038698701799E-2</v>
      </c>
      <c r="I110" t="s">
        <v>13738</v>
      </c>
    </row>
    <row r="111" spans="1:9" x14ac:dyDescent="0.25">
      <c r="A111" s="2" t="s">
        <v>13761</v>
      </c>
      <c r="C111" s="3" t="str">
        <f>HYPERLINK("http://amigo.geneontology.org/amigo/term/GO:1901607","GO:1901607")</f>
        <v>GO:1901607</v>
      </c>
      <c r="D111" t="s">
        <v>13762</v>
      </c>
      <c r="E111">
        <v>59</v>
      </c>
      <c r="F111">
        <v>10</v>
      </c>
      <c r="G111">
        <v>1.1713871871066801E-3</v>
      </c>
      <c r="H111">
        <v>2.6941905303453799E-2</v>
      </c>
      <c r="I111" t="s">
        <v>13763</v>
      </c>
    </row>
    <row r="112" spans="1:9" x14ac:dyDescent="0.25">
      <c r="A112" s="2" t="s">
        <v>13764</v>
      </c>
      <c r="C112" s="3" t="str">
        <f>HYPERLINK("http://amigo.geneontology.org/amigo/term/GO:0016903","GO:0016903")</f>
        <v>GO:0016903</v>
      </c>
      <c r="D112" t="s">
        <v>992</v>
      </c>
      <c r="E112">
        <v>40</v>
      </c>
      <c r="F112">
        <v>8</v>
      </c>
      <c r="G112">
        <v>1.1944147282548299E-3</v>
      </c>
      <c r="H112">
        <v>2.6277124021606299E-2</v>
      </c>
      <c r="I112" t="s">
        <v>13765</v>
      </c>
    </row>
    <row r="113" spans="1:9" x14ac:dyDescent="0.25">
      <c r="A113" s="2" t="s">
        <v>13766</v>
      </c>
      <c r="C113" s="3" t="str">
        <f>HYPERLINK("http://amigo.geneontology.org/amigo/term/GO:0006090","GO:0006090")</f>
        <v>GO:0006090</v>
      </c>
      <c r="D113" t="s">
        <v>13767</v>
      </c>
      <c r="E113">
        <v>16</v>
      </c>
      <c r="F113">
        <v>5</v>
      </c>
      <c r="G113">
        <v>1.2427319646949599E-3</v>
      </c>
      <c r="H113">
        <v>2.73401032232891E-2</v>
      </c>
      <c r="I113" t="s">
        <v>13648</v>
      </c>
    </row>
    <row r="114" spans="1:9" x14ac:dyDescent="0.25">
      <c r="A114" s="2" t="s">
        <v>13768</v>
      </c>
      <c r="C114" s="3" t="str">
        <f>HYPERLINK("http://amigo.geneontology.org/amigo/term/GO:0003995","GO:0003995")</f>
        <v>GO:0003995</v>
      </c>
      <c r="D114" t="s">
        <v>13769</v>
      </c>
      <c r="E114">
        <v>10</v>
      </c>
      <c r="F114">
        <v>4</v>
      </c>
      <c r="G114">
        <v>1.40475662314195E-3</v>
      </c>
      <c r="H114">
        <v>3.0904645709123001E-2</v>
      </c>
      <c r="I114" t="s">
        <v>13770</v>
      </c>
    </row>
    <row r="115" spans="1:9" x14ac:dyDescent="0.25">
      <c r="A115" s="2" t="s">
        <v>13771</v>
      </c>
      <c r="C115" s="3" t="str">
        <f>HYPERLINK("http://amigo.geneontology.org/amigo/term/GO:0016627","GO:0016627")</f>
        <v>GO:0016627</v>
      </c>
      <c r="D115" t="s">
        <v>8784</v>
      </c>
      <c r="E115">
        <v>41</v>
      </c>
      <c r="F115">
        <v>8</v>
      </c>
      <c r="G115">
        <v>1.4148695199219701E-3</v>
      </c>
      <c r="H115">
        <v>3.1127129438283399E-2</v>
      </c>
      <c r="I115" t="s">
        <v>13772</v>
      </c>
    </row>
    <row r="116" spans="1:9" x14ac:dyDescent="0.25">
      <c r="A116" s="2" t="s">
        <v>13773</v>
      </c>
      <c r="C116" s="3" t="str">
        <f>HYPERLINK("http://amigo.geneontology.org/amigo/term/GO:0034404","GO:0034404")</f>
        <v>GO:0034404</v>
      </c>
      <c r="D116" t="s">
        <v>13774</v>
      </c>
      <c r="E116">
        <v>24</v>
      </c>
      <c r="F116">
        <v>6</v>
      </c>
      <c r="G116">
        <v>1.46754733301969E-3</v>
      </c>
      <c r="H116">
        <v>3.2286041326433298E-2</v>
      </c>
      <c r="I116" t="s">
        <v>13775</v>
      </c>
    </row>
    <row r="117" spans="1:9" x14ac:dyDescent="0.25">
      <c r="A117" s="2" t="s">
        <v>13776</v>
      </c>
      <c r="C117" s="3" t="str">
        <f>HYPERLINK("http://amigo.geneontology.org/amigo/term/GO:0016744","GO:0016744")</f>
        <v>GO:0016744</v>
      </c>
      <c r="D117" t="s">
        <v>13777</v>
      </c>
      <c r="E117">
        <v>5</v>
      </c>
      <c r="F117">
        <v>3</v>
      </c>
      <c r="G117">
        <v>1.48150915961664E-3</v>
      </c>
      <c r="H117">
        <v>2.9630183192332901E-2</v>
      </c>
      <c r="I117" t="s">
        <v>13778</v>
      </c>
    </row>
    <row r="118" spans="1:9" x14ac:dyDescent="0.25">
      <c r="A118" s="2" t="s">
        <v>13779</v>
      </c>
      <c r="C118" s="3" t="str">
        <f>HYPERLINK("http://amigo.geneontology.org/amigo/term/GO:0042723","GO:0042723")</f>
        <v>GO:0042723</v>
      </c>
      <c r="D118" t="s">
        <v>13780</v>
      </c>
      <c r="E118">
        <v>5</v>
      </c>
      <c r="F118">
        <v>3</v>
      </c>
      <c r="G118">
        <v>1.48150915961664E-3</v>
      </c>
      <c r="H118">
        <v>3.1111692351949501E-2</v>
      </c>
      <c r="I118" t="s">
        <v>13726</v>
      </c>
    </row>
    <row r="119" spans="1:9" x14ac:dyDescent="0.25">
      <c r="A119" s="2" t="s">
        <v>13781</v>
      </c>
      <c r="C119" s="3" t="str">
        <f>HYPERLINK("http://amigo.geneontology.org/amigo/term/GO:0006772","GO:0006772")</f>
        <v>GO:0006772</v>
      </c>
      <c r="D119" t="s">
        <v>13782</v>
      </c>
      <c r="E119">
        <v>5</v>
      </c>
      <c r="F119">
        <v>3</v>
      </c>
      <c r="G119">
        <v>1.48150915961664E-3</v>
      </c>
      <c r="H119">
        <v>3.1111692351949501E-2</v>
      </c>
      <c r="I119" t="s">
        <v>13726</v>
      </c>
    </row>
    <row r="120" spans="1:9" x14ac:dyDescent="0.25">
      <c r="A120" s="2" t="s">
        <v>13783</v>
      </c>
      <c r="C120" s="3" t="str">
        <f>HYPERLINK("http://amigo.geneontology.org/amigo/term/GO:0005984","GO:0005984")</f>
        <v>GO:0005984</v>
      </c>
      <c r="D120" t="s">
        <v>673</v>
      </c>
      <c r="E120">
        <v>5</v>
      </c>
      <c r="F120">
        <v>3</v>
      </c>
      <c r="G120">
        <v>1.48150915961664E-3</v>
      </c>
      <c r="H120">
        <v>3.1111692351949501E-2</v>
      </c>
      <c r="I120" t="s">
        <v>13784</v>
      </c>
    </row>
    <row r="121" spans="1:9" x14ac:dyDescent="0.25">
      <c r="A121" s="2" t="s">
        <v>13785</v>
      </c>
      <c r="C121" s="3" t="str">
        <f>HYPERLINK("http://amigo.geneontology.org/amigo/term/GO:0005991","GO:0005991")</f>
        <v>GO:0005991</v>
      </c>
      <c r="D121" t="s">
        <v>6235</v>
      </c>
      <c r="E121">
        <v>5</v>
      </c>
      <c r="F121">
        <v>3</v>
      </c>
      <c r="G121">
        <v>1.48150915961664E-3</v>
      </c>
      <c r="H121">
        <v>3.1111692351949501E-2</v>
      </c>
      <c r="I121" t="s">
        <v>13784</v>
      </c>
    </row>
    <row r="122" spans="1:9" x14ac:dyDescent="0.25">
      <c r="A122" s="2" t="s">
        <v>13786</v>
      </c>
      <c r="C122" s="3" t="str">
        <f>HYPERLINK("http://amigo.geneontology.org/amigo/term/GO:0006551","GO:0006551")</f>
        <v>GO:0006551</v>
      </c>
      <c r="D122" t="s">
        <v>13787</v>
      </c>
      <c r="E122">
        <v>5</v>
      </c>
      <c r="F122">
        <v>3</v>
      </c>
      <c r="G122">
        <v>1.48150915961664E-3</v>
      </c>
      <c r="H122">
        <v>3.1111692351949501E-2</v>
      </c>
      <c r="I122" t="s">
        <v>13731</v>
      </c>
    </row>
    <row r="123" spans="1:9" x14ac:dyDescent="0.25">
      <c r="A123" s="2" t="s">
        <v>13788</v>
      </c>
      <c r="C123" s="3" t="str">
        <f>HYPERLINK("http://amigo.geneontology.org/amigo/term/GO:1901566","GO:1901566")</f>
        <v>GO:1901566</v>
      </c>
      <c r="D123" t="s">
        <v>13789</v>
      </c>
      <c r="E123">
        <v>396</v>
      </c>
      <c r="F123">
        <v>36</v>
      </c>
      <c r="G123">
        <v>1.5182933869396899E-3</v>
      </c>
      <c r="H123">
        <v>3.0365867738793802E-2</v>
      </c>
      <c r="I123" t="s">
        <v>13790</v>
      </c>
    </row>
    <row r="124" spans="1:9" x14ac:dyDescent="0.25">
      <c r="A124" s="2" t="s">
        <v>13791</v>
      </c>
      <c r="C124" s="3" t="str">
        <f>HYPERLINK("http://amigo.geneontology.org/amigo/term/GO:1901575","GO:1901575")</f>
        <v>GO:1901575</v>
      </c>
      <c r="D124" t="s">
        <v>5759</v>
      </c>
      <c r="E124">
        <v>218</v>
      </c>
      <c r="F124">
        <v>23</v>
      </c>
      <c r="G124">
        <v>1.67587538977264E-3</v>
      </c>
      <c r="H124">
        <v>3.35175077954529E-2</v>
      </c>
      <c r="I124" t="s">
        <v>13792</v>
      </c>
    </row>
    <row r="125" spans="1:9" x14ac:dyDescent="0.25">
      <c r="A125" s="2" t="s">
        <v>13793</v>
      </c>
      <c r="C125" s="3" t="str">
        <f>HYPERLINK("http://amigo.geneontology.org/amigo/term/GO:0004177","GO:0004177")</f>
        <v>GO:0004177</v>
      </c>
      <c r="D125" t="s">
        <v>13794</v>
      </c>
      <c r="E125">
        <v>17</v>
      </c>
      <c r="F125">
        <v>5</v>
      </c>
      <c r="G125">
        <v>1.68270594921666E-3</v>
      </c>
      <c r="H125">
        <v>3.3654118984333299E-2</v>
      </c>
      <c r="I125" t="s">
        <v>13795</v>
      </c>
    </row>
    <row r="126" spans="1:9" x14ac:dyDescent="0.25">
      <c r="A126" s="2" t="s">
        <v>13796</v>
      </c>
      <c r="C126" s="3" t="str">
        <f>HYPERLINK("http://amigo.geneontology.org/amigo/term/GO:1901292","GO:1901292")</f>
        <v>GO:1901292</v>
      </c>
      <c r="D126" t="s">
        <v>13797</v>
      </c>
      <c r="E126">
        <v>17</v>
      </c>
      <c r="F126">
        <v>5</v>
      </c>
      <c r="G126">
        <v>1.68270594921666E-3</v>
      </c>
      <c r="H126">
        <v>3.3654118984333299E-2</v>
      </c>
      <c r="I126" t="s">
        <v>13648</v>
      </c>
    </row>
    <row r="127" spans="1:9" x14ac:dyDescent="0.25">
      <c r="A127" s="2" t="s">
        <v>13798</v>
      </c>
      <c r="C127" s="3" t="str">
        <f>HYPERLINK("http://amigo.geneontology.org/amigo/term/GO:0009152","GO:0009152")</f>
        <v>GO:0009152</v>
      </c>
      <c r="D127" t="s">
        <v>4427</v>
      </c>
      <c r="E127">
        <v>43</v>
      </c>
      <c r="F127">
        <v>8</v>
      </c>
      <c r="G127">
        <v>1.95215425764748E-3</v>
      </c>
      <c r="H127">
        <v>3.7090930895302097E-2</v>
      </c>
      <c r="I127" t="s">
        <v>13799</v>
      </c>
    </row>
    <row r="128" spans="1:9" x14ac:dyDescent="0.25">
      <c r="A128" s="2" t="s">
        <v>13800</v>
      </c>
      <c r="C128" s="3" t="str">
        <f>HYPERLINK("http://amigo.geneontology.org/amigo/term/GO:0009165","GO:0009165")</f>
        <v>GO:0009165</v>
      </c>
      <c r="D128" t="s">
        <v>13801</v>
      </c>
      <c r="E128">
        <v>63</v>
      </c>
      <c r="F128">
        <v>10</v>
      </c>
      <c r="G128">
        <v>1.9626990385509602E-3</v>
      </c>
      <c r="H128">
        <v>3.72912817324682E-2</v>
      </c>
      <c r="I128" t="s">
        <v>13802</v>
      </c>
    </row>
    <row r="129" spans="1:9" x14ac:dyDescent="0.25">
      <c r="A129" s="2" t="s">
        <v>13803</v>
      </c>
      <c r="C129" s="3" t="str">
        <f>HYPERLINK("http://amigo.geneontology.org/amigo/term/GO:0016620","GO:0016620")</f>
        <v>GO:0016620</v>
      </c>
      <c r="D129" t="s">
        <v>803</v>
      </c>
      <c r="E129">
        <v>34</v>
      </c>
      <c r="F129">
        <v>7</v>
      </c>
      <c r="G129">
        <v>2.0232099557282602E-3</v>
      </c>
      <c r="H129">
        <v>3.8440989158837001E-2</v>
      </c>
      <c r="I129" t="s">
        <v>13804</v>
      </c>
    </row>
    <row r="130" spans="1:9" x14ac:dyDescent="0.25">
      <c r="A130" s="2" t="s">
        <v>13805</v>
      </c>
      <c r="C130" s="3" t="str">
        <f>HYPERLINK("http://amigo.geneontology.org/amigo/term/GO:0006164","GO:0006164")</f>
        <v>GO:0006164</v>
      </c>
      <c r="D130" t="s">
        <v>4478</v>
      </c>
      <c r="E130">
        <v>44</v>
      </c>
      <c r="F130">
        <v>8</v>
      </c>
      <c r="G130">
        <v>2.2750987315132E-3</v>
      </c>
      <c r="H130">
        <v>4.3226875898750898E-2</v>
      </c>
      <c r="I130" t="s">
        <v>13799</v>
      </c>
    </row>
    <row r="131" spans="1:9" x14ac:dyDescent="0.25">
      <c r="A131" s="2" t="s">
        <v>13806</v>
      </c>
      <c r="C131" s="3" t="str">
        <f>HYPERLINK("http://amigo.geneontology.org/amigo/term/GO:0046390","GO:0046390")</f>
        <v>GO:0046390</v>
      </c>
      <c r="D131" t="s">
        <v>13807</v>
      </c>
      <c r="E131">
        <v>44</v>
      </c>
      <c r="F131">
        <v>8</v>
      </c>
      <c r="G131">
        <v>2.2750987315132E-3</v>
      </c>
      <c r="H131">
        <v>4.3226875898750898E-2</v>
      </c>
      <c r="I131" t="s">
        <v>13799</v>
      </c>
    </row>
    <row r="132" spans="1:9" x14ac:dyDescent="0.25">
      <c r="A132" s="2" t="s">
        <v>13808</v>
      </c>
      <c r="C132" s="3" t="str">
        <f>HYPERLINK("http://amigo.geneontology.org/amigo/term/GO:0009260","GO:0009260")</f>
        <v>GO:0009260</v>
      </c>
      <c r="D132" t="s">
        <v>13809</v>
      </c>
      <c r="E132">
        <v>44</v>
      </c>
      <c r="F132">
        <v>8</v>
      </c>
      <c r="G132">
        <v>2.2750987315132E-3</v>
      </c>
      <c r="H132">
        <v>4.3226875898750898E-2</v>
      </c>
      <c r="I132" t="s">
        <v>13799</v>
      </c>
    </row>
    <row r="133" spans="1:9" x14ac:dyDescent="0.25">
      <c r="A133" s="2" t="s">
        <v>13810</v>
      </c>
      <c r="C133" s="3" t="str">
        <f>HYPERLINK("http://amigo.geneontology.org/amigo/term/GO:0032787","GO:0032787")</f>
        <v>GO:0032787</v>
      </c>
      <c r="D133" t="s">
        <v>532</v>
      </c>
      <c r="E133">
        <v>75</v>
      </c>
      <c r="F133">
        <v>11</v>
      </c>
      <c r="G133">
        <v>2.2859679270731E-3</v>
      </c>
      <c r="H133">
        <v>4.3433390614388903E-2</v>
      </c>
      <c r="I133" t="s">
        <v>13811</v>
      </c>
    </row>
    <row r="134" spans="1:9" x14ac:dyDescent="0.25">
      <c r="A134" s="2" t="s">
        <v>13812</v>
      </c>
      <c r="C134" s="3" t="str">
        <f>HYPERLINK("http://amigo.geneontology.org/amigo/term/GO:0050662","GO:0050662")</f>
        <v>GO:0050662</v>
      </c>
      <c r="D134" t="s">
        <v>4434</v>
      </c>
      <c r="E134">
        <v>363</v>
      </c>
      <c r="F134">
        <v>33</v>
      </c>
      <c r="G134">
        <v>2.3808512810123898E-3</v>
      </c>
      <c r="H134">
        <v>4.2855323058223101E-2</v>
      </c>
      <c r="I134" t="s">
        <v>13813</v>
      </c>
    </row>
    <row r="135" spans="1:9" x14ac:dyDescent="0.25">
      <c r="A135" s="2" t="s">
        <v>13814</v>
      </c>
      <c r="C135" s="3" t="str">
        <f>HYPERLINK("http://amigo.geneontology.org/amigo/term/GO:0009127","GO:0009127")</f>
        <v>GO:0009127</v>
      </c>
      <c r="D135" t="s">
        <v>13315</v>
      </c>
      <c r="E135">
        <v>35</v>
      </c>
      <c r="F135">
        <v>7</v>
      </c>
      <c r="G135">
        <v>2.4129663348721902E-3</v>
      </c>
      <c r="H135">
        <v>4.3433394027699398E-2</v>
      </c>
      <c r="I135" t="s">
        <v>13815</v>
      </c>
    </row>
    <row r="136" spans="1:9" x14ac:dyDescent="0.25">
      <c r="A136" s="2" t="s">
        <v>13816</v>
      </c>
      <c r="C136" s="3" t="str">
        <f>HYPERLINK("http://amigo.geneontology.org/amigo/term/GO:0009168","GO:0009168")</f>
        <v>GO:0009168</v>
      </c>
      <c r="D136" t="s">
        <v>13817</v>
      </c>
      <c r="E136">
        <v>35</v>
      </c>
      <c r="F136">
        <v>7</v>
      </c>
      <c r="G136">
        <v>2.4129663348721902E-3</v>
      </c>
      <c r="H136">
        <v>4.3433394027699398E-2</v>
      </c>
      <c r="I136" t="s">
        <v>13815</v>
      </c>
    </row>
    <row r="137" spans="1:9" x14ac:dyDescent="0.25">
      <c r="A137" s="2" t="s">
        <v>13818</v>
      </c>
      <c r="C137" s="3" t="str">
        <f>HYPERLINK("http://amigo.geneontology.org/amigo/term/GO:1901293","GO:1901293")</f>
        <v>GO:1901293</v>
      </c>
      <c r="D137" t="s">
        <v>13819</v>
      </c>
      <c r="E137">
        <v>65</v>
      </c>
      <c r="F137">
        <v>10</v>
      </c>
      <c r="G137">
        <v>2.4953704920397902E-3</v>
      </c>
      <c r="H137">
        <v>4.4916668856716302E-2</v>
      </c>
      <c r="I137" t="s">
        <v>13802</v>
      </c>
    </row>
    <row r="138" spans="1:9" x14ac:dyDescent="0.25">
      <c r="A138" s="2" t="s">
        <v>13820</v>
      </c>
      <c r="C138" s="3" t="str">
        <f>HYPERLINK("http://amigo.geneontology.org/amigo/term/GO:0009311","GO:0009311")</f>
        <v>GO:0009311</v>
      </c>
      <c r="D138" t="s">
        <v>762</v>
      </c>
      <c r="E138">
        <v>6</v>
      </c>
      <c r="F138">
        <v>3</v>
      </c>
      <c r="G138">
        <v>2.8434453776425899E-3</v>
      </c>
      <c r="H138">
        <v>5.11820167975666E-2</v>
      </c>
      <c r="I138" t="s">
        <v>13784</v>
      </c>
    </row>
    <row r="139" spans="1:9" x14ac:dyDescent="0.25">
      <c r="A139" s="2" t="s">
        <v>13821</v>
      </c>
      <c r="C139" s="3" t="str">
        <f>HYPERLINK("http://amigo.geneontology.org/amigo/term/GO:0070569","GO:0070569")</f>
        <v>GO:0070569</v>
      </c>
      <c r="D139" t="s">
        <v>13822</v>
      </c>
      <c r="E139">
        <v>2</v>
      </c>
      <c r="F139">
        <v>2</v>
      </c>
      <c r="G139">
        <v>2.9666011023552E-3</v>
      </c>
      <c r="H139">
        <v>5.0432218740038399E-2</v>
      </c>
      <c r="I139" t="s">
        <v>13823</v>
      </c>
    </row>
    <row r="140" spans="1:9" x14ac:dyDescent="0.25">
      <c r="A140" s="2" t="s">
        <v>13824</v>
      </c>
      <c r="C140" s="3" t="str">
        <f>HYPERLINK("http://amigo.geneontology.org/amigo/term/GO:0009099","GO:0009099")</f>
        <v>GO:0009099</v>
      </c>
      <c r="D140" t="s">
        <v>13825</v>
      </c>
      <c r="E140">
        <v>2</v>
      </c>
      <c r="F140">
        <v>2</v>
      </c>
      <c r="G140">
        <v>2.9666011023552E-3</v>
      </c>
      <c r="H140">
        <v>5.0432218740038399E-2</v>
      </c>
      <c r="I140" t="s">
        <v>13826</v>
      </c>
    </row>
    <row r="141" spans="1:9" x14ac:dyDescent="0.25">
      <c r="A141" s="2" t="s">
        <v>13827</v>
      </c>
      <c r="C141" s="3" t="str">
        <f>HYPERLINK("http://amigo.geneontology.org/amigo/term/GO:0004160","GO:0004160")</f>
        <v>GO:0004160</v>
      </c>
      <c r="D141" t="s">
        <v>13828</v>
      </c>
      <c r="E141">
        <v>2</v>
      </c>
      <c r="F141">
        <v>2</v>
      </c>
      <c r="G141">
        <v>2.9666011023552E-3</v>
      </c>
      <c r="H141">
        <v>5.3398819842393599E-2</v>
      </c>
      <c r="I141" t="s">
        <v>13829</v>
      </c>
    </row>
    <row r="142" spans="1:9" x14ac:dyDescent="0.25">
      <c r="A142" s="2" t="s">
        <v>13830</v>
      </c>
      <c r="C142" s="3" t="str">
        <f>HYPERLINK("http://amigo.geneontology.org/amigo/term/GO:0009156","GO:0009156")</f>
        <v>GO:0009156</v>
      </c>
      <c r="D142" t="s">
        <v>13322</v>
      </c>
      <c r="E142">
        <v>37</v>
      </c>
      <c r="F142">
        <v>7</v>
      </c>
      <c r="G142">
        <v>3.3635033430125601E-3</v>
      </c>
      <c r="H142">
        <v>5.7179556831213597E-2</v>
      </c>
      <c r="I142" t="s">
        <v>13815</v>
      </c>
    </row>
    <row r="143" spans="1:9" x14ac:dyDescent="0.25">
      <c r="A143" s="2" t="s">
        <v>13831</v>
      </c>
      <c r="C143" s="3" t="str">
        <f>HYPERLINK("http://amigo.geneontology.org/amigo/term/GO:0019842","GO:0019842")</f>
        <v>GO:0019842</v>
      </c>
      <c r="D143" t="s">
        <v>4329</v>
      </c>
      <c r="E143">
        <v>102</v>
      </c>
      <c r="F143">
        <v>13</v>
      </c>
      <c r="G143">
        <v>3.4281111388459701E-3</v>
      </c>
      <c r="H143">
        <v>5.8277889360381599E-2</v>
      </c>
      <c r="I143" t="s">
        <v>13832</v>
      </c>
    </row>
    <row r="144" spans="1:9" x14ac:dyDescent="0.25">
      <c r="A144" s="2" t="s">
        <v>13833</v>
      </c>
      <c r="C144" s="3" t="str">
        <f>HYPERLINK("http://amigo.geneontology.org/amigo/term/GO:0090407","GO:0090407")</f>
        <v>GO:0090407</v>
      </c>
      <c r="D144" t="s">
        <v>13834</v>
      </c>
      <c r="E144">
        <v>102</v>
      </c>
      <c r="F144">
        <v>13</v>
      </c>
      <c r="G144">
        <v>3.4281111388459701E-3</v>
      </c>
      <c r="H144">
        <v>5.8277889360381599E-2</v>
      </c>
      <c r="I144" t="s">
        <v>13835</v>
      </c>
    </row>
    <row r="145" spans="1:9" x14ac:dyDescent="0.25">
      <c r="A145" s="2" t="s">
        <v>13836</v>
      </c>
      <c r="C145" s="3" t="str">
        <f>HYPERLINK("http://amigo.geneontology.org/amigo/term/GO:0009124","GO:0009124")</f>
        <v>GO:0009124</v>
      </c>
      <c r="D145" t="s">
        <v>13837</v>
      </c>
      <c r="E145">
        <v>38</v>
      </c>
      <c r="F145">
        <v>7</v>
      </c>
      <c r="G145">
        <v>3.9343181872823398E-3</v>
      </c>
      <c r="H145">
        <v>6.68834091837998E-2</v>
      </c>
      <c r="I145" t="s">
        <v>13815</v>
      </c>
    </row>
    <row r="146" spans="1:9" x14ac:dyDescent="0.25">
      <c r="A146" s="2" t="s">
        <v>13838</v>
      </c>
      <c r="C146" s="3" t="str">
        <f>HYPERLINK("http://amigo.geneontology.org/amigo/term/GO:0015980","GO:0015980")</f>
        <v>GO:0015980</v>
      </c>
      <c r="D146" t="s">
        <v>13839</v>
      </c>
      <c r="E146">
        <v>29</v>
      </c>
      <c r="F146">
        <v>6</v>
      </c>
      <c r="G146">
        <v>4.1119617859407404E-3</v>
      </c>
      <c r="H146">
        <v>6.9903350360992697E-2</v>
      </c>
      <c r="I146" t="s">
        <v>13840</v>
      </c>
    </row>
    <row r="147" spans="1:9" x14ac:dyDescent="0.25">
      <c r="A147" s="2" t="s">
        <v>13841</v>
      </c>
      <c r="C147" s="3" t="str">
        <f>HYPERLINK("http://amigo.geneontology.org/amigo/term/GO:0055114","GO:0055114")</f>
        <v>GO:0055114</v>
      </c>
      <c r="D147" t="s">
        <v>454</v>
      </c>
      <c r="E147">
        <v>487</v>
      </c>
      <c r="F147">
        <v>40</v>
      </c>
      <c r="G147">
        <v>5.3531494728938601E-3</v>
      </c>
      <c r="H147">
        <v>9.1003541039195598E-2</v>
      </c>
      <c r="I147" t="s">
        <v>13842</v>
      </c>
    </row>
    <row r="148" spans="1:9" x14ac:dyDescent="0.25">
      <c r="A148" s="2" t="s">
        <v>13843</v>
      </c>
      <c r="C148" s="3" t="str">
        <f>HYPERLINK("http://amigo.geneontology.org/amigo/term/GO:0044445","GO:0044445")</f>
        <v>GO:0044445</v>
      </c>
      <c r="D148" t="s">
        <v>13484</v>
      </c>
      <c r="E148">
        <v>14</v>
      </c>
      <c r="F148">
        <v>4</v>
      </c>
      <c r="G148">
        <v>5.6264594583833299E-3</v>
      </c>
      <c r="H148">
        <v>9.0023351334133306E-2</v>
      </c>
      <c r="I148" t="s">
        <v>13844</v>
      </c>
    </row>
    <row r="149" spans="1:9" x14ac:dyDescent="0.25">
      <c r="A149" s="2" t="s">
        <v>13845</v>
      </c>
      <c r="C149" s="3" t="str">
        <f>HYPERLINK("http://amigo.geneontology.org/amigo/term/GO:0001505","GO:0001505")</f>
        <v>GO:0001505</v>
      </c>
      <c r="D149" t="s">
        <v>13846</v>
      </c>
      <c r="E149">
        <v>14</v>
      </c>
      <c r="F149">
        <v>4</v>
      </c>
      <c r="G149">
        <v>5.6264594583833299E-3</v>
      </c>
      <c r="H149">
        <v>9.0023351334133306E-2</v>
      </c>
      <c r="I149" t="s">
        <v>13847</v>
      </c>
    </row>
    <row r="150" spans="1:9" x14ac:dyDescent="0.25">
      <c r="A150" s="2" t="s">
        <v>13848</v>
      </c>
      <c r="C150" s="3" t="str">
        <f>HYPERLINK("http://amigo.geneontology.org/amigo/term/GO:0042133","GO:0042133")</f>
        <v>GO:0042133</v>
      </c>
      <c r="D150" t="s">
        <v>13849</v>
      </c>
      <c r="E150">
        <v>14</v>
      </c>
      <c r="F150">
        <v>4</v>
      </c>
      <c r="G150">
        <v>5.6264594583833299E-3</v>
      </c>
      <c r="H150">
        <v>9.0023351334133306E-2</v>
      </c>
      <c r="I150" t="s">
        <v>13847</v>
      </c>
    </row>
    <row r="151" spans="1:9" x14ac:dyDescent="0.25">
      <c r="A151" s="2" t="s">
        <v>13850</v>
      </c>
      <c r="C151" s="3" t="str">
        <f>HYPERLINK("http://amigo.geneontology.org/amigo/term/GO:0005543","GO:0005543")</f>
        <v>GO:0005543</v>
      </c>
      <c r="D151" t="s">
        <v>808</v>
      </c>
      <c r="E151">
        <v>22</v>
      </c>
      <c r="F151">
        <v>5</v>
      </c>
      <c r="G151">
        <v>5.7175824660043997E-3</v>
      </c>
      <c r="H151">
        <v>9.1481319456070395E-2</v>
      </c>
      <c r="I151" t="s">
        <v>13851</v>
      </c>
    </row>
    <row r="152" spans="1:9" x14ac:dyDescent="0.25">
      <c r="A152" s="2" t="s">
        <v>13852</v>
      </c>
      <c r="C152" s="3" t="str">
        <f>HYPERLINK("http://amigo.geneontology.org/amigo/term/GO:0072330","GO:0072330")</f>
        <v>GO:0072330</v>
      </c>
      <c r="D152" t="s">
        <v>302</v>
      </c>
      <c r="E152">
        <v>42</v>
      </c>
      <c r="F152">
        <v>7</v>
      </c>
      <c r="G152">
        <v>6.9763735221900604E-3</v>
      </c>
      <c r="H152">
        <v>0.11162197635504099</v>
      </c>
      <c r="I152" t="s">
        <v>13853</v>
      </c>
    </row>
    <row r="153" spans="1:9" x14ac:dyDescent="0.25">
      <c r="A153" s="2" t="s">
        <v>13854</v>
      </c>
      <c r="C153" s="3" t="str">
        <f>HYPERLINK("http://amigo.geneontology.org/amigo/term/GO:1901606","GO:1901606")</f>
        <v>GO:1901606</v>
      </c>
      <c r="D153" t="s">
        <v>6977</v>
      </c>
      <c r="E153">
        <v>23</v>
      </c>
      <c r="F153">
        <v>5</v>
      </c>
      <c r="G153">
        <v>6.9855698816951098E-3</v>
      </c>
      <c r="H153">
        <v>0.11176911810712099</v>
      </c>
      <c r="I153" t="s">
        <v>13855</v>
      </c>
    </row>
    <row r="154" spans="1:9" x14ac:dyDescent="0.25">
      <c r="A154" s="2" t="s">
        <v>13856</v>
      </c>
      <c r="C154" s="3" t="str">
        <f>HYPERLINK("http://amigo.geneontology.org/amigo/term/GO:0030976","GO:0030976")</f>
        <v>GO:0030976</v>
      </c>
      <c r="D154" t="s">
        <v>13857</v>
      </c>
      <c r="E154">
        <v>8</v>
      </c>
      <c r="F154">
        <v>3</v>
      </c>
      <c r="G154">
        <v>7.3345949995158597E-3</v>
      </c>
      <c r="H154">
        <v>0.11735351999225301</v>
      </c>
      <c r="I154" t="s">
        <v>13858</v>
      </c>
    </row>
    <row r="155" spans="1:9" x14ac:dyDescent="0.25">
      <c r="A155" s="2" t="s">
        <v>13859</v>
      </c>
      <c r="C155" s="3" t="str">
        <f>HYPERLINK("http://amigo.geneontology.org/amigo/term/GO:0046434","GO:0046434")</f>
        <v>GO:0046434</v>
      </c>
      <c r="D155" t="s">
        <v>1272</v>
      </c>
      <c r="E155">
        <v>24</v>
      </c>
      <c r="F155">
        <v>5</v>
      </c>
      <c r="G155">
        <v>8.4376810787205395E-3</v>
      </c>
      <c r="H155">
        <v>0.12656521618080799</v>
      </c>
      <c r="I155" t="s">
        <v>13648</v>
      </c>
    </row>
    <row r="156" spans="1:9" x14ac:dyDescent="0.25">
      <c r="A156" s="2" t="s">
        <v>13860</v>
      </c>
      <c r="C156" s="3" t="str">
        <f>HYPERLINK("http://amigo.geneontology.org/amigo/term/GO:0043648","GO:0043648")</f>
        <v>GO:0043648</v>
      </c>
      <c r="D156" t="s">
        <v>13220</v>
      </c>
      <c r="E156">
        <v>24</v>
      </c>
      <c r="F156">
        <v>5</v>
      </c>
      <c r="G156">
        <v>8.4376810787205395E-3</v>
      </c>
      <c r="H156">
        <v>0.13500289725952799</v>
      </c>
      <c r="I156" t="s">
        <v>13861</v>
      </c>
    </row>
    <row r="157" spans="1:9" x14ac:dyDescent="0.25">
      <c r="A157" s="2" t="s">
        <v>13862</v>
      </c>
      <c r="C157" s="3" t="str">
        <f>HYPERLINK("http://amigo.geneontology.org/amigo/term/GO:0004557","GO:0004557")</f>
        <v>GO:0004557</v>
      </c>
      <c r="D157" t="s">
        <v>5324</v>
      </c>
      <c r="E157">
        <v>3</v>
      </c>
      <c r="F157">
        <v>2</v>
      </c>
      <c r="G157">
        <v>8.5779463988518607E-3</v>
      </c>
      <c r="H157">
        <v>0.12866919598277801</v>
      </c>
      <c r="I157" t="s">
        <v>13863</v>
      </c>
    </row>
    <row r="158" spans="1:9" x14ac:dyDescent="0.25">
      <c r="A158" s="2" t="s">
        <v>13864</v>
      </c>
      <c r="C158" s="3" t="str">
        <f>HYPERLINK("http://amigo.geneontology.org/amigo/term/GO:0005978","GO:0005978")</f>
        <v>GO:0005978</v>
      </c>
      <c r="D158" t="s">
        <v>10731</v>
      </c>
      <c r="E158">
        <v>3</v>
      </c>
      <c r="F158">
        <v>2</v>
      </c>
      <c r="G158">
        <v>8.5779463988518607E-3</v>
      </c>
      <c r="H158">
        <v>0.12866919598277801</v>
      </c>
      <c r="I158" t="s">
        <v>13865</v>
      </c>
    </row>
    <row r="159" spans="1:9" x14ac:dyDescent="0.25">
      <c r="A159" s="2" t="s">
        <v>13866</v>
      </c>
      <c r="C159" s="3" t="str">
        <f>HYPERLINK("http://amigo.geneontology.org/amigo/term/GO:0042182","GO:0042182")</f>
        <v>GO:0042182</v>
      </c>
      <c r="D159" t="s">
        <v>13867</v>
      </c>
      <c r="E159">
        <v>3</v>
      </c>
      <c r="F159">
        <v>2</v>
      </c>
      <c r="G159">
        <v>8.5779463988518607E-3</v>
      </c>
      <c r="H159">
        <v>0.12866919598277801</v>
      </c>
      <c r="I159" t="s">
        <v>13868</v>
      </c>
    </row>
    <row r="160" spans="1:9" x14ac:dyDescent="0.25">
      <c r="A160" s="2" t="s">
        <v>13869</v>
      </c>
      <c r="C160" s="3" t="str">
        <f>HYPERLINK("http://amigo.geneontology.org/amigo/term/GO:0009312","GO:0009312")</f>
        <v>GO:0009312</v>
      </c>
      <c r="D160" t="s">
        <v>6334</v>
      </c>
      <c r="E160">
        <v>3</v>
      </c>
      <c r="F160">
        <v>2</v>
      </c>
      <c r="G160">
        <v>8.5779463988518607E-3</v>
      </c>
      <c r="H160">
        <v>0.12866919598277801</v>
      </c>
      <c r="I160" t="s">
        <v>13870</v>
      </c>
    </row>
    <row r="161" spans="1:9" x14ac:dyDescent="0.25">
      <c r="A161" s="2" t="s">
        <v>13871</v>
      </c>
      <c r="C161" s="3" t="str">
        <f>HYPERLINK("http://amigo.geneontology.org/amigo/term/GO:0046351","GO:0046351")</f>
        <v>GO:0046351</v>
      </c>
      <c r="D161" t="s">
        <v>6268</v>
      </c>
      <c r="E161">
        <v>3</v>
      </c>
      <c r="F161">
        <v>2</v>
      </c>
      <c r="G161">
        <v>8.5779463988518607E-3</v>
      </c>
      <c r="H161">
        <v>0.12866919598277801</v>
      </c>
      <c r="I161" t="s">
        <v>13870</v>
      </c>
    </row>
    <row r="162" spans="1:9" x14ac:dyDescent="0.25">
      <c r="A162" s="2" t="s">
        <v>13872</v>
      </c>
      <c r="C162" s="3" t="str">
        <f>HYPERLINK("http://amigo.geneontology.org/amigo/term/GO:0005992","GO:0005992")</f>
        <v>GO:0005992</v>
      </c>
      <c r="D162" t="s">
        <v>6217</v>
      </c>
      <c r="E162">
        <v>3</v>
      </c>
      <c r="F162">
        <v>2</v>
      </c>
      <c r="G162">
        <v>8.5779463988518607E-3</v>
      </c>
      <c r="H162">
        <v>0.12866919598277801</v>
      </c>
      <c r="I162" t="s">
        <v>13870</v>
      </c>
    </row>
    <row r="163" spans="1:9" x14ac:dyDescent="0.25">
      <c r="A163" s="2" t="s">
        <v>13873</v>
      </c>
      <c r="C163" s="3" t="str">
        <f>HYPERLINK("http://amigo.geneontology.org/amigo/term/GO:0048037","GO:0048037")</f>
        <v>GO:0048037</v>
      </c>
      <c r="D163" t="s">
        <v>4125</v>
      </c>
      <c r="E163">
        <v>565</v>
      </c>
      <c r="F163">
        <v>44</v>
      </c>
      <c r="G163">
        <v>9.1491021011755602E-3</v>
      </c>
      <c r="H163">
        <v>0.13723653151763299</v>
      </c>
      <c r="I163" t="s">
        <v>13874</v>
      </c>
    </row>
    <row r="164" spans="1:9" x14ac:dyDescent="0.25">
      <c r="A164" s="2" t="s">
        <v>13875</v>
      </c>
      <c r="C164" s="3" t="str">
        <f>HYPERLINK("http://amigo.geneontology.org/amigo/term/GO:0006793","GO:0006793")</f>
        <v>GO:0006793</v>
      </c>
      <c r="D164" t="s">
        <v>670</v>
      </c>
      <c r="E164">
        <v>250</v>
      </c>
      <c r="F164">
        <v>23</v>
      </c>
      <c r="G164">
        <v>9.1988819349088802E-3</v>
      </c>
      <c r="H164">
        <v>0.137983229023633</v>
      </c>
      <c r="I164" t="s">
        <v>13876</v>
      </c>
    </row>
    <row r="165" spans="1:9" x14ac:dyDescent="0.25">
      <c r="A165" s="2" t="s">
        <v>13877</v>
      </c>
      <c r="C165" s="3" t="str">
        <f>HYPERLINK("http://amigo.geneontology.org/amigo/term/GO:0006796","GO:0006796")</f>
        <v>GO:0006796</v>
      </c>
      <c r="D165" t="s">
        <v>679</v>
      </c>
      <c r="E165">
        <v>250</v>
      </c>
      <c r="F165">
        <v>23</v>
      </c>
      <c r="G165">
        <v>9.1988819349088802E-3</v>
      </c>
      <c r="H165">
        <v>0.137983229023633</v>
      </c>
      <c r="I165" t="s">
        <v>13876</v>
      </c>
    </row>
    <row r="166" spans="1:9" x14ac:dyDescent="0.25">
      <c r="A166" s="2" t="s">
        <v>13878</v>
      </c>
      <c r="C166" s="3" t="str">
        <f>HYPERLINK("http://amigo.geneontology.org/amigo/term/GO:0016645","GO:0016645")</f>
        <v>GO:0016645</v>
      </c>
      <c r="D166" t="s">
        <v>5260</v>
      </c>
      <c r="E166">
        <v>16</v>
      </c>
      <c r="F166">
        <v>4</v>
      </c>
      <c r="G166">
        <v>9.3822506782772902E-3</v>
      </c>
      <c r="H166">
        <v>0.13135150949588201</v>
      </c>
      <c r="I166" t="s">
        <v>13879</v>
      </c>
    </row>
    <row r="167" spans="1:9" x14ac:dyDescent="0.25">
      <c r="A167" s="2" t="s">
        <v>13880</v>
      </c>
      <c r="C167" s="3" t="str">
        <f>HYPERLINK("http://amigo.geneontology.org/amigo/term/GO:0016787","GO:0016787")</f>
        <v>GO:0016787</v>
      </c>
      <c r="D167" t="s">
        <v>98</v>
      </c>
      <c r="E167">
        <v>1052</v>
      </c>
      <c r="F167">
        <v>74</v>
      </c>
      <c r="G167">
        <v>9.8684314757227897E-3</v>
      </c>
      <c r="H167">
        <v>0.138158040660119</v>
      </c>
      <c r="I167" t="s">
        <v>13881</v>
      </c>
    </row>
    <row r="168" spans="1:9" x14ac:dyDescent="0.25">
      <c r="A168" s="2" t="s">
        <v>13882</v>
      </c>
      <c r="C168" s="3" t="str">
        <f>HYPERLINK("http://amigo.geneontology.org/amigo/term/GO:1901135","GO:1901135")</f>
        <v>GO:1901135</v>
      </c>
      <c r="D168" t="s">
        <v>13883</v>
      </c>
      <c r="E168">
        <v>169</v>
      </c>
      <c r="F168">
        <v>17</v>
      </c>
      <c r="G168">
        <v>1.03720831526962E-2</v>
      </c>
      <c r="H168">
        <v>0.14520916413774701</v>
      </c>
      <c r="I168" t="s">
        <v>13884</v>
      </c>
    </row>
    <row r="169" spans="1:9" x14ac:dyDescent="0.25">
      <c r="A169" s="2" t="s">
        <v>13885</v>
      </c>
      <c r="C169" s="3" t="str">
        <f>HYPERLINK("http://amigo.geneontology.org/amigo/term/GO:0006544","GO:0006544")</f>
        <v>GO:0006544</v>
      </c>
      <c r="D169" t="s">
        <v>13886</v>
      </c>
      <c r="E169">
        <v>9</v>
      </c>
      <c r="F169">
        <v>3</v>
      </c>
      <c r="G169">
        <v>1.05616327716231E-2</v>
      </c>
      <c r="H169">
        <v>0.14786285880272301</v>
      </c>
      <c r="I169" t="s">
        <v>13887</v>
      </c>
    </row>
    <row r="170" spans="1:9" x14ac:dyDescent="0.25">
      <c r="A170" s="2" t="s">
        <v>13888</v>
      </c>
      <c r="C170" s="3" t="str">
        <f>HYPERLINK("http://amigo.geneontology.org/amigo/term/GO:0000322","GO:0000322")</f>
        <v>GO:0000322</v>
      </c>
      <c r="D170" t="s">
        <v>5703</v>
      </c>
      <c r="E170">
        <v>9</v>
      </c>
      <c r="F170">
        <v>3</v>
      </c>
      <c r="G170">
        <v>1.05616327716231E-2</v>
      </c>
      <c r="H170">
        <v>0.14786285880272301</v>
      </c>
      <c r="I170" t="s">
        <v>13889</v>
      </c>
    </row>
    <row r="171" spans="1:9" x14ac:dyDescent="0.25">
      <c r="A171" s="2" t="s">
        <v>13890</v>
      </c>
      <c r="C171" s="3" t="str">
        <f>HYPERLINK("http://amigo.geneontology.org/amigo/term/GO:0000323","GO:0000323")</f>
        <v>GO:0000323</v>
      </c>
      <c r="D171" t="s">
        <v>7316</v>
      </c>
      <c r="E171">
        <v>9</v>
      </c>
      <c r="F171">
        <v>3</v>
      </c>
      <c r="G171">
        <v>1.05616327716231E-2</v>
      </c>
      <c r="H171">
        <v>0.14786285880272301</v>
      </c>
      <c r="I171" t="s">
        <v>13889</v>
      </c>
    </row>
    <row r="172" spans="1:9" x14ac:dyDescent="0.25">
      <c r="A172" s="2" t="s">
        <v>13891</v>
      </c>
      <c r="C172" s="3" t="str">
        <f>HYPERLINK("http://amigo.geneontology.org/amigo/term/GO:0000324","GO:0000324")</f>
        <v>GO:0000324</v>
      </c>
      <c r="D172" t="s">
        <v>13892</v>
      </c>
      <c r="E172">
        <v>9</v>
      </c>
      <c r="F172">
        <v>3</v>
      </c>
      <c r="G172">
        <v>1.05616327716231E-2</v>
      </c>
      <c r="H172">
        <v>0.14786285880272301</v>
      </c>
      <c r="I172" t="s">
        <v>13889</v>
      </c>
    </row>
    <row r="173" spans="1:9" x14ac:dyDescent="0.25">
      <c r="A173" s="2" t="s">
        <v>13893</v>
      </c>
      <c r="C173" s="3" t="str">
        <f>HYPERLINK("http://amigo.geneontology.org/amigo/term/GO:0072528","GO:0072528")</f>
        <v>GO:0072528</v>
      </c>
      <c r="D173" t="s">
        <v>13894</v>
      </c>
      <c r="E173">
        <v>17</v>
      </c>
      <c r="F173">
        <v>4</v>
      </c>
      <c r="G173">
        <v>1.1751341364168499E-2</v>
      </c>
      <c r="H173">
        <v>0.16451877909835899</v>
      </c>
      <c r="I173" t="s">
        <v>13895</v>
      </c>
    </row>
    <row r="174" spans="1:9" x14ac:dyDescent="0.25">
      <c r="A174" s="2" t="s">
        <v>13896</v>
      </c>
      <c r="C174" s="3" t="str">
        <f>HYPERLINK("http://amigo.geneontology.org/amigo/term/GO:0016769","GO:0016769")</f>
        <v>GO:0016769</v>
      </c>
      <c r="D174" t="s">
        <v>5491</v>
      </c>
      <c r="E174">
        <v>26</v>
      </c>
      <c r="F174">
        <v>5</v>
      </c>
      <c r="G174">
        <v>1.1942748780183299E-2</v>
      </c>
      <c r="H174">
        <v>0.16719848292256601</v>
      </c>
      <c r="I174" t="s">
        <v>13897</v>
      </c>
    </row>
    <row r="175" spans="1:9" x14ac:dyDescent="0.25">
      <c r="A175" s="2" t="s">
        <v>13898</v>
      </c>
      <c r="C175" s="3" t="str">
        <f>HYPERLINK("http://amigo.geneontology.org/amigo/term/GO:0008483","GO:0008483")</f>
        <v>GO:0008483</v>
      </c>
      <c r="D175" t="s">
        <v>5493</v>
      </c>
      <c r="E175">
        <v>26</v>
      </c>
      <c r="F175">
        <v>5</v>
      </c>
      <c r="G175">
        <v>1.1942748780183299E-2</v>
      </c>
      <c r="H175">
        <v>0.16719848292256601</v>
      </c>
      <c r="I175" t="s">
        <v>13897</v>
      </c>
    </row>
    <row r="176" spans="1:9" x14ac:dyDescent="0.25">
      <c r="A176" s="2" t="s">
        <v>13457</v>
      </c>
      <c r="C176" s="3" t="str">
        <f>HYPERLINK("http://amigo.geneontology.org/amigo/term/GO:0009069","GO:0009069")</f>
        <v>GO:0009069</v>
      </c>
      <c r="D176" t="s">
        <v>13899</v>
      </c>
      <c r="E176">
        <v>18</v>
      </c>
      <c r="F176">
        <v>4</v>
      </c>
      <c r="G176">
        <v>1.4472570021747601E-2</v>
      </c>
      <c r="H176">
        <v>0.20261598030446701</v>
      </c>
      <c r="I176" t="s">
        <v>13900</v>
      </c>
    </row>
    <row r="177" spans="1:9" x14ac:dyDescent="0.25">
      <c r="A177" s="2" t="s">
        <v>13901</v>
      </c>
      <c r="C177" s="3" t="str">
        <f>HYPERLINK("http://amigo.geneontology.org/amigo/term/GO:0016861","GO:0016861")</f>
        <v>GO:0016861</v>
      </c>
      <c r="D177" t="s">
        <v>10243</v>
      </c>
      <c r="E177">
        <v>10</v>
      </c>
      <c r="F177">
        <v>3</v>
      </c>
      <c r="G177">
        <v>1.4486008263802599E-2</v>
      </c>
      <c r="H177">
        <v>0.188318107429434</v>
      </c>
      <c r="I177" t="s">
        <v>13902</v>
      </c>
    </row>
    <row r="178" spans="1:9" x14ac:dyDescent="0.25">
      <c r="A178" s="2" t="s">
        <v>13903</v>
      </c>
      <c r="C178" s="3" t="str">
        <f>HYPERLINK("http://amigo.geneontology.org/amigo/term/GO:0030145","GO:0030145")</f>
        <v>GO:0030145</v>
      </c>
      <c r="D178" t="s">
        <v>4382</v>
      </c>
      <c r="E178">
        <v>10</v>
      </c>
      <c r="F178">
        <v>3</v>
      </c>
      <c r="G178">
        <v>1.4486008263802599E-2</v>
      </c>
      <c r="H178">
        <v>0.188318107429434</v>
      </c>
      <c r="I178" t="s">
        <v>13904</v>
      </c>
    </row>
    <row r="179" spans="1:9" x14ac:dyDescent="0.25">
      <c r="A179" s="2" t="s">
        <v>13905</v>
      </c>
      <c r="C179" s="3" t="str">
        <f>HYPERLINK("http://amigo.geneontology.org/amigo/term/GO:1901565","GO:1901565")</f>
        <v>GO:1901565</v>
      </c>
      <c r="D179" t="s">
        <v>7125</v>
      </c>
      <c r="E179">
        <v>109</v>
      </c>
      <c r="F179">
        <v>12</v>
      </c>
      <c r="G179">
        <v>1.5133144304041999E-2</v>
      </c>
      <c r="H179">
        <v>0.19673087595254601</v>
      </c>
      <c r="I179" t="s">
        <v>13906</v>
      </c>
    </row>
    <row r="180" spans="1:9" x14ac:dyDescent="0.25">
      <c r="A180" s="2" t="s">
        <v>13907</v>
      </c>
      <c r="C180" s="3" t="str">
        <f>HYPERLINK("http://amigo.geneontology.org/amigo/term/GO:0044237","GO:0044237")</f>
        <v>GO:0044237</v>
      </c>
      <c r="D180" t="s">
        <v>6872</v>
      </c>
      <c r="E180">
        <v>1496</v>
      </c>
      <c r="F180">
        <v>99</v>
      </c>
      <c r="G180">
        <v>1.5348523717953901E-2</v>
      </c>
      <c r="H180">
        <v>0.19953080833340001</v>
      </c>
      <c r="I180" t="s">
        <v>13908</v>
      </c>
    </row>
    <row r="181" spans="1:9" x14ac:dyDescent="0.25">
      <c r="A181" s="2" t="s">
        <v>13909</v>
      </c>
      <c r="C181" s="3" t="str">
        <f>HYPERLINK("http://amigo.geneontology.org/amigo/term/GO:0009063","GO:0009063")</f>
        <v>GO:0009063</v>
      </c>
      <c r="D181" t="s">
        <v>5306</v>
      </c>
      <c r="E181">
        <v>28</v>
      </c>
      <c r="F181">
        <v>5</v>
      </c>
      <c r="G181">
        <v>1.6323549321519401E-2</v>
      </c>
      <c r="H181">
        <v>0.21220614117975201</v>
      </c>
      <c r="I181" t="s">
        <v>13855</v>
      </c>
    </row>
    <row r="182" spans="1:9" x14ac:dyDescent="0.25">
      <c r="A182" s="2" t="s">
        <v>13910</v>
      </c>
      <c r="C182" s="3" t="str">
        <f>HYPERLINK("http://amigo.geneontology.org/amigo/term/GO:0009341","GO:0009341")</f>
        <v>GO:0009341</v>
      </c>
      <c r="D182" t="s">
        <v>13911</v>
      </c>
      <c r="E182">
        <v>4</v>
      </c>
      <c r="F182">
        <v>2</v>
      </c>
      <c r="G182">
        <v>1.65382977367741E-2</v>
      </c>
      <c r="H182">
        <v>0.19845957284129001</v>
      </c>
      <c r="I182" t="s">
        <v>13912</v>
      </c>
    </row>
    <row r="183" spans="1:9" x14ac:dyDescent="0.25">
      <c r="A183" s="2" t="s">
        <v>13913</v>
      </c>
      <c r="C183" s="3" t="str">
        <f>HYPERLINK("http://amigo.geneontology.org/amigo/term/GO:0004565","GO:0004565")</f>
        <v>GO:0004565</v>
      </c>
      <c r="D183" t="s">
        <v>839</v>
      </c>
      <c r="E183">
        <v>4</v>
      </c>
      <c r="F183">
        <v>2</v>
      </c>
      <c r="G183">
        <v>1.65382977367741E-2</v>
      </c>
      <c r="H183">
        <v>0.19845957284129001</v>
      </c>
      <c r="I183" t="s">
        <v>13912</v>
      </c>
    </row>
    <row r="184" spans="1:9" x14ac:dyDescent="0.25">
      <c r="A184" s="2" t="s">
        <v>13914</v>
      </c>
      <c r="C184" s="3" t="str">
        <f>HYPERLINK("http://amigo.geneontology.org/amigo/term/GO:0016857","GO:0016857")</f>
        <v>GO:0016857</v>
      </c>
      <c r="D184" t="s">
        <v>13915</v>
      </c>
      <c r="E184">
        <v>4</v>
      </c>
      <c r="F184">
        <v>2</v>
      </c>
      <c r="G184">
        <v>1.65382977367741E-2</v>
      </c>
      <c r="H184">
        <v>0.19845957284129001</v>
      </c>
      <c r="I184" t="s">
        <v>13916</v>
      </c>
    </row>
    <row r="185" spans="1:9" x14ac:dyDescent="0.25">
      <c r="A185" s="2" t="s">
        <v>13917</v>
      </c>
      <c r="C185" s="3" t="str">
        <f>HYPERLINK("http://amigo.geneontology.org/amigo/term/GO:0051494","GO:0051494")</f>
        <v>GO:0051494</v>
      </c>
      <c r="D185" t="s">
        <v>13918</v>
      </c>
      <c r="E185">
        <v>4</v>
      </c>
      <c r="F185">
        <v>2</v>
      </c>
      <c r="G185">
        <v>1.65382977367741E-2</v>
      </c>
      <c r="H185">
        <v>0.19845957284129001</v>
      </c>
      <c r="I185" t="s">
        <v>13919</v>
      </c>
    </row>
    <row r="186" spans="1:9" x14ac:dyDescent="0.25">
      <c r="A186" s="2" t="s">
        <v>13920</v>
      </c>
      <c r="C186" s="3" t="str">
        <f>HYPERLINK("http://amigo.geneontology.org/amigo/term/GO:1902904","GO:1902904")</f>
        <v>GO:1902904</v>
      </c>
      <c r="D186" t="s">
        <v>13921</v>
      </c>
      <c r="E186">
        <v>4</v>
      </c>
      <c r="F186">
        <v>2</v>
      </c>
      <c r="G186">
        <v>1.65382977367741E-2</v>
      </c>
      <c r="H186">
        <v>0.19845957284129001</v>
      </c>
      <c r="I186" t="s">
        <v>13919</v>
      </c>
    </row>
    <row r="187" spans="1:9" x14ac:dyDescent="0.25">
      <c r="A187" s="2" t="s">
        <v>13922</v>
      </c>
      <c r="C187" s="3" t="str">
        <f>HYPERLINK("http://amigo.geneontology.org/amigo/term/GO:0016289","GO:0016289")</f>
        <v>GO:0016289</v>
      </c>
      <c r="D187" t="s">
        <v>13923</v>
      </c>
      <c r="E187">
        <v>4</v>
      </c>
      <c r="F187">
        <v>2</v>
      </c>
      <c r="G187">
        <v>1.65382977367741E-2</v>
      </c>
      <c r="H187">
        <v>0.21499787057806399</v>
      </c>
      <c r="I187" t="s">
        <v>13924</v>
      </c>
    </row>
    <row r="188" spans="1:9" x14ac:dyDescent="0.25">
      <c r="A188" s="2" t="s">
        <v>13925</v>
      </c>
      <c r="C188" s="3" t="str">
        <f>HYPERLINK("http://amigo.geneontology.org/amigo/term/GO:0006112","GO:0006112")</f>
        <v>GO:0006112</v>
      </c>
      <c r="D188" t="s">
        <v>1001</v>
      </c>
      <c r="E188">
        <v>4</v>
      </c>
      <c r="F188">
        <v>2</v>
      </c>
      <c r="G188">
        <v>1.65382977367741E-2</v>
      </c>
      <c r="H188">
        <v>0.21499787057806399</v>
      </c>
      <c r="I188" t="s">
        <v>13865</v>
      </c>
    </row>
    <row r="189" spans="1:9" x14ac:dyDescent="0.25">
      <c r="A189" s="2" t="s">
        <v>13926</v>
      </c>
      <c r="C189" s="3" t="str">
        <f>HYPERLINK("http://amigo.geneontology.org/amigo/term/GO:0005977","GO:0005977")</f>
        <v>GO:0005977</v>
      </c>
      <c r="D189" t="s">
        <v>1004</v>
      </c>
      <c r="E189">
        <v>4</v>
      </c>
      <c r="F189">
        <v>2</v>
      </c>
      <c r="G189">
        <v>1.65382977367741E-2</v>
      </c>
      <c r="H189">
        <v>0.21499787057806399</v>
      </c>
      <c r="I189" t="s">
        <v>13865</v>
      </c>
    </row>
    <row r="190" spans="1:9" x14ac:dyDescent="0.25">
      <c r="A190" s="2" t="s">
        <v>13927</v>
      </c>
      <c r="C190" s="3" t="str">
        <f>HYPERLINK("http://amigo.geneontology.org/amigo/term/GO:0033692","GO:0033692")</f>
        <v>GO:0033692</v>
      </c>
      <c r="D190" t="s">
        <v>13928</v>
      </c>
      <c r="E190">
        <v>4</v>
      </c>
      <c r="F190">
        <v>2</v>
      </c>
      <c r="G190">
        <v>1.65382977367741E-2</v>
      </c>
      <c r="H190">
        <v>0.21499787057806399</v>
      </c>
      <c r="I190" t="s">
        <v>13865</v>
      </c>
    </row>
    <row r="191" spans="1:9" x14ac:dyDescent="0.25">
      <c r="A191" s="2" t="s">
        <v>13458</v>
      </c>
      <c r="C191" s="3" t="str">
        <f>HYPERLINK("http://amigo.geneontology.org/amigo/term/GO:0009250","GO:0009250")</f>
        <v>GO:0009250</v>
      </c>
      <c r="D191" t="s">
        <v>13929</v>
      </c>
      <c r="E191">
        <v>4</v>
      </c>
      <c r="F191">
        <v>2</v>
      </c>
      <c r="G191">
        <v>1.65382977367741E-2</v>
      </c>
      <c r="H191">
        <v>0.21499787057806399</v>
      </c>
      <c r="I191" t="s">
        <v>13865</v>
      </c>
    </row>
    <row r="192" spans="1:9" x14ac:dyDescent="0.25">
      <c r="A192" s="2" t="s">
        <v>13459</v>
      </c>
      <c r="C192" s="3" t="str">
        <f>HYPERLINK("http://amigo.geneontology.org/amigo/term/GO:0046364","GO:0046364")</f>
        <v>GO:0046364</v>
      </c>
      <c r="D192" t="s">
        <v>13930</v>
      </c>
      <c r="E192">
        <v>4</v>
      </c>
      <c r="F192">
        <v>2</v>
      </c>
      <c r="G192">
        <v>1.65382977367741E-2</v>
      </c>
      <c r="H192">
        <v>0.21499787057806399</v>
      </c>
      <c r="I192" t="s">
        <v>13931</v>
      </c>
    </row>
    <row r="193" spans="1:9" x14ac:dyDescent="0.25">
      <c r="A193" s="2" t="s">
        <v>13460</v>
      </c>
      <c r="C193" s="3" t="str">
        <f>HYPERLINK("http://amigo.geneontology.org/amigo/term/GO:0019319","GO:0019319")</f>
        <v>GO:0019319</v>
      </c>
      <c r="D193" t="s">
        <v>13932</v>
      </c>
      <c r="E193">
        <v>4</v>
      </c>
      <c r="F193">
        <v>2</v>
      </c>
      <c r="G193">
        <v>1.65382977367741E-2</v>
      </c>
      <c r="H193">
        <v>0.21499787057806399</v>
      </c>
      <c r="I193" t="s">
        <v>13931</v>
      </c>
    </row>
    <row r="194" spans="1:9" x14ac:dyDescent="0.25">
      <c r="A194" s="2" t="s">
        <v>13462</v>
      </c>
      <c r="C194" s="3" t="str">
        <f>HYPERLINK("http://amigo.geneontology.org/amigo/term/GO:0006094","GO:0006094")</f>
        <v>GO:0006094</v>
      </c>
      <c r="D194" t="s">
        <v>13933</v>
      </c>
      <c r="E194">
        <v>4</v>
      </c>
      <c r="F194">
        <v>2</v>
      </c>
      <c r="G194">
        <v>1.65382977367741E-2</v>
      </c>
      <c r="H194">
        <v>0.21499787057806399</v>
      </c>
      <c r="I194" t="s">
        <v>13931</v>
      </c>
    </row>
    <row r="195" spans="1:9" x14ac:dyDescent="0.25">
      <c r="A195" s="2" t="s">
        <v>13464</v>
      </c>
      <c r="C195" s="3" t="str">
        <f>HYPERLINK("http://amigo.geneontology.org/amigo/term/GO:0072527","GO:0072527")</f>
        <v>GO:0072527</v>
      </c>
      <c r="D195" t="s">
        <v>13224</v>
      </c>
      <c r="E195">
        <v>19</v>
      </c>
      <c r="F195">
        <v>4</v>
      </c>
      <c r="G195">
        <v>1.7561477430215501E-2</v>
      </c>
      <c r="H195">
        <v>0.21073772916258601</v>
      </c>
      <c r="I195" t="s">
        <v>13895</v>
      </c>
    </row>
    <row r="196" spans="1:9" x14ac:dyDescent="0.25">
      <c r="A196" s="2" t="s">
        <v>13466</v>
      </c>
      <c r="C196" s="3" t="str">
        <f>HYPERLINK("http://amigo.geneontology.org/amigo/term/GO:1901681","GO:1901681")</f>
        <v>GO:1901681</v>
      </c>
      <c r="D196" t="s">
        <v>13934</v>
      </c>
      <c r="E196">
        <v>11</v>
      </c>
      <c r="F196">
        <v>3</v>
      </c>
      <c r="G196">
        <v>1.9125802767380799E-2</v>
      </c>
      <c r="H196">
        <v>0.22950963320856901</v>
      </c>
      <c r="I196" t="s">
        <v>13858</v>
      </c>
    </row>
    <row r="197" spans="1:9" x14ac:dyDescent="0.25">
      <c r="A197" s="2" t="s">
        <v>13935</v>
      </c>
      <c r="C197" s="3" t="str">
        <f>HYPERLINK("http://amigo.geneontology.org/amigo/term/GO:0006749","GO:0006749")</f>
        <v>GO:0006749</v>
      </c>
      <c r="D197" t="s">
        <v>13936</v>
      </c>
      <c r="E197">
        <v>11</v>
      </c>
      <c r="F197">
        <v>3</v>
      </c>
      <c r="G197">
        <v>1.9125802767380799E-2</v>
      </c>
      <c r="H197">
        <v>0.22950963320856901</v>
      </c>
      <c r="I197" t="s">
        <v>13937</v>
      </c>
    </row>
    <row r="198" spans="1:9" x14ac:dyDescent="0.25">
      <c r="A198" s="2" t="s">
        <v>13938</v>
      </c>
      <c r="C198" s="3" t="str">
        <f>HYPERLINK("http://amigo.geneontology.org/amigo/term/GO:0005773","GO:0005773")</f>
        <v>GO:0005773</v>
      </c>
      <c r="D198" t="s">
        <v>13939</v>
      </c>
      <c r="E198">
        <v>20</v>
      </c>
      <c r="F198">
        <v>4</v>
      </c>
      <c r="G198">
        <v>2.1031188080177302E-2</v>
      </c>
      <c r="H198">
        <v>0.25237425696212701</v>
      </c>
      <c r="I198" t="s">
        <v>13940</v>
      </c>
    </row>
    <row r="199" spans="1:9" x14ac:dyDescent="0.25">
      <c r="A199" s="2" t="s">
        <v>13941</v>
      </c>
      <c r="C199" s="3" t="str">
        <f>HYPERLINK("http://amigo.geneontology.org/amigo/term/GO:0070279","GO:0070279")</f>
        <v>GO:0070279</v>
      </c>
      <c r="D199" t="s">
        <v>4253</v>
      </c>
      <c r="E199">
        <v>64</v>
      </c>
      <c r="F199">
        <v>8</v>
      </c>
      <c r="G199">
        <v>2.2110956621466098E-2</v>
      </c>
      <c r="H199">
        <v>0.265331479457593</v>
      </c>
      <c r="I199" t="s">
        <v>13942</v>
      </c>
    </row>
    <row r="200" spans="1:9" x14ac:dyDescent="0.25">
      <c r="A200" s="2" t="s">
        <v>13943</v>
      </c>
      <c r="C200" s="3" t="str">
        <f>HYPERLINK("http://amigo.geneontology.org/amigo/term/GO:0030170","GO:0030170")</f>
        <v>GO:0030170</v>
      </c>
      <c r="D200" t="s">
        <v>4255</v>
      </c>
      <c r="E200">
        <v>64</v>
      </c>
      <c r="F200">
        <v>8</v>
      </c>
      <c r="G200">
        <v>2.2110956621466098E-2</v>
      </c>
      <c r="H200">
        <v>0.265331479457593</v>
      </c>
      <c r="I200" t="s">
        <v>13942</v>
      </c>
    </row>
    <row r="201" spans="1:9" x14ac:dyDescent="0.25">
      <c r="A201" s="2" t="s">
        <v>13944</v>
      </c>
      <c r="C201" s="3" t="str">
        <f>HYPERLINK("http://amigo.geneontology.org/amigo/term/GO:0000287","GO:0000287")</f>
        <v>GO:0000287</v>
      </c>
      <c r="D201" t="s">
        <v>10177</v>
      </c>
      <c r="E201">
        <v>41</v>
      </c>
      <c r="F201">
        <v>6</v>
      </c>
      <c r="G201">
        <v>2.2494337840299299E-2</v>
      </c>
      <c r="H201">
        <v>0.269932054083592</v>
      </c>
      <c r="I201" t="s">
        <v>13945</v>
      </c>
    </row>
    <row r="202" spans="1:9" x14ac:dyDescent="0.25">
      <c r="A202" s="2" t="s">
        <v>13946</v>
      </c>
      <c r="C202" s="3" t="str">
        <f>HYPERLINK("http://amigo.geneontology.org/amigo/term/GO:1901137","GO:1901137")</f>
        <v>GO:1901137</v>
      </c>
      <c r="D202" t="s">
        <v>13947</v>
      </c>
      <c r="E202">
        <v>90</v>
      </c>
      <c r="F202">
        <v>10</v>
      </c>
      <c r="G202">
        <v>2.3991268294491601E-2</v>
      </c>
      <c r="H202">
        <v>0.28789521953389902</v>
      </c>
      <c r="I202" t="s">
        <v>13948</v>
      </c>
    </row>
    <row r="203" spans="1:9" x14ac:dyDescent="0.25">
      <c r="A203" s="2" t="s">
        <v>13949</v>
      </c>
      <c r="C203" s="3" t="str">
        <f>HYPERLINK("http://amigo.geneontology.org/amigo/term/GO:0016646","GO:0016646")</f>
        <v>GO:0016646</v>
      </c>
      <c r="D203" t="s">
        <v>13950</v>
      </c>
      <c r="E203">
        <v>12</v>
      </c>
      <c r="F203">
        <v>3</v>
      </c>
      <c r="G203">
        <v>2.4489487468311099E-2</v>
      </c>
      <c r="H203">
        <v>0.29387384961973301</v>
      </c>
      <c r="I203" t="s">
        <v>13951</v>
      </c>
    </row>
    <row r="204" spans="1:9" x14ac:dyDescent="0.25">
      <c r="A204" s="2" t="s">
        <v>13952</v>
      </c>
      <c r="C204" s="3" t="str">
        <f>HYPERLINK("http://amigo.geneontology.org/amigo/term/GO:0016836","GO:0016836")</f>
        <v>GO:0016836</v>
      </c>
      <c r="D204" t="s">
        <v>6100</v>
      </c>
      <c r="E204">
        <v>31</v>
      </c>
      <c r="F204">
        <v>5</v>
      </c>
      <c r="G204">
        <v>2.4706629302087901E-2</v>
      </c>
      <c r="H204">
        <v>0.27177292232296701</v>
      </c>
      <c r="I204" t="s">
        <v>13953</v>
      </c>
    </row>
    <row r="205" spans="1:9" x14ac:dyDescent="0.25">
      <c r="A205" s="2" t="s">
        <v>13954</v>
      </c>
      <c r="C205" s="3" t="str">
        <f>HYPERLINK("http://amigo.geneontology.org/amigo/term/GO:0006575","GO:0006575")</f>
        <v>GO:0006575</v>
      </c>
      <c r="D205" t="s">
        <v>7513</v>
      </c>
      <c r="E205">
        <v>31</v>
      </c>
      <c r="F205">
        <v>5</v>
      </c>
      <c r="G205">
        <v>2.4706629302087901E-2</v>
      </c>
      <c r="H205">
        <v>0.29647955162505502</v>
      </c>
      <c r="I205" t="s">
        <v>13955</v>
      </c>
    </row>
    <row r="206" spans="1:9" x14ac:dyDescent="0.25">
      <c r="A206" s="2" t="s">
        <v>13956</v>
      </c>
      <c r="C206" s="3" t="str">
        <f>HYPERLINK("http://amigo.geneontology.org/amigo/term/GO:0016854","GO:0016854")</f>
        <v>GO:0016854</v>
      </c>
      <c r="D206" t="s">
        <v>13957</v>
      </c>
      <c r="E206">
        <v>5</v>
      </c>
      <c r="F206">
        <v>2</v>
      </c>
      <c r="G206">
        <v>2.6576156788234901E-2</v>
      </c>
      <c r="H206">
        <v>0.292337724670584</v>
      </c>
      <c r="I206" t="s">
        <v>13916</v>
      </c>
    </row>
    <row r="207" spans="1:9" x14ac:dyDescent="0.25">
      <c r="A207" s="2" t="s">
        <v>13958</v>
      </c>
      <c r="C207" s="3" t="str">
        <f>HYPERLINK("http://amigo.geneontology.org/amigo/term/GO:0015919","GO:0015919")</f>
        <v>GO:0015919</v>
      </c>
      <c r="D207" t="s">
        <v>13959</v>
      </c>
      <c r="E207">
        <v>5</v>
      </c>
      <c r="F207">
        <v>2</v>
      </c>
      <c r="G207">
        <v>2.6576156788234901E-2</v>
      </c>
      <c r="H207">
        <v>0.292337724670584</v>
      </c>
      <c r="I207" t="s">
        <v>13960</v>
      </c>
    </row>
    <row r="208" spans="1:9" x14ac:dyDescent="0.25">
      <c r="A208" s="2" t="s">
        <v>13961</v>
      </c>
      <c r="C208" s="3" t="str">
        <f>HYPERLINK("http://amigo.geneontology.org/amigo/term/GO:0016558","GO:0016558")</f>
        <v>GO:0016558</v>
      </c>
      <c r="D208" t="s">
        <v>13962</v>
      </c>
      <c r="E208">
        <v>5</v>
      </c>
      <c r="F208">
        <v>2</v>
      </c>
      <c r="G208">
        <v>2.6576156788234901E-2</v>
      </c>
      <c r="H208">
        <v>0.292337724670584</v>
      </c>
      <c r="I208" t="s">
        <v>13960</v>
      </c>
    </row>
    <row r="209" spans="1:9" x14ac:dyDescent="0.25">
      <c r="A209" s="2" t="s">
        <v>13963</v>
      </c>
      <c r="C209" s="3" t="str">
        <f>HYPERLINK("http://amigo.geneontology.org/amigo/term/GO:0009097","GO:0009097")</f>
        <v>GO:0009097</v>
      </c>
      <c r="D209" t="s">
        <v>13964</v>
      </c>
      <c r="E209">
        <v>5</v>
      </c>
      <c r="F209">
        <v>2</v>
      </c>
      <c r="G209">
        <v>2.6576156788234901E-2</v>
      </c>
      <c r="H209">
        <v>0.292337724670584</v>
      </c>
      <c r="I209" t="s">
        <v>13826</v>
      </c>
    </row>
    <row r="210" spans="1:9" x14ac:dyDescent="0.25">
      <c r="A210" s="2" t="s">
        <v>13965</v>
      </c>
      <c r="C210" s="3" t="str">
        <f>HYPERLINK("http://amigo.geneontology.org/amigo/term/GO:0004616","GO:0004616")</f>
        <v>GO:0004616</v>
      </c>
      <c r="D210" t="s">
        <v>13966</v>
      </c>
      <c r="E210">
        <v>5</v>
      </c>
      <c r="F210">
        <v>2</v>
      </c>
      <c r="G210">
        <v>2.6576156788234901E-2</v>
      </c>
      <c r="H210">
        <v>0.292337724670584</v>
      </c>
      <c r="I210" t="s">
        <v>13967</v>
      </c>
    </row>
    <row r="211" spans="1:9" x14ac:dyDescent="0.25">
      <c r="A211" s="2" t="s">
        <v>13968</v>
      </c>
      <c r="C211" s="3" t="str">
        <f>HYPERLINK("http://amigo.geneontology.org/amigo/term/GO:0009071","GO:0009071")</f>
        <v>GO:0009071</v>
      </c>
      <c r="D211" t="s">
        <v>13969</v>
      </c>
      <c r="E211">
        <v>5</v>
      </c>
      <c r="F211">
        <v>2</v>
      </c>
      <c r="G211">
        <v>2.6576156788234901E-2</v>
      </c>
      <c r="H211">
        <v>0.292337724670584</v>
      </c>
      <c r="I211" t="s">
        <v>13970</v>
      </c>
    </row>
    <row r="212" spans="1:9" x14ac:dyDescent="0.25">
      <c r="A212" s="2" t="s">
        <v>13971</v>
      </c>
      <c r="C212" s="3" t="str">
        <f>HYPERLINK("http://amigo.geneontology.org/amigo/term/GO:0006546","GO:0006546")</f>
        <v>GO:0006546</v>
      </c>
      <c r="D212" t="s">
        <v>13972</v>
      </c>
      <c r="E212">
        <v>5</v>
      </c>
      <c r="F212">
        <v>2</v>
      </c>
      <c r="G212">
        <v>2.6576156788234901E-2</v>
      </c>
      <c r="H212">
        <v>0.292337724670584</v>
      </c>
      <c r="I212" t="s">
        <v>13970</v>
      </c>
    </row>
    <row r="213" spans="1:9" x14ac:dyDescent="0.25">
      <c r="A213" s="2" t="s">
        <v>13973</v>
      </c>
      <c r="C213" s="3" t="str">
        <f>HYPERLINK("http://amigo.geneontology.org/amigo/term/GO:0046527","GO:0046527")</f>
        <v>GO:0046527</v>
      </c>
      <c r="D213" t="s">
        <v>234</v>
      </c>
      <c r="E213">
        <v>5</v>
      </c>
      <c r="F213">
        <v>2</v>
      </c>
      <c r="G213">
        <v>2.6576156788234901E-2</v>
      </c>
      <c r="H213">
        <v>0.292337724670584</v>
      </c>
      <c r="I213" t="s">
        <v>13974</v>
      </c>
    </row>
    <row r="214" spans="1:9" x14ac:dyDescent="0.25">
      <c r="A214" s="2" t="s">
        <v>13975</v>
      </c>
      <c r="C214" s="3" t="str">
        <f>HYPERLINK("http://amigo.geneontology.org/amigo/term/GO:0035251","GO:0035251")</f>
        <v>GO:0035251</v>
      </c>
      <c r="D214" t="s">
        <v>436</v>
      </c>
      <c r="E214">
        <v>5</v>
      </c>
      <c r="F214">
        <v>2</v>
      </c>
      <c r="G214">
        <v>2.6576156788234901E-2</v>
      </c>
      <c r="H214">
        <v>0.292337724670584</v>
      </c>
      <c r="I214" t="s">
        <v>13974</v>
      </c>
    </row>
    <row r="215" spans="1:9" x14ac:dyDescent="0.25">
      <c r="A215" s="2" t="s">
        <v>13976</v>
      </c>
      <c r="C215" s="3" t="str">
        <f>HYPERLINK("http://amigo.geneontology.org/amigo/term/GO:0019566","GO:0019566")</f>
        <v>GO:0019566</v>
      </c>
      <c r="D215" t="s">
        <v>1278</v>
      </c>
      <c r="E215">
        <v>5</v>
      </c>
      <c r="F215">
        <v>2</v>
      </c>
      <c r="G215">
        <v>2.6576156788234901E-2</v>
      </c>
      <c r="H215">
        <v>0.292337724670584</v>
      </c>
      <c r="I215" t="s">
        <v>13977</v>
      </c>
    </row>
    <row r="216" spans="1:9" x14ac:dyDescent="0.25">
      <c r="A216" s="2" t="s">
        <v>13978</v>
      </c>
      <c r="C216" s="3" t="str">
        <f>HYPERLINK("http://amigo.geneontology.org/amigo/term/GO:0046373","GO:0046373")</f>
        <v>GO:0046373</v>
      </c>
      <c r="D216" t="s">
        <v>1281</v>
      </c>
      <c r="E216">
        <v>5</v>
      </c>
      <c r="F216">
        <v>2</v>
      </c>
      <c r="G216">
        <v>2.6576156788234901E-2</v>
      </c>
      <c r="H216">
        <v>0.292337724670584</v>
      </c>
      <c r="I216" t="s">
        <v>13977</v>
      </c>
    </row>
    <row r="217" spans="1:9" x14ac:dyDescent="0.25">
      <c r="A217" s="2" t="s">
        <v>13979</v>
      </c>
      <c r="C217" s="3" t="str">
        <f>HYPERLINK("http://amigo.geneontology.org/amigo/term/GO:0046556","GO:0046556")</f>
        <v>GO:0046556</v>
      </c>
      <c r="D217" t="s">
        <v>1283</v>
      </c>
      <c r="E217">
        <v>5</v>
      </c>
      <c r="F217">
        <v>2</v>
      </c>
      <c r="G217">
        <v>2.6576156788234901E-2</v>
      </c>
      <c r="H217">
        <v>0.292337724670584</v>
      </c>
      <c r="I217" t="s">
        <v>13977</v>
      </c>
    </row>
    <row r="218" spans="1:9" x14ac:dyDescent="0.25">
      <c r="A218" s="2" t="s">
        <v>13980</v>
      </c>
      <c r="C218" s="3" t="str">
        <f>HYPERLINK("http://amigo.geneontology.org/amigo/term/GO:0044257","GO:0044257")</f>
        <v>GO:0044257</v>
      </c>
      <c r="D218" t="s">
        <v>10610</v>
      </c>
      <c r="E218">
        <v>43</v>
      </c>
      <c r="F218">
        <v>6</v>
      </c>
      <c r="G218">
        <v>2.78580749856552E-2</v>
      </c>
      <c r="H218">
        <v>0.30643882484220702</v>
      </c>
      <c r="I218" t="s">
        <v>13981</v>
      </c>
    </row>
    <row r="219" spans="1:9" x14ac:dyDescent="0.25">
      <c r="A219" s="2" t="s">
        <v>13982</v>
      </c>
      <c r="C219" s="3" t="str">
        <f>HYPERLINK("http://amigo.geneontology.org/amigo/term/GO:0051603","GO:0051603")</f>
        <v>GO:0051603</v>
      </c>
      <c r="D219" t="s">
        <v>10600</v>
      </c>
      <c r="E219">
        <v>43</v>
      </c>
      <c r="F219">
        <v>6</v>
      </c>
      <c r="G219">
        <v>2.78580749856552E-2</v>
      </c>
      <c r="H219">
        <v>0.30643882484220702</v>
      </c>
      <c r="I219" t="s">
        <v>13981</v>
      </c>
    </row>
    <row r="220" spans="1:9" x14ac:dyDescent="0.25">
      <c r="A220" s="2" t="s">
        <v>13983</v>
      </c>
      <c r="C220" s="3" t="str">
        <f>HYPERLINK("http://amigo.geneontology.org/amigo/term/GO:0042737","GO:0042737")</f>
        <v>GO:0042737</v>
      </c>
      <c r="D220" t="s">
        <v>1072</v>
      </c>
      <c r="E220">
        <v>32</v>
      </c>
      <c r="F220">
        <v>5</v>
      </c>
      <c r="G220">
        <v>2.80163079352325E-2</v>
      </c>
      <c r="H220">
        <v>0.308179387287558</v>
      </c>
      <c r="I220" t="s">
        <v>13984</v>
      </c>
    </row>
    <row r="221" spans="1:9" x14ac:dyDescent="0.25">
      <c r="A221" s="2" t="s">
        <v>13985</v>
      </c>
      <c r="C221" s="3" t="str">
        <f>HYPERLINK("http://amigo.geneontology.org/amigo/term/GO:0070887","GO:0070887")</f>
        <v>GO:0070887</v>
      </c>
      <c r="D221" t="s">
        <v>6846</v>
      </c>
      <c r="E221">
        <v>22</v>
      </c>
      <c r="F221">
        <v>4</v>
      </c>
      <c r="G221">
        <v>2.9153487804376599E-2</v>
      </c>
      <c r="H221">
        <v>0.32068836584814298</v>
      </c>
      <c r="I221" t="s">
        <v>13986</v>
      </c>
    </row>
    <row r="222" spans="1:9" x14ac:dyDescent="0.25">
      <c r="A222" s="2" t="s">
        <v>13987</v>
      </c>
      <c r="C222" s="3" t="str">
        <f>HYPERLINK("http://amigo.geneontology.org/amigo/term/GO:0009086","GO:0009086")</f>
        <v>GO:0009086</v>
      </c>
      <c r="D222" t="s">
        <v>13988</v>
      </c>
      <c r="E222">
        <v>13</v>
      </c>
      <c r="F222">
        <v>3</v>
      </c>
      <c r="G222">
        <v>3.05772113210772E-2</v>
      </c>
      <c r="H222">
        <v>0.30577211321077202</v>
      </c>
      <c r="I222" t="s">
        <v>13989</v>
      </c>
    </row>
    <row r="223" spans="1:9" x14ac:dyDescent="0.25">
      <c r="A223" s="2" t="s">
        <v>13990</v>
      </c>
      <c r="C223" s="3" t="str">
        <f>HYPERLINK("http://amigo.geneontology.org/amigo/term/GO:0034655","GO:0034655")</f>
        <v>GO:0034655</v>
      </c>
      <c r="D223" t="s">
        <v>5097</v>
      </c>
      <c r="E223">
        <v>34</v>
      </c>
      <c r="F223">
        <v>5</v>
      </c>
      <c r="G223">
        <v>3.54460241222187E-2</v>
      </c>
      <c r="H223">
        <v>0.354460241222187</v>
      </c>
      <c r="I223" t="s">
        <v>13648</v>
      </c>
    </row>
    <row r="224" spans="1:9" x14ac:dyDescent="0.25">
      <c r="A224" s="2" t="s">
        <v>13991</v>
      </c>
      <c r="C224" s="3" t="str">
        <f>HYPERLINK("http://amigo.geneontology.org/amigo/term/GO:0018130","GO:0018130")</f>
        <v>GO:0018130</v>
      </c>
      <c r="D224" t="s">
        <v>6819</v>
      </c>
      <c r="E224">
        <v>377</v>
      </c>
      <c r="F224">
        <v>29</v>
      </c>
      <c r="G224">
        <v>3.6478888791309401E-2</v>
      </c>
      <c r="H224">
        <v>0.364788887913094</v>
      </c>
      <c r="I224" t="s">
        <v>13992</v>
      </c>
    </row>
    <row r="225" spans="1:9" x14ac:dyDescent="0.25">
      <c r="A225" s="2" t="s">
        <v>13993</v>
      </c>
      <c r="C225" s="3" t="str">
        <f>HYPERLINK("http://amigo.geneontology.org/amigo/term/GO:0019439","GO:0019439")</f>
        <v>GO:0019439</v>
      </c>
      <c r="D225" t="s">
        <v>5092</v>
      </c>
      <c r="E225">
        <v>58</v>
      </c>
      <c r="F225">
        <v>7</v>
      </c>
      <c r="G225">
        <v>3.7088515742102597E-2</v>
      </c>
      <c r="H225">
        <v>0.37088515742102601</v>
      </c>
      <c r="I225" t="s">
        <v>13994</v>
      </c>
    </row>
    <row r="226" spans="1:9" x14ac:dyDescent="0.25">
      <c r="A226" s="2" t="s">
        <v>13995</v>
      </c>
      <c r="C226" s="3" t="str">
        <f>HYPERLINK("http://amigo.geneontology.org/amigo/term/GO:0044042","GO:0044042")</f>
        <v>GO:0044042</v>
      </c>
      <c r="D226" t="s">
        <v>365</v>
      </c>
      <c r="E226">
        <v>14</v>
      </c>
      <c r="F226">
        <v>3</v>
      </c>
      <c r="G226">
        <v>3.7381961828965499E-2</v>
      </c>
      <c r="H226">
        <v>0.37381961828965499</v>
      </c>
      <c r="I226" t="s">
        <v>13996</v>
      </c>
    </row>
    <row r="227" spans="1:9" x14ac:dyDescent="0.25">
      <c r="A227" s="2" t="s">
        <v>13997</v>
      </c>
      <c r="C227" s="3" t="str">
        <f>HYPERLINK("http://amigo.geneontology.org/amigo/term/GO:0044264","GO:0044264")</f>
        <v>GO:0044264</v>
      </c>
      <c r="D227" t="s">
        <v>469</v>
      </c>
      <c r="E227">
        <v>14</v>
      </c>
      <c r="F227">
        <v>3</v>
      </c>
      <c r="G227">
        <v>3.7381961828965499E-2</v>
      </c>
      <c r="H227">
        <v>0.37381961828965499</v>
      </c>
      <c r="I227" t="s">
        <v>13996</v>
      </c>
    </row>
    <row r="228" spans="1:9" x14ac:dyDescent="0.25">
      <c r="A228" s="2" t="s">
        <v>13998</v>
      </c>
      <c r="C228" s="3" t="str">
        <f>HYPERLINK("http://amigo.geneontology.org/amigo/term/GO:0006073","GO:0006073")</f>
        <v>GO:0006073</v>
      </c>
      <c r="D228" t="s">
        <v>368</v>
      </c>
      <c r="E228">
        <v>14</v>
      </c>
      <c r="F228">
        <v>3</v>
      </c>
      <c r="G228">
        <v>3.7381961828965499E-2</v>
      </c>
      <c r="H228">
        <v>0.37381961828965499</v>
      </c>
      <c r="I228" t="s">
        <v>13996</v>
      </c>
    </row>
    <row r="229" spans="1:9" x14ac:dyDescent="0.25">
      <c r="A229" s="2" t="s">
        <v>13999</v>
      </c>
      <c r="C229" s="3" t="str">
        <f>HYPERLINK("http://amigo.geneontology.org/amigo/term/GO:0044106","GO:0044106")</f>
        <v>GO:0044106</v>
      </c>
      <c r="D229" t="s">
        <v>6318</v>
      </c>
      <c r="E229">
        <v>14</v>
      </c>
      <c r="F229">
        <v>3</v>
      </c>
      <c r="G229">
        <v>3.7381961828965499E-2</v>
      </c>
      <c r="H229">
        <v>0.37381961828965499</v>
      </c>
      <c r="I229" t="s">
        <v>14000</v>
      </c>
    </row>
    <row r="230" spans="1:9" x14ac:dyDescent="0.25">
      <c r="A230" s="2" t="s">
        <v>14001</v>
      </c>
      <c r="C230" s="3" t="str">
        <f>HYPERLINK("http://amigo.geneontology.org/amigo/term/GO:0006576","GO:0006576")</f>
        <v>GO:0006576</v>
      </c>
      <c r="D230" t="s">
        <v>6314</v>
      </c>
      <c r="E230">
        <v>14</v>
      </c>
      <c r="F230">
        <v>3</v>
      </c>
      <c r="G230">
        <v>3.7381961828965499E-2</v>
      </c>
      <c r="H230">
        <v>0.37381961828965499</v>
      </c>
      <c r="I230" t="s">
        <v>14000</v>
      </c>
    </row>
    <row r="231" spans="1:9" x14ac:dyDescent="0.25">
      <c r="A231" s="2" t="s">
        <v>14002</v>
      </c>
      <c r="C231" s="3" t="str">
        <f>HYPERLINK("http://amigo.geneontology.org/amigo/term/GO:0044282","GO:0044282")</f>
        <v>GO:0044282</v>
      </c>
      <c r="D231" t="s">
        <v>5280</v>
      </c>
      <c r="E231">
        <v>46</v>
      </c>
      <c r="F231">
        <v>6</v>
      </c>
      <c r="G231">
        <v>3.7381966417627303E-2</v>
      </c>
      <c r="H231">
        <v>0.37381966417627299</v>
      </c>
      <c r="I231" t="s">
        <v>14003</v>
      </c>
    </row>
    <row r="232" spans="1:9" x14ac:dyDescent="0.25">
      <c r="A232" s="2" t="s">
        <v>14004</v>
      </c>
      <c r="C232" s="3" t="str">
        <f>HYPERLINK("http://amigo.geneontology.org/amigo/term/GO:0006549","GO:0006549")</f>
        <v>GO:0006549</v>
      </c>
      <c r="D232" t="s">
        <v>14005</v>
      </c>
      <c r="E232">
        <v>6</v>
      </c>
      <c r="F232">
        <v>2</v>
      </c>
      <c r="G232">
        <v>3.8442512493594198E-2</v>
      </c>
      <c r="H232">
        <v>0.384425124935942</v>
      </c>
      <c r="I232" t="s">
        <v>13826</v>
      </c>
    </row>
    <row r="233" spans="1:9" x14ac:dyDescent="0.25">
      <c r="A233" s="2" t="s">
        <v>14006</v>
      </c>
      <c r="C233" s="3" t="str">
        <f>HYPERLINK("http://amigo.geneontology.org/amigo/term/GO:0006536","GO:0006536")</f>
        <v>GO:0006536</v>
      </c>
      <c r="D233" t="s">
        <v>4436</v>
      </c>
      <c r="E233">
        <v>6</v>
      </c>
      <c r="F233">
        <v>2</v>
      </c>
      <c r="G233">
        <v>3.8442512493594198E-2</v>
      </c>
      <c r="H233">
        <v>0.384425124935942</v>
      </c>
      <c r="I233" t="s">
        <v>14007</v>
      </c>
    </row>
    <row r="234" spans="1:9" x14ac:dyDescent="0.25">
      <c r="A234" s="2" t="s">
        <v>14008</v>
      </c>
      <c r="C234" s="3" t="str">
        <f>HYPERLINK("http://amigo.geneontology.org/amigo/term/GO:0019751","GO:0019751")</f>
        <v>GO:0019751</v>
      </c>
      <c r="D234" t="s">
        <v>83</v>
      </c>
      <c r="E234">
        <v>6</v>
      </c>
      <c r="F234">
        <v>2</v>
      </c>
      <c r="G234">
        <v>3.8442512493594198E-2</v>
      </c>
      <c r="H234">
        <v>0.384425124935942</v>
      </c>
      <c r="I234" t="s">
        <v>14009</v>
      </c>
    </row>
    <row r="235" spans="1:9" x14ac:dyDescent="0.25">
      <c r="A235" s="2" t="s">
        <v>14010</v>
      </c>
      <c r="C235" s="3" t="str">
        <f>HYPERLINK("http://amigo.geneontology.org/amigo/term/GO:0034599","GO:0034599")</f>
        <v>GO:0034599</v>
      </c>
      <c r="D235" t="s">
        <v>14011</v>
      </c>
      <c r="E235">
        <v>6</v>
      </c>
      <c r="F235">
        <v>2</v>
      </c>
      <c r="G235">
        <v>3.8442512493594198E-2</v>
      </c>
      <c r="H235">
        <v>0.384425124935942</v>
      </c>
      <c r="I235" t="s">
        <v>14012</v>
      </c>
    </row>
    <row r="236" spans="1:9" x14ac:dyDescent="0.25">
      <c r="A236" s="2" t="s">
        <v>14013</v>
      </c>
      <c r="C236" s="3" t="str">
        <f>HYPERLINK("http://amigo.geneontology.org/amigo/term/GO:0016790","GO:0016790")</f>
        <v>GO:0016790</v>
      </c>
      <c r="D236" t="s">
        <v>14014</v>
      </c>
      <c r="E236">
        <v>6</v>
      </c>
      <c r="F236">
        <v>2</v>
      </c>
      <c r="G236">
        <v>3.8442512493594198E-2</v>
      </c>
      <c r="H236">
        <v>0.384425124935942</v>
      </c>
      <c r="I236" t="s">
        <v>13924</v>
      </c>
    </row>
    <row r="237" spans="1:9" x14ac:dyDescent="0.25">
      <c r="A237" s="2" t="s">
        <v>14015</v>
      </c>
      <c r="C237" s="3" t="str">
        <f>HYPERLINK("http://amigo.geneontology.org/amigo/term/GO:0006561","GO:0006561")</f>
        <v>GO:0006561</v>
      </c>
      <c r="D237" t="s">
        <v>9705</v>
      </c>
      <c r="E237">
        <v>6</v>
      </c>
      <c r="F237">
        <v>2</v>
      </c>
      <c r="G237">
        <v>3.8442512493594198E-2</v>
      </c>
      <c r="H237">
        <v>0.384425124935942</v>
      </c>
      <c r="I237" t="s">
        <v>14016</v>
      </c>
    </row>
    <row r="238" spans="1:9" x14ac:dyDescent="0.25">
      <c r="A238" s="2" t="s">
        <v>14017</v>
      </c>
      <c r="C238" s="3" t="str">
        <f>HYPERLINK("http://amigo.geneontology.org/amigo/term/GO:0016197","GO:0016197")</f>
        <v>GO:0016197</v>
      </c>
      <c r="D238" t="s">
        <v>14018</v>
      </c>
      <c r="E238">
        <v>6</v>
      </c>
      <c r="F238">
        <v>2</v>
      </c>
      <c r="G238">
        <v>3.8442512493594198E-2</v>
      </c>
      <c r="H238">
        <v>0.384425124935942</v>
      </c>
      <c r="I238" t="s">
        <v>14019</v>
      </c>
    </row>
    <row r="239" spans="1:9" x14ac:dyDescent="0.25">
      <c r="A239" s="2" t="s">
        <v>14020</v>
      </c>
      <c r="C239" s="3" t="str">
        <f>HYPERLINK("http://amigo.geneontology.org/amigo/term/GO:0046961","GO:0046961")</f>
        <v>GO:0046961</v>
      </c>
      <c r="D239" t="s">
        <v>4452</v>
      </c>
      <c r="E239">
        <v>6</v>
      </c>
      <c r="F239">
        <v>2</v>
      </c>
      <c r="G239">
        <v>3.8442512493594198E-2</v>
      </c>
      <c r="H239">
        <v>0.384425124935942</v>
      </c>
      <c r="I239" t="s">
        <v>14021</v>
      </c>
    </row>
    <row r="240" spans="1:9" x14ac:dyDescent="0.25">
      <c r="A240" s="2" t="s">
        <v>14022</v>
      </c>
      <c r="C240" s="3" t="str">
        <f>HYPERLINK("http://amigo.geneontology.org/amigo/term/GO:0016651","GO:0016651")</f>
        <v>GO:0016651</v>
      </c>
      <c r="D240" t="s">
        <v>14023</v>
      </c>
      <c r="E240">
        <v>24</v>
      </c>
      <c r="F240">
        <v>4</v>
      </c>
      <c r="G240">
        <v>3.8896965256206603E-2</v>
      </c>
      <c r="H240">
        <v>0.388969652562066</v>
      </c>
      <c r="I240" t="s">
        <v>14024</v>
      </c>
    </row>
    <row r="241" spans="1:9" x14ac:dyDescent="0.25">
      <c r="A241" s="2" t="s">
        <v>14025</v>
      </c>
      <c r="C241" s="3" t="str">
        <f>HYPERLINK("http://amigo.geneontology.org/amigo/term/GO:0045333","GO:0045333")</f>
        <v>GO:0045333</v>
      </c>
      <c r="D241" t="s">
        <v>14026</v>
      </c>
      <c r="E241">
        <v>24</v>
      </c>
      <c r="F241">
        <v>4</v>
      </c>
      <c r="G241">
        <v>3.8896965256206603E-2</v>
      </c>
      <c r="H241">
        <v>0.388969652562066</v>
      </c>
      <c r="I241" t="s">
        <v>14027</v>
      </c>
    </row>
    <row r="242" spans="1:9" x14ac:dyDescent="0.25">
      <c r="A242" s="2" t="s">
        <v>14028</v>
      </c>
      <c r="C242" s="3" t="str">
        <f>HYPERLINK("http://amigo.geneontology.org/amigo/term/GO:0016054","GO:0016054")</f>
        <v>GO:0016054</v>
      </c>
      <c r="D242" t="s">
        <v>5292</v>
      </c>
      <c r="E242">
        <v>35</v>
      </c>
      <c r="F242">
        <v>5</v>
      </c>
      <c r="G242">
        <v>3.9575241336771802E-2</v>
      </c>
      <c r="H242">
        <v>0.35617717203094601</v>
      </c>
      <c r="I242" t="s">
        <v>13855</v>
      </c>
    </row>
    <row r="243" spans="1:9" x14ac:dyDescent="0.25">
      <c r="A243" s="2" t="s">
        <v>14029</v>
      </c>
      <c r="C243" s="3" t="str">
        <f>HYPERLINK("http://amigo.geneontology.org/amigo/term/GO:0046395","GO:0046395")</f>
        <v>GO:0046395</v>
      </c>
      <c r="D243" t="s">
        <v>5294</v>
      </c>
      <c r="E243">
        <v>35</v>
      </c>
      <c r="F243">
        <v>5</v>
      </c>
      <c r="G243">
        <v>3.9575241336771802E-2</v>
      </c>
      <c r="H243">
        <v>0.39575241336771799</v>
      </c>
      <c r="I243" t="s">
        <v>13855</v>
      </c>
    </row>
    <row r="244" spans="1:9" x14ac:dyDescent="0.25">
      <c r="A244" s="2" t="s">
        <v>14030</v>
      </c>
      <c r="C244" s="3" t="str">
        <f>HYPERLINK("http://amigo.geneontology.org/amigo/term/GO:1901361","GO:1901361")</f>
        <v>GO:1901361</v>
      </c>
      <c r="D244" t="s">
        <v>5100</v>
      </c>
      <c r="E244">
        <v>60</v>
      </c>
      <c r="F244">
        <v>7</v>
      </c>
      <c r="G244">
        <v>4.3468627298866899E-2</v>
      </c>
      <c r="H244">
        <v>0.391217645689802</v>
      </c>
      <c r="I244" t="s">
        <v>13994</v>
      </c>
    </row>
    <row r="245" spans="1:9" x14ac:dyDescent="0.25">
      <c r="A245" s="2" t="s">
        <v>14031</v>
      </c>
      <c r="C245" s="3" t="str">
        <f>HYPERLINK("http://amigo.geneontology.org/amigo/term/GO:0016791","GO:0016791")</f>
        <v>GO:0016791</v>
      </c>
      <c r="D245" t="s">
        <v>962</v>
      </c>
      <c r="E245">
        <v>60</v>
      </c>
      <c r="F245">
        <v>7</v>
      </c>
      <c r="G245">
        <v>4.3468627298866899E-2</v>
      </c>
      <c r="H245">
        <v>0.391217645689802</v>
      </c>
      <c r="I245" t="s">
        <v>14032</v>
      </c>
    </row>
    <row r="246" spans="1:9" x14ac:dyDescent="0.25">
      <c r="A246" s="2" t="s">
        <v>14033</v>
      </c>
      <c r="C246" s="3" t="str">
        <f>HYPERLINK("http://amigo.geneontology.org/amigo/term/GO:0016740","GO:0016740")</f>
        <v>GO:0016740</v>
      </c>
      <c r="D246" t="s">
        <v>855</v>
      </c>
      <c r="E246">
        <v>691</v>
      </c>
      <c r="F246">
        <v>48</v>
      </c>
      <c r="G246">
        <v>4.4285608150592397E-2</v>
      </c>
      <c r="H246">
        <v>0.39857047335533102</v>
      </c>
      <c r="I246" t="s">
        <v>14034</v>
      </c>
    </row>
    <row r="247" spans="1:9" x14ac:dyDescent="0.25">
      <c r="A247" s="2" t="s">
        <v>14035</v>
      </c>
      <c r="C247" s="3" t="str">
        <f>HYPERLINK("http://amigo.geneontology.org/amigo/term/GO:0006555","GO:0006555")</f>
        <v>GO:0006555</v>
      </c>
      <c r="D247" t="s">
        <v>14036</v>
      </c>
      <c r="E247">
        <v>15</v>
      </c>
      <c r="F247">
        <v>3</v>
      </c>
      <c r="G247">
        <v>4.4890609536313797E-2</v>
      </c>
      <c r="H247">
        <v>0.40401548582682401</v>
      </c>
      <c r="I247" t="s">
        <v>13989</v>
      </c>
    </row>
    <row r="248" spans="1:9" x14ac:dyDescent="0.25">
      <c r="A248" s="2" t="s">
        <v>14037</v>
      </c>
      <c r="C248" s="3" t="str">
        <f>HYPERLINK("http://amigo.geneontology.org/amigo/term/GO:0016999","GO:0016999")</f>
        <v>GO:0016999</v>
      </c>
      <c r="D248" t="s">
        <v>764</v>
      </c>
      <c r="E248">
        <v>26</v>
      </c>
      <c r="F248">
        <v>4</v>
      </c>
      <c r="G248">
        <v>5.0283277222409099E-2</v>
      </c>
      <c r="H248">
        <v>0.45254949500168201</v>
      </c>
      <c r="I248" t="s">
        <v>14038</v>
      </c>
    </row>
    <row r="249" spans="1:9" x14ac:dyDescent="0.25">
      <c r="A249" s="2" t="s">
        <v>14039</v>
      </c>
      <c r="C249" s="3" t="str">
        <f>HYPERLINK("http://amigo.geneontology.org/amigo/term/GO:0043574","GO:0043574")</f>
        <v>GO:0043574</v>
      </c>
      <c r="D249" t="s">
        <v>14040</v>
      </c>
      <c r="E249">
        <v>7</v>
      </c>
      <c r="F249">
        <v>2</v>
      </c>
      <c r="G249">
        <v>5.1909206741126097E-2</v>
      </c>
      <c r="H249">
        <v>0.46718286067013498</v>
      </c>
      <c r="I249" t="s">
        <v>13960</v>
      </c>
    </row>
    <row r="250" spans="1:9" x14ac:dyDescent="0.25">
      <c r="A250" s="2" t="s">
        <v>14041</v>
      </c>
      <c r="C250" s="3" t="str">
        <f>HYPERLINK("http://amigo.geneontology.org/amigo/term/GO:0072662","GO:0072662")</f>
        <v>GO:0072662</v>
      </c>
      <c r="D250" t="s">
        <v>14042</v>
      </c>
      <c r="E250">
        <v>7</v>
      </c>
      <c r="F250">
        <v>2</v>
      </c>
      <c r="G250">
        <v>5.1909206741126097E-2</v>
      </c>
      <c r="H250">
        <v>0.46718286067013498</v>
      </c>
      <c r="I250" t="s">
        <v>13960</v>
      </c>
    </row>
    <row r="251" spans="1:9" x14ac:dyDescent="0.25">
      <c r="A251" s="2" t="s">
        <v>14043</v>
      </c>
      <c r="C251" s="3" t="str">
        <f>HYPERLINK("http://amigo.geneontology.org/amigo/term/GO:0072663","GO:0072663")</f>
        <v>GO:0072663</v>
      </c>
      <c r="D251" t="s">
        <v>14044</v>
      </c>
      <c r="E251">
        <v>7</v>
      </c>
      <c r="F251">
        <v>2</v>
      </c>
      <c r="G251">
        <v>5.1909206741126097E-2</v>
      </c>
      <c r="H251">
        <v>0.46718286067013498</v>
      </c>
      <c r="I251" t="s">
        <v>13960</v>
      </c>
    </row>
    <row r="252" spans="1:9" x14ac:dyDescent="0.25">
      <c r="A252" s="2" t="s">
        <v>14045</v>
      </c>
      <c r="C252" s="3" t="str">
        <f>HYPERLINK("http://amigo.geneontology.org/amigo/term/GO:0006625","GO:0006625")</f>
        <v>GO:0006625</v>
      </c>
      <c r="D252" t="s">
        <v>14046</v>
      </c>
      <c r="E252">
        <v>7</v>
      </c>
      <c r="F252">
        <v>2</v>
      </c>
      <c r="G252">
        <v>5.1909206741126097E-2</v>
      </c>
      <c r="H252">
        <v>0.46718286067013498</v>
      </c>
      <c r="I252" t="s">
        <v>13960</v>
      </c>
    </row>
    <row r="253" spans="1:9" x14ac:dyDescent="0.25">
      <c r="A253" s="2" t="s">
        <v>14047</v>
      </c>
      <c r="C253" s="3" t="str">
        <f>HYPERLINK("http://amigo.geneontology.org/amigo/term/GO:0042135","GO:0042135")</f>
        <v>GO:0042135</v>
      </c>
      <c r="D253" t="s">
        <v>14048</v>
      </c>
      <c r="E253">
        <v>7</v>
      </c>
      <c r="F253">
        <v>2</v>
      </c>
      <c r="G253">
        <v>5.1909206741126097E-2</v>
      </c>
      <c r="H253">
        <v>0.46718286067013498</v>
      </c>
      <c r="I253" t="s">
        <v>13970</v>
      </c>
    </row>
    <row r="254" spans="1:9" x14ac:dyDescent="0.25">
      <c r="A254" s="2" t="s">
        <v>14049</v>
      </c>
      <c r="C254" s="3" t="str">
        <f>HYPERLINK("http://amigo.geneontology.org/amigo/term/GO:0004722","GO:0004722")</f>
        <v>GO:0004722</v>
      </c>
      <c r="D254" t="s">
        <v>5298</v>
      </c>
      <c r="E254">
        <v>7</v>
      </c>
      <c r="F254">
        <v>2</v>
      </c>
      <c r="G254">
        <v>5.1909206741126097E-2</v>
      </c>
      <c r="H254">
        <v>0.46718286067013498</v>
      </c>
      <c r="I254" t="s">
        <v>14050</v>
      </c>
    </row>
    <row r="255" spans="1:9" x14ac:dyDescent="0.25">
      <c r="A255" s="2" t="s">
        <v>14051</v>
      </c>
      <c r="C255" s="3" t="str">
        <f>HYPERLINK("http://amigo.geneontology.org/amigo/term/GO:0015079","GO:0015079")</f>
        <v>GO:0015079</v>
      </c>
      <c r="D255" t="s">
        <v>264</v>
      </c>
      <c r="E255">
        <v>7</v>
      </c>
      <c r="F255">
        <v>2</v>
      </c>
      <c r="G255">
        <v>5.1909206741126097E-2</v>
      </c>
      <c r="H255">
        <v>0.46718286067013498</v>
      </c>
      <c r="I255" t="s">
        <v>14052</v>
      </c>
    </row>
    <row r="256" spans="1:9" x14ac:dyDescent="0.25">
      <c r="A256" s="2" t="s">
        <v>14053</v>
      </c>
      <c r="C256" s="3" t="str">
        <f>HYPERLINK("http://amigo.geneontology.org/amigo/term/GO:0036442","GO:0036442")</f>
        <v>GO:0036442</v>
      </c>
      <c r="D256" t="s">
        <v>14054</v>
      </c>
      <c r="E256">
        <v>7</v>
      </c>
      <c r="F256">
        <v>2</v>
      </c>
      <c r="G256">
        <v>5.1909206741126097E-2</v>
      </c>
      <c r="H256">
        <v>0.46718286067013498</v>
      </c>
      <c r="I256" t="s">
        <v>14021</v>
      </c>
    </row>
    <row r="257" spans="1:9" x14ac:dyDescent="0.25">
      <c r="A257" s="2" t="s">
        <v>14055</v>
      </c>
      <c r="C257" s="3" t="str">
        <f>HYPERLINK("http://amigo.geneontology.org/amigo/term/GO:0016879","GO:0016879")</f>
        <v>GO:0016879</v>
      </c>
      <c r="D257" t="s">
        <v>13493</v>
      </c>
      <c r="E257">
        <v>50</v>
      </c>
      <c r="F257">
        <v>6</v>
      </c>
      <c r="G257">
        <v>5.2989744497046201E-2</v>
      </c>
      <c r="H257">
        <v>0.47690770047341602</v>
      </c>
      <c r="I257" t="s">
        <v>14056</v>
      </c>
    </row>
    <row r="258" spans="1:9" x14ac:dyDescent="0.25">
      <c r="A258" s="2" t="s">
        <v>14057</v>
      </c>
      <c r="C258" s="3" t="str">
        <f>HYPERLINK("http://amigo.geneontology.org/amigo/term/GO:0016859","GO:0016859")</f>
        <v>GO:0016859</v>
      </c>
      <c r="D258" t="s">
        <v>14058</v>
      </c>
      <c r="E258">
        <v>16</v>
      </c>
      <c r="F258">
        <v>3</v>
      </c>
      <c r="G258">
        <v>5.3084846195761301E-2</v>
      </c>
      <c r="H258">
        <v>0.477763615761852</v>
      </c>
      <c r="I258" t="s">
        <v>14059</v>
      </c>
    </row>
    <row r="259" spans="1:9" x14ac:dyDescent="0.25">
      <c r="A259" s="2" t="s">
        <v>14060</v>
      </c>
      <c r="C259" s="3" t="str">
        <f>HYPERLINK("http://amigo.geneontology.org/amigo/term/GO:0003755","GO:0003755")</f>
        <v>GO:0003755</v>
      </c>
      <c r="D259" t="s">
        <v>14061</v>
      </c>
      <c r="E259">
        <v>16</v>
      </c>
      <c r="F259">
        <v>3</v>
      </c>
      <c r="G259">
        <v>5.3084846195761301E-2</v>
      </c>
      <c r="H259">
        <v>0.477763615761852</v>
      </c>
      <c r="I259" t="s">
        <v>14059</v>
      </c>
    </row>
    <row r="260" spans="1:9" x14ac:dyDescent="0.25">
      <c r="A260" s="2" t="s">
        <v>14062</v>
      </c>
      <c r="C260" s="3" t="str">
        <f>HYPERLINK("http://amigo.geneontology.org/amigo/term/GO:0072350","GO:0072350")</f>
        <v>GO:0072350</v>
      </c>
      <c r="D260" t="s">
        <v>14063</v>
      </c>
      <c r="E260">
        <v>16</v>
      </c>
      <c r="F260">
        <v>3</v>
      </c>
      <c r="G260">
        <v>5.3084846195761301E-2</v>
      </c>
      <c r="H260">
        <v>0.477763615761852</v>
      </c>
      <c r="I260" t="s">
        <v>14064</v>
      </c>
    </row>
    <row r="261" spans="1:9" x14ac:dyDescent="0.25">
      <c r="A261" s="2" t="s">
        <v>14065</v>
      </c>
      <c r="C261" s="3" t="str">
        <f>HYPERLINK("http://amigo.geneontology.org/amigo/term/GO:0006101","GO:0006101")</f>
        <v>GO:0006101</v>
      </c>
      <c r="D261" t="s">
        <v>14066</v>
      </c>
      <c r="E261">
        <v>16</v>
      </c>
      <c r="F261">
        <v>3</v>
      </c>
      <c r="G261">
        <v>5.3084846195761301E-2</v>
      </c>
      <c r="H261">
        <v>0.477763615761852</v>
      </c>
      <c r="I261" t="s">
        <v>14064</v>
      </c>
    </row>
    <row r="262" spans="1:9" x14ac:dyDescent="0.25">
      <c r="A262" s="2" t="s">
        <v>13468</v>
      </c>
      <c r="C262" s="3" t="str">
        <f>HYPERLINK("http://amigo.geneontology.org/amigo/term/GO:0009060","GO:0009060")</f>
        <v>GO:0009060</v>
      </c>
      <c r="D262" t="s">
        <v>14067</v>
      </c>
      <c r="E262">
        <v>16</v>
      </c>
      <c r="F262">
        <v>3</v>
      </c>
      <c r="G262">
        <v>5.3084846195761301E-2</v>
      </c>
      <c r="H262">
        <v>0.477763615761852</v>
      </c>
      <c r="I262" t="s">
        <v>14064</v>
      </c>
    </row>
    <row r="263" spans="1:9" x14ac:dyDescent="0.25">
      <c r="A263" s="2" t="s">
        <v>13470</v>
      </c>
      <c r="C263" s="3" t="str">
        <f>HYPERLINK("http://amigo.geneontology.org/amigo/term/GO:0006099","GO:0006099")</f>
        <v>GO:0006099</v>
      </c>
      <c r="D263" t="s">
        <v>14068</v>
      </c>
      <c r="E263">
        <v>16</v>
      </c>
      <c r="F263">
        <v>3</v>
      </c>
      <c r="G263">
        <v>5.3084846195761301E-2</v>
      </c>
      <c r="H263">
        <v>0.477763615761852</v>
      </c>
      <c r="I263" t="s">
        <v>14064</v>
      </c>
    </row>
    <row r="264" spans="1:9" x14ac:dyDescent="0.25">
      <c r="A264" s="2" t="s">
        <v>14069</v>
      </c>
      <c r="C264" s="3" t="str">
        <f>HYPERLINK("http://amigo.geneontology.org/amigo/term/GO:0000097","GO:0000097")</f>
        <v>GO:0000097</v>
      </c>
      <c r="D264" t="s">
        <v>14070</v>
      </c>
      <c r="E264">
        <v>16</v>
      </c>
      <c r="F264">
        <v>3</v>
      </c>
      <c r="G264">
        <v>5.3084846195761301E-2</v>
      </c>
      <c r="H264">
        <v>0.477763615761852</v>
      </c>
      <c r="I264" t="s">
        <v>13989</v>
      </c>
    </row>
    <row r="265" spans="1:9" x14ac:dyDescent="0.25">
      <c r="A265" s="2" t="s">
        <v>14071</v>
      </c>
      <c r="C265" s="3" t="str">
        <f>HYPERLINK("http://amigo.geneontology.org/amigo/term/GO:0035091","GO:0035091")</f>
        <v>GO:0035091</v>
      </c>
      <c r="D265" t="s">
        <v>633</v>
      </c>
      <c r="E265">
        <v>16</v>
      </c>
      <c r="F265">
        <v>3</v>
      </c>
      <c r="G265">
        <v>5.3084846195761301E-2</v>
      </c>
      <c r="H265">
        <v>0.477763615761852</v>
      </c>
      <c r="I265" t="s">
        <v>14072</v>
      </c>
    </row>
    <row r="266" spans="1:9" x14ac:dyDescent="0.25">
      <c r="A266" s="2" t="s">
        <v>13472</v>
      </c>
      <c r="C266" s="3" t="str">
        <f>HYPERLINK("http://amigo.geneontology.org/amigo/term/GO:0004076","GO:0004076")</f>
        <v>GO:0004076</v>
      </c>
      <c r="D266" t="s">
        <v>14073</v>
      </c>
      <c r="E266">
        <v>1</v>
      </c>
      <c r="F266">
        <v>1</v>
      </c>
      <c r="G266">
        <v>5.4539820266346101E-2</v>
      </c>
      <c r="H266">
        <v>0.32723892159807699</v>
      </c>
      <c r="I266" t="s">
        <v>13557</v>
      </c>
    </row>
    <row r="267" spans="1:9" x14ac:dyDescent="0.25">
      <c r="A267" s="2" t="s">
        <v>14074</v>
      </c>
      <c r="C267" s="3" t="str">
        <f>HYPERLINK("http://amigo.geneontology.org/amigo/term/GO:0006768","GO:0006768")</f>
        <v>GO:0006768</v>
      </c>
      <c r="D267" t="s">
        <v>14075</v>
      </c>
      <c r="E267">
        <v>1</v>
      </c>
      <c r="F267">
        <v>1</v>
      </c>
      <c r="G267">
        <v>5.4539820266346101E-2</v>
      </c>
      <c r="H267">
        <v>0.32723892159807699</v>
      </c>
      <c r="I267" t="s">
        <v>13557</v>
      </c>
    </row>
    <row r="268" spans="1:9" x14ac:dyDescent="0.25">
      <c r="A268" s="2" t="s">
        <v>14076</v>
      </c>
      <c r="C268" s="3" t="str">
        <f>HYPERLINK("http://amigo.geneontology.org/amigo/term/GO:0009102","GO:0009102")</f>
        <v>GO:0009102</v>
      </c>
      <c r="D268" t="s">
        <v>14077</v>
      </c>
      <c r="E268">
        <v>1</v>
      </c>
      <c r="F268">
        <v>1</v>
      </c>
      <c r="G268">
        <v>5.4539820266346101E-2</v>
      </c>
      <c r="H268">
        <v>0.32723892159807699</v>
      </c>
      <c r="I268" t="s">
        <v>13557</v>
      </c>
    </row>
    <row r="269" spans="1:9" x14ac:dyDescent="0.25">
      <c r="A269" s="2" t="s">
        <v>14078</v>
      </c>
      <c r="C269" s="3" t="str">
        <f>HYPERLINK("http://amigo.geneontology.org/amigo/term/GO:0000285","GO:0000285")</f>
        <v>GO:0000285</v>
      </c>
      <c r="D269" t="s">
        <v>14079</v>
      </c>
      <c r="E269">
        <v>1</v>
      </c>
      <c r="F269">
        <v>1</v>
      </c>
      <c r="G269">
        <v>5.4539820266346101E-2</v>
      </c>
      <c r="H269">
        <v>0.32723892159807699</v>
      </c>
      <c r="I269" t="s">
        <v>13559</v>
      </c>
    </row>
    <row r="270" spans="1:9" x14ac:dyDescent="0.25">
      <c r="A270" s="2" t="s">
        <v>14080</v>
      </c>
      <c r="C270" s="3" t="str">
        <f>HYPERLINK("http://amigo.geneontology.org/amigo/term/GO:0031597","GO:0031597")</f>
        <v>GO:0031597</v>
      </c>
      <c r="D270" t="s">
        <v>14081</v>
      </c>
      <c r="E270">
        <v>1</v>
      </c>
      <c r="F270">
        <v>1</v>
      </c>
      <c r="G270">
        <v>5.4539820266346101E-2</v>
      </c>
      <c r="H270">
        <v>0.32723892159807699</v>
      </c>
      <c r="I270" t="s">
        <v>13579</v>
      </c>
    </row>
    <row r="271" spans="1:9" x14ac:dyDescent="0.25">
      <c r="A271" s="2" t="s">
        <v>14082</v>
      </c>
      <c r="C271" s="3" t="str">
        <f>HYPERLINK("http://amigo.geneontology.org/amigo/term/GO:0034515","GO:0034515")</f>
        <v>GO:0034515</v>
      </c>
      <c r="D271" t="s">
        <v>14083</v>
      </c>
      <c r="E271">
        <v>1</v>
      </c>
      <c r="F271">
        <v>1</v>
      </c>
      <c r="G271">
        <v>5.4539820266346101E-2</v>
      </c>
      <c r="H271">
        <v>0.32723892159807699</v>
      </c>
      <c r="I271" t="s">
        <v>13579</v>
      </c>
    </row>
    <row r="272" spans="1:9" x14ac:dyDescent="0.25">
      <c r="A272" s="2" t="s">
        <v>14084</v>
      </c>
      <c r="C272" s="3" t="str">
        <f>HYPERLINK("http://amigo.geneontology.org/amigo/term/GO:0004750","GO:0004750")</f>
        <v>GO:0004750</v>
      </c>
      <c r="D272" t="s">
        <v>14085</v>
      </c>
      <c r="E272">
        <v>1</v>
      </c>
      <c r="F272">
        <v>1</v>
      </c>
      <c r="G272">
        <v>5.4539820266346101E-2</v>
      </c>
      <c r="H272">
        <v>0.32723892159807699</v>
      </c>
      <c r="I272" t="s">
        <v>13581</v>
      </c>
    </row>
    <row r="273" spans="1:9" x14ac:dyDescent="0.25">
      <c r="A273" s="2" t="s">
        <v>14086</v>
      </c>
      <c r="C273" s="3" t="str">
        <f>HYPERLINK("http://amigo.geneontology.org/amigo/term/GO:0004047","GO:0004047")</f>
        <v>GO:0004047</v>
      </c>
      <c r="D273" t="s">
        <v>4269</v>
      </c>
      <c r="E273">
        <v>1</v>
      </c>
      <c r="F273">
        <v>1</v>
      </c>
      <c r="G273">
        <v>5.4539820266346101E-2</v>
      </c>
      <c r="H273">
        <v>0.32723892159807699</v>
      </c>
      <c r="I273" t="s">
        <v>13656</v>
      </c>
    </row>
    <row r="274" spans="1:9" x14ac:dyDescent="0.25">
      <c r="A274" s="2" t="s">
        <v>14087</v>
      </c>
      <c r="C274" s="3" t="str">
        <f>HYPERLINK("http://amigo.geneontology.org/amigo/term/GO:0009349","GO:0009349")</f>
        <v>GO:0009349</v>
      </c>
      <c r="D274" t="s">
        <v>14088</v>
      </c>
      <c r="E274">
        <v>1</v>
      </c>
      <c r="F274">
        <v>1</v>
      </c>
      <c r="G274">
        <v>5.4539820266346101E-2</v>
      </c>
      <c r="H274">
        <v>0.32723892159807699</v>
      </c>
      <c r="I274" t="s">
        <v>13664</v>
      </c>
    </row>
    <row r="275" spans="1:9" x14ac:dyDescent="0.25">
      <c r="A275" s="2" t="s">
        <v>14089</v>
      </c>
      <c r="C275" s="3" t="str">
        <f>HYPERLINK("http://amigo.geneontology.org/amigo/term/GO:0004345","GO:0004345")</f>
        <v>GO:0004345</v>
      </c>
      <c r="D275" t="s">
        <v>14090</v>
      </c>
      <c r="E275">
        <v>1</v>
      </c>
      <c r="F275">
        <v>1</v>
      </c>
      <c r="G275">
        <v>5.4539820266346101E-2</v>
      </c>
      <c r="H275">
        <v>0.32723892159807699</v>
      </c>
      <c r="I275" t="s">
        <v>13685</v>
      </c>
    </row>
    <row r="276" spans="1:9" x14ac:dyDescent="0.25">
      <c r="A276" s="2" t="s">
        <v>14091</v>
      </c>
      <c r="C276" s="3" t="str">
        <f>HYPERLINK("http://amigo.geneontology.org/amigo/term/GO:0008776","GO:0008776")</f>
        <v>GO:0008776</v>
      </c>
      <c r="D276" t="s">
        <v>14092</v>
      </c>
      <c r="E276">
        <v>1</v>
      </c>
      <c r="F276">
        <v>1</v>
      </c>
      <c r="G276">
        <v>5.4539820266346101E-2</v>
      </c>
      <c r="H276">
        <v>0.32723892159807699</v>
      </c>
      <c r="I276" t="s">
        <v>13692</v>
      </c>
    </row>
    <row r="277" spans="1:9" x14ac:dyDescent="0.25">
      <c r="A277" s="2" t="s">
        <v>14093</v>
      </c>
      <c r="C277" s="3" t="str">
        <f>HYPERLINK("http://amigo.geneontology.org/amigo/term/GO:0000015","GO:0000015")</f>
        <v>GO:0000015</v>
      </c>
      <c r="D277" t="s">
        <v>5645</v>
      </c>
      <c r="E277">
        <v>1</v>
      </c>
      <c r="F277">
        <v>1</v>
      </c>
      <c r="G277">
        <v>5.4539820266346101E-2</v>
      </c>
      <c r="H277">
        <v>0.32723892159807699</v>
      </c>
      <c r="I277" t="s">
        <v>13698</v>
      </c>
    </row>
    <row r="278" spans="1:9" x14ac:dyDescent="0.25">
      <c r="A278" s="2" t="s">
        <v>14094</v>
      </c>
      <c r="C278" s="3" t="str">
        <f>HYPERLINK("http://amigo.geneontology.org/amigo/term/GO:0004634","GO:0004634")</f>
        <v>GO:0004634</v>
      </c>
      <c r="D278" t="s">
        <v>5648</v>
      </c>
      <c r="E278">
        <v>1</v>
      </c>
      <c r="F278">
        <v>1</v>
      </c>
      <c r="G278">
        <v>5.4539820266346101E-2</v>
      </c>
      <c r="H278">
        <v>0.32723892159807699</v>
      </c>
      <c r="I278" t="s">
        <v>13698</v>
      </c>
    </row>
    <row r="279" spans="1:9" x14ac:dyDescent="0.25">
      <c r="A279" s="2" t="s">
        <v>14095</v>
      </c>
      <c r="C279" s="3" t="str">
        <f>HYPERLINK("http://amigo.geneontology.org/amigo/term/GO:0004853","GO:0004853")</f>
        <v>GO:0004853</v>
      </c>
      <c r="D279" t="s">
        <v>14096</v>
      </c>
      <c r="E279">
        <v>1</v>
      </c>
      <c r="F279">
        <v>1</v>
      </c>
      <c r="G279">
        <v>5.4539820266346101E-2</v>
      </c>
      <c r="H279">
        <v>0.32723892159807699</v>
      </c>
      <c r="I279" t="s">
        <v>13703</v>
      </c>
    </row>
    <row r="280" spans="1:9" x14ac:dyDescent="0.25">
      <c r="A280" s="2" t="s">
        <v>14097</v>
      </c>
      <c r="C280" s="3" t="str">
        <f>HYPERLINK("http://amigo.geneontology.org/amigo/term/GO:0017089","GO:0017089")</f>
        <v>GO:0017089</v>
      </c>
      <c r="D280" t="s">
        <v>936</v>
      </c>
      <c r="E280">
        <v>1</v>
      </c>
      <c r="F280">
        <v>1</v>
      </c>
      <c r="G280">
        <v>5.4539820266346101E-2</v>
      </c>
      <c r="H280">
        <v>0.32723892159807699</v>
      </c>
      <c r="I280" t="s">
        <v>13760</v>
      </c>
    </row>
    <row r="281" spans="1:9" x14ac:dyDescent="0.25">
      <c r="A281" s="2" t="s">
        <v>14098</v>
      </c>
      <c r="C281" s="3" t="str">
        <f>HYPERLINK("http://amigo.geneontology.org/amigo/term/GO:0051861","GO:0051861")</f>
        <v>GO:0051861</v>
      </c>
      <c r="D281" t="s">
        <v>941</v>
      </c>
      <c r="E281">
        <v>1</v>
      </c>
      <c r="F281">
        <v>1</v>
      </c>
      <c r="G281">
        <v>5.4539820266346101E-2</v>
      </c>
      <c r="H281">
        <v>0.32723892159807699</v>
      </c>
      <c r="I281" t="s">
        <v>13760</v>
      </c>
    </row>
    <row r="282" spans="1:9" x14ac:dyDescent="0.25">
      <c r="A282" s="2" t="s">
        <v>14099</v>
      </c>
      <c r="C282" s="3" t="str">
        <f>HYPERLINK("http://amigo.geneontology.org/amigo/term/GO:0052692","GO:0052692")</f>
        <v>GO:0052692</v>
      </c>
      <c r="D282" t="s">
        <v>5326</v>
      </c>
      <c r="E282">
        <v>1</v>
      </c>
      <c r="F282">
        <v>1</v>
      </c>
      <c r="G282">
        <v>5.4539820266346101E-2</v>
      </c>
      <c r="H282">
        <v>0.32723892159807699</v>
      </c>
      <c r="I282" t="s">
        <v>13768</v>
      </c>
    </row>
    <row r="283" spans="1:9" x14ac:dyDescent="0.25">
      <c r="A283" s="2" t="s">
        <v>14100</v>
      </c>
      <c r="C283" s="3" t="str">
        <f>HYPERLINK("http://amigo.geneontology.org/amigo/term/GO:0051285","GO:0051285")</f>
        <v>GO:0051285</v>
      </c>
      <c r="D283" t="s">
        <v>14101</v>
      </c>
      <c r="E283">
        <v>1</v>
      </c>
      <c r="F283">
        <v>1</v>
      </c>
      <c r="G283">
        <v>5.4539820266346101E-2</v>
      </c>
      <c r="H283">
        <v>0.32723892159807699</v>
      </c>
      <c r="I283" t="s">
        <v>13779</v>
      </c>
    </row>
    <row r="284" spans="1:9" x14ac:dyDescent="0.25">
      <c r="A284" s="2" t="s">
        <v>14102</v>
      </c>
      <c r="C284" s="3" t="str">
        <f>HYPERLINK("http://amigo.geneontology.org/amigo/term/GO:0046484","GO:0046484")</f>
        <v>GO:0046484</v>
      </c>
      <c r="D284" t="s">
        <v>14103</v>
      </c>
      <c r="E284">
        <v>1</v>
      </c>
      <c r="F284">
        <v>1</v>
      </c>
      <c r="G284">
        <v>5.4539820266346101E-2</v>
      </c>
      <c r="H284">
        <v>0.32723892159807699</v>
      </c>
      <c r="I284" t="s">
        <v>13800</v>
      </c>
    </row>
    <row r="285" spans="1:9" x14ac:dyDescent="0.25">
      <c r="A285" s="2" t="s">
        <v>14104</v>
      </c>
      <c r="C285" s="3" t="str">
        <f>HYPERLINK("http://amigo.geneontology.org/amigo/term/GO:0018131","GO:0018131")</f>
        <v>GO:0018131</v>
      </c>
      <c r="D285" t="s">
        <v>14105</v>
      </c>
      <c r="E285">
        <v>1</v>
      </c>
      <c r="F285">
        <v>1</v>
      </c>
      <c r="G285">
        <v>5.4539820266346101E-2</v>
      </c>
      <c r="H285">
        <v>0.32723892159807699</v>
      </c>
      <c r="I285" t="s">
        <v>13800</v>
      </c>
    </row>
    <row r="286" spans="1:9" x14ac:dyDescent="0.25">
      <c r="A286" s="2" t="s">
        <v>14106</v>
      </c>
      <c r="C286" s="3" t="str">
        <f>HYPERLINK("http://amigo.geneontology.org/amigo/term/GO:0052838","GO:0052838")</f>
        <v>GO:0052838</v>
      </c>
      <c r="D286" t="s">
        <v>14107</v>
      </c>
      <c r="E286">
        <v>1</v>
      </c>
      <c r="F286">
        <v>1</v>
      </c>
      <c r="G286">
        <v>5.4539820266346101E-2</v>
      </c>
      <c r="H286">
        <v>0.32723892159807699</v>
      </c>
      <c r="I286" t="s">
        <v>13800</v>
      </c>
    </row>
    <row r="287" spans="1:9" x14ac:dyDescent="0.25">
      <c r="A287" s="2" t="s">
        <v>14108</v>
      </c>
      <c r="C287" s="3" t="str">
        <f>HYPERLINK("http://amigo.geneontology.org/amigo/term/GO:0052837","GO:0052837")</f>
        <v>GO:0052837</v>
      </c>
      <c r="D287" t="s">
        <v>14109</v>
      </c>
      <c r="E287">
        <v>1</v>
      </c>
      <c r="F287">
        <v>1</v>
      </c>
      <c r="G287">
        <v>5.4539820266346101E-2</v>
      </c>
      <c r="H287">
        <v>0.32723892159807699</v>
      </c>
      <c r="I287" t="s">
        <v>13800</v>
      </c>
    </row>
    <row r="288" spans="1:9" x14ac:dyDescent="0.25">
      <c r="A288" s="2" t="s">
        <v>14110</v>
      </c>
      <c r="C288" s="3" t="str">
        <f>HYPERLINK("http://amigo.geneontology.org/amigo/term/GO:0009313","GO:0009313")</f>
        <v>GO:0009313</v>
      </c>
      <c r="D288" t="s">
        <v>796</v>
      </c>
      <c r="E288">
        <v>1</v>
      </c>
      <c r="F288">
        <v>1</v>
      </c>
      <c r="G288">
        <v>5.4539820266346101E-2</v>
      </c>
      <c r="H288">
        <v>0.32723892159807699</v>
      </c>
      <c r="I288" t="s">
        <v>13841</v>
      </c>
    </row>
    <row r="289" spans="1:9" x14ac:dyDescent="0.25">
      <c r="A289" s="2" t="s">
        <v>14111</v>
      </c>
      <c r="C289" s="3" t="str">
        <f>HYPERLINK("http://amigo.geneontology.org/amigo/term/GO:0046352","GO:0046352")</f>
        <v>GO:0046352</v>
      </c>
      <c r="D289" t="s">
        <v>777</v>
      </c>
      <c r="E289">
        <v>1</v>
      </c>
      <c r="F289">
        <v>1</v>
      </c>
      <c r="G289">
        <v>5.4539820266346101E-2</v>
      </c>
      <c r="H289">
        <v>0.32723892159807699</v>
      </c>
      <c r="I289" t="s">
        <v>13841</v>
      </c>
    </row>
    <row r="290" spans="1:9" x14ac:dyDescent="0.25">
      <c r="A290" s="2" t="s">
        <v>14112</v>
      </c>
      <c r="C290" s="3" t="str">
        <f>HYPERLINK("http://amigo.geneontology.org/amigo/term/GO:0005993","GO:0005993")</f>
        <v>GO:0005993</v>
      </c>
      <c r="D290" t="s">
        <v>14113</v>
      </c>
      <c r="E290">
        <v>1</v>
      </c>
      <c r="F290">
        <v>1</v>
      </c>
      <c r="G290">
        <v>5.4539820266346101E-2</v>
      </c>
      <c r="H290">
        <v>0.32723892159807699</v>
      </c>
      <c r="I290" t="s">
        <v>13841</v>
      </c>
    </row>
    <row r="291" spans="1:9" x14ac:dyDescent="0.25">
      <c r="A291" s="2" t="s">
        <v>14114</v>
      </c>
      <c r="C291" s="3" t="str">
        <f>HYPERLINK("http://amigo.geneontology.org/amigo/term/GO:0008603","GO:0008603")</f>
        <v>GO:0008603</v>
      </c>
      <c r="D291" t="s">
        <v>14115</v>
      </c>
      <c r="E291">
        <v>1</v>
      </c>
      <c r="F291">
        <v>1</v>
      </c>
      <c r="G291">
        <v>5.4539820266346101E-2</v>
      </c>
      <c r="H291">
        <v>0.32723892159807699</v>
      </c>
      <c r="I291" t="s">
        <v>13845</v>
      </c>
    </row>
    <row r="292" spans="1:9" x14ac:dyDescent="0.25">
      <c r="A292" s="2" t="s">
        <v>14116</v>
      </c>
      <c r="C292" s="3" t="str">
        <f>HYPERLINK("http://amigo.geneontology.org/amigo/term/GO:0005952","GO:0005952")</f>
        <v>GO:0005952</v>
      </c>
      <c r="D292" t="s">
        <v>14117</v>
      </c>
      <c r="E292">
        <v>1</v>
      </c>
      <c r="F292">
        <v>1</v>
      </c>
      <c r="G292">
        <v>5.4539820266346101E-2</v>
      </c>
      <c r="H292">
        <v>0.32723892159807699</v>
      </c>
      <c r="I292" t="s">
        <v>13845</v>
      </c>
    </row>
    <row r="293" spans="1:9" x14ac:dyDescent="0.25">
      <c r="A293" s="2" t="s">
        <v>14118</v>
      </c>
      <c r="C293" s="3" t="str">
        <f>HYPERLINK("http://amigo.geneontology.org/amigo/term/GO:0030551","GO:0030551")</f>
        <v>GO:0030551</v>
      </c>
      <c r="D293" t="s">
        <v>14119</v>
      </c>
      <c r="E293">
        <v>1</v>
      </c>
      <c r="F293">
        <v>1</v>
      </c>
      <c r="G293">
        <v>5.4539820266346101E-2</v>
      </c>
      <c r="H293">
        <v>0.32723892159807699</v>
      </c>
      <c r="I293" t="s">
        <v>13845</v>
      </c>
    </row>
    <row r="294" spans="1:9" x14ac:dyDescent="0.25">
      <c r="A294" s="2" t="s">
        <v>14120</v>
      </c>
      <c r="C294" s="3" t="str">
        <f>HYPERLINK("http://amigo.geneontology.org/amigo/term/GO:0030552","GO:0030552")</f>
        <v>GO:0030552</v>
      </c>
      <c r="D294" t="s">
        <v>14121</v>
      </c>
      <c r="E294">
        <v>1</v>
      </c>
      <c r="F294">
        <v>1</v>
      </c>
      <c r="G294">
        <v>5.4539820266346101E-2</v>
      </c>
      <c r="H294">
        <v>0.32723892159807699</v>
      </c>
      <c r="I294" t="s">
        <v>13845</v>
      </c>
    </row>
    <row r="295" spans="1:9" x14ac:dyDescent="0.25">
      <c r="A295" s="2" t="s">
        <v>14122</v>
      </c>
      <c r="C295" s="3" t="str">
        <f>HYPERLINK("http://amigo.geneontology.org/amigo/term/GO:0006021","GO:0006021")</f>
        <v>GO:0006021</v>
      </c>
      <c r="D295" t="s">
        <v>4336</v>
      </c>
      <c r="E295">
        <v>1</v>
      </c>
      <c r="F295">
        <v>1</v>
      </c>
      <c r="G295">
        <v>5.4539820266346101E-2</v>
      </c>
      <c r="H295">
        <v>0.32723892159807699</v>
      </c>
      <c r="I295" t="s">
        <v>13850</v>
      </c>
    </row>
    <row r="296" spans="1:9" x14ac:dyDescent="0.25">
      <c r="A296" s="2" t="s">
        <v>14123</v>
      </c>
      <c r="C296" s="3" t="str">
        <f>HYPERLINK("http://amigo.geneontology.org/amigo/term/GO:0004512","GO:0004512")</f>
        <v>GO:0004512</v>
      </c>
      <c r="D296" t="s">
        <v>4234</v>
      </c>
      <c r="E296">
        <v>1</v>
      </c>
      <c r="F296">
        <v>1</v>
      </c>
      <c r="G296">
        <v>5.4539820266346101E-2</v>
      </c>
      <c r="H296">
        <v>0.32723892159807699</v>
      </c>
      <c r="I296" t="s">
        <v>13850</v>
      </c>
    </row>
    <row r="297" spans="1:9" x14ac:dyDescent="0.25">
      <c r="A297" s="2" t="s">
        <v>14124</v>
      </c>
      <c r="C297" s="3" t="str">
        <f>HYPERLINK("http://amigo.geneontology.org/amigo/term/GO:0004802","GO:0004802")</f>
        <v>GO:0004802</v>
      </c>
      <c r="D297" t="s">
        <v>5265</v>
      </c>
      <c r="E297">
        <v>1</v>
      </c>
      <c r="F297">
        <v>1</v>
      </c>
      <c r="G297">
        <v>5.4539820266346101E-2</v>
      </c>
      <c r="H297">
        <v>0.32723892159807699</v>
      </c>
      <c r="I297" t="s">
        <v>13856</v>
      </c>
    </row>
    <row r="298" spans="1:9" x14ac:dyDescent="0.25">
      <c r="A298" s="2" t="s">
        <v>14125</v>
      </c>
      <c r="C298" s="3" t="str">
        <f>HYPERLINK("http://amigo.geneontology.org/amigo/term/GO:0004455","GO:0004455")</f>
        <v>GO:0004455</v>
      </c>
      <c r="D298" t="s">
        <v>14126</v>
      </c>
      <c r="E298">
        <v>1</v>
      </c>
      <c r="F298">
        <v>1</v>
      </c>
      <c r="G298">
        <v>5.4539820266346101E-2</v>
      </c>
      <c r="H298">
        <v>0.32723892159807699</v>
      </c>
      <c r="I298" t="s">
        <v>13873</v>
      </c>
    </row>
    <row r="299" spans="1:9" x14ac:dyDescent="0.25">
      <c r="A299" s="2" t="s">
        <v>14127</v>
      </c>
      <c r="C299" s="3" t="str">
        <f>HYPERLINK("http://amigo.geneontology.org/amigo/term/GO:0004329","GO:0004329")</f>
        <v>GO:0004329</v>
      </c>
      <c r="D299" t="s">
        <v>14128</v>
      </c>
      <c r="E299">
        <v>1</v>
      </c>
      <c r="F299">
        <v>1</v>
      </c>
      <c r="G299">
        <v>5.4539820266346101E-2</v>
      </c>
      <c r="H299">
        <v>0.32723892159807699</v>
      </c>
      <c r="I299" t="s">
        <v>13898</v>
      </c>
    </row>
    <row r="300" spans="1:9" x14ac:dyDescent="0.25">
      <c r="A300" s="2" t="s">
        <v>14129</v>
      </c>
      <c r="C300" s="3" t="str">
        <f>HYPERLINK("http://amigo.geneontology.org/amigo/term/GO:0004726","GO:0004726")</f>
        <v>GO:0004726</v>
      </c>
      <c r="D300" t="s">
        <v>14130</v>
      </c>
      <c r="E300">
        <v>1</v>
      </c>
      <c r="F300">
        <v>1</v>
      </c>
      <c r="G300">
        <v>5.4539820266346101E-2</v>
      </c>
      <c r="H300">
        <v>0.32723892159807699</v>
      </c>
      <c r="I300" t="s">
        <v>13903</v>
      </c>
    </row>
    <row r="301" spans="1:9" x14ac:dyDescent="0.25">
      <c r="A301" s="2" t="s">
        <v>14131</v>
      </c>
      <c r="C301" s="3" t="str">
        <f>HYPERLINK("http://amigo.geneontology.org/amigo/term/GO:0004638","GO:0004638")</f>
        <v>GO:0004638</v>
      </c>
      <c r="D301" t="s">
        <v>14132</v>
      </c>
      <c r="E301">
        <v>1</v>
      </c>
      <c r="F301">
        <v>1</v>
      </c>
      <c r="G301">
        <v>5.4539820266346101E-2</v>
      </c>
      <c r="H301">
        <v>0.32723892159807699</v>
      </c>
      <c r="I301" t="s">
        <v>13920</v>
      </c>
    </row>
    <row r="302" spans="1:9" x14ac:dyDescent="0.25">
      <c r="A302" s="2" t="s">
        <v>14133</v>
      </c>
      <c r="C302" s="3" t="str">
        <f>HYPERLINK("http://amigo.geneontology.org/amigo/term/GO:0016649","GO:0016649")</f>
        <v>GO:0016649</v>
      </c>
      <c r="D302" t="s">
        <v>14134</v>
      </c>
      <c r="E302">
        <v>1</v>
      </c>
      <c r="F302">
        <v>1</v>
      </c>
      <c r="G302">
        <v>5.4539820266346101E-2</v>
      </c>
      <c r="H302">
        <v>0.32723892159807699</v>
      </c>
      <c r="I302" t="s">
        <v>13975</v>
      </c>
    </row>
    <row r="303" spans="1:9" x14ac:dyDescent="0.25">
      <c r="A303" s="2" t="s">
        <v>14135</v>
      </c>
      <c r="C303" s="3" t="str">
        <f>HYPERLINK("http://amigo.geneontology.org/amigo/term/GO:0004174","GO:0004174")</f>
        <v>GO:0004174</v>
      </c>
      <c r="D303" t="s">
        <v>14136</v>
      </c>
      <c r="E303">
        <v>1</v>
      </c>
      <c r="F303">
        <v>1</v>
      </c>
      <c r="G303">
        <v>5.4539820266346101E-2</v>
      </c>
      <c r="H303">
        <v>0.32723892159807699</v>
      </c>
      <c r="I303" t="s">
        <v>13975</v>
      </c>
    </row>
    <row r="304" spans="1:9" x14ac:dyDescent="0.25">
      <c r="A304" s="2" t="s">
        <v>14137</v>
      </c>
      <c r="C304" s="3" t="str">
        <f>HYPERLINK("http://amigo.geneontology.org/amigo/term/GO:0004731","GO:0004731")</f>
        <v>GO:0004731</v>
      </c>
      <c r="D304" t="s">
        <v>14138</v>
      </c>
      <c r="E304">
        <v>1</v>
      </c>
      <c r="F304">
        <v>1</v>
      </c>
      <c r="G304">
        <v>5.4539820266346101E-2</v>
      </c>
      <c r="H304">
        <v>0.32723892159807699</v>
      </c>
      <c r="I304" t="s">
        <v>13980</v>
      </c>
    </row>
    <row r="305" spans="1:9" x14ac:dyDescent="0.25">
      <c r="A305" s="2" t="s">
        <v>14139</v>
      </c>
      <c r="C305" s="3" t="str">
        <f>HYPERLINK("http://amigo.geneontology.org/amigo/term/GO:0017061","GO:0017061")</f>
        <v>GO:0017061</v>
      </c>
      <c r="D305" t="s">
        <v>14140</v>
      </c>
      <c r="E305">
        <v>1</v>
      </c>
      <c r="F305">
        <v>1</v>
      </c>
      <c r="G305">
        <v>5.4539820266346101E-2</v>
      </c>
      <c r="H305">
        <v>0.32723892159807699</v>
      </c>
      <c r="I305" t="s">
        <v>13980</v>
      </c>
    </row>
    <row r="306" spans="1:9" x14ac:dyDescent="0.25">
      <c r="A306" s="2" t="s">
        <v>13474</v>
      </c>
      <c r="C306" s="3" t="str">
        <f>HYPERLINK("http://amigo.geneontology.org/amigo/term/GO:0006097","GO:0006097")</f>
        <v>GO:0006097</v>
      </c>
      <c r="D306" t="s">
        <v>14141</v>
      </c>
      <c r="E306">
        <v>1</v>
      </c>
      <c r="F306">
        <v>1</v>
      </c>
      <c r="G306">
        <v>5.4539820266346101E-2</v>
      </c>
      <c r="H306">
        <v>0.32723892159807699</v>
      </c>
      <c r="I306" t="s">
        <v>14001</v>
      </c>
    </row>
    <row r="307" spans="1:9" x14ac:dyDescent="0.25">
      <c r="A307" s="2" t="s">
        <v>13475</v>
      </c>
      <c r="C307" s="3" t="str">
        <f>HYPERLINK("http://amigo.geneontology.org/amigo/term/GO:0004474","GO:0004474")</f>
        <v>GO:0004474</v>
      </c>
      <c r="D307" t="s">
        <v>14142</v>
      </c>
      <c r="E307">
        <v>1</v>
      </c>
      <c r="F307">
        <v>1</v>
      </c>
      <c r="G307">
        <v>5.4539820266346101E-2</v>
      </c>
      <c r="H307">
        <v>0.32723892159807699</v>
      </c>
      <c r="I307" t="s">
        <v>14001</v>
      </c>
    </row>
    <row r="308" spans="1:9" x14ac:dyDescent="0.25">
      <c r="A308" s="2" t="s">
        <v>13476</v>
      </c>
      <c r="C308" s="3" t="str">
        <f>HYPERLINK("http://amigo.geneontology.org/amigo/term/GO:0004333","GO:0004333")</f>
        <v>GO:0004333</v>
      </c>
      <c r="D308" t="s">
        <v>14143</v>
      </c>
      <c r="E308">
        <v>1</v>
      </c>
      <c r="F308">
        <v>1</v>
      </c>
      <c r="G308">
        <v>5.4539820266346101E-2</v>
      </c>
      <c r="H308">
        <v>0.32723892159807699</v>
      </c>
      <c r="I308" t="s">
        <v>14004</v>
      </c>
    </row>
    <row r="309" spans="1:9" x14ac:dyDescent="0.25">
      <c r="A309" s="2" t="s">
        <v>14144</v>
      </c>
      <c r="C309" s="3" t="str">
        <f>HYPERLINK("http://amigo.geneontology.org/amigo/term/GO:0001315","GO:0001315")</f>
        <v>GO:0001315</v>
      </c>
      <c r="D309" t="s">
        <v>14145</v>
      </c>
      <c r="E309">
        <v>1</v>
      </c>
      <c r="F309">
        <v>1</v>
      </c>
      <c r="G309">
        <v>5.4539820266346101E-2</v>
      </c>
      <c r="H309">
        <v>0.32723892159807699</v>
      </c>
      <c r="I309" t="s">
        <v>14006</v>
      </c>
    </row>
    <row r="310" spans="1:9" x14ac:dyDescent="0.25">
      <c r="A310" s="2" t="s">
        <v>14146</v>
      </c>
      <c r="C310" s="3" t="str">
        <f>HYPERLINK("http://amigo.geneontology.org/amigo/term/GO:0072353","GO:0072353")</f>
        <v>GO:0072353</v>
      </c>
      <c r="D310" t="s">
        <v>14147</v>
      </c>
      <c r="E310">
        <v>1</v>
      </c>
      <c r="F310">
        <v>1</v>
      </c>
      <c r="G310">
        <v>5.4539820266346101E-2</v>
      </c>
      <c r="H310">
        <v>0.32723892159807699</v>
      </c>
      <c r="I310" t="s">
        <v>14006</v>
      </c>
    </row>
    <row r="311" spans="1:9" x14ac:dyDescent="0.25">
      <c r="A311" s="2" t="s">
        <v>14148</v>
      </c>
      <c r="C311" s="3" t="str">
        <f>HYPERLINK("http://amigo.geneontology.org/amigo/term/GO:0001320","GO:0001320")</f>
        <v>GO:0001320</v>
      </c>
      <c r="D311" t="s">
        <v>14149</v>
      </c>
      <c r="E311">
        <v>1</v>
      </c>
      <c r="F311">
        <v>1</v>
      </c>
      <c r="G311">
        <v>5.4539820266346101E-2</v>
      </c>
      <c r="H311">
        <v>0.38177874186442301</v>
      </c>
      <c r="I311" t="s">
        <v>14006</v>
      </c>
    </row>
    <row r="312" spans="1:9" x14ac:dyDescent="0.25">
      <c r="A312" s="2" t="s">
        <v>14150</v>
      </c>
      <c r="C312" s="3" t="str">
        <f>HYPERLINK("http://amigo.geneontology.org/amigo/term/GO:0055069","GO:0055069")</f>
        <v>GO:0055069</v>
      </c>
      <c r="D312" t="s">
        <v>14151</v>
      </c>
      <c r="E312">
        <v>1</v>
      </c>
      <c r="F312">
        <v>1</v>
      </c>
      <c r="G312">
        <v>5.4539820266346101E-2</v>
      </c>
      <c r="H312">
        <v>0.38177874186442301</v>
      </c>
      <c r="I312" t="s">
        <v>14006</v>
      </c>
    </row>
    <row r="313" spans="1:9" x14ac:dyDescent="0.25">
      <c r="A313" s="2" t="s">
        <v>14152</v>
      </c>
      <c r="C313" s="3" t="str">
        <f>HYPERLINK("http://amigo.geneontology.org/amigo/term/GO:0006882","GO:0006882")</f>
        <v>GO:0006882</v>
      </c>
      <c r="D313" t="s">
        <v>14153</v>
      </c>
      <c r="E313">
        <v>1</v>
      </c>
      <c r="F313">
        <v>1</v>
      </c>
      <c r="G313">
        <v>5.4539820266346101E-2</v>
      </c>
      <c r="H313">
        <v>0.38177874186442301</v>
      </c>
      <c r="I313" t="s">
        <v>14006</v>
      </c>
    </row>
    <row r="314" spans="1:9" x14ac:dyDescent="0.25">
      <c r="A314" s="2" t="s">
        <v>14154</v>
      </c>
      <c r="C314" s="3" t="str">
        <f>HYPERLINK("http://amigo.geneontology.org/amigo/term/GO:0071852","GO:0071852")</f>
        <v>GO:0071852</v>
      </c>
      <c r="D314" t="s">
        <v>14155</v>
      </c>
      <c r="E314">
        <v>1</v>
      </c>
      <c r="F314">
        <v>1</v>
      </c>
      <c r="G314">
        <v>5.4539820266346101E-2</v>
      </c>
      <c r="H314">
        <v>0.38177874186442301</v>
      </c>
      <c r="I314" t="s">
        <v>14006</v>
      </c>
    </row>
    <row r="315" spans="1:9" x14ac:dyDescent="0.25">
      <c r="A315" s="2" t="s">
        <v>14156</v>
      </c>
      <c r="C315" s="3" t="str">
        <f>HYPERLINK("http://amigo.geneontology.org/amigo/term/GO:0031505","GO:0031505")</f>
        <v>GO:0031505</v>
      </c>
      <c r="D315" t="s">
        <v>14157</v>
      </c>
      <c r="E315">
        <v>1</v>
      </c>
      <c r="F315">
        <v>1</v>
      </c>
      <c r="G315">
        <v>5.4539820266346101E-2</v>
      </c>
      <c r="H315">
        <v>0.38177874186442301</v>
      </c>
      <c r="I315" t="s">
        <v>14006</v>
      </c>
    </row>
    <row r="316" spans="1:9" x14ac:dyDescent="0.25">
      <c r="A316" s="2" t="s">
        <v>14158</v>
      </c>
      <c r="C316" s="3" t="str">
        <f>HYPERLINK("http://amigo.geneontology.org/amigo/term/GO:0043619","GO:0043619")</f>
        <v>GO:0043619</v>
      </c>
      <c r="D316" t="s">
        <v>14159</v>
      </c>
      <c r="E316">
        <v>1</v>
      </c>
      <c r="F316">
        <v>1</v>
      </c>
      <c r="G316">
        <v>5.4539820266346101E-2</v>
      </c>
      <c r="H316">
        <v>0.38177874186442301</v>
      </c>
      <c r="I316" t="s">
        <v>14006</v>
      </c>
    </row>
    <row r="317" spans="1:9" x14ac:dyDescent="0.25">
      <c r="A317" s="2" t="s">
        <v>14160</v>
      </c>
      <c r="C317" s="3" t="str">
        <f>HYPERLINK("http://amigo.geneontology.org/amigo/term/GO:1901522","GO:1901522")</f>
        <v>GO:1901522</v>
      </c>
      <c r="D317" t="s">
        <v>14161</v>
      </c>
      <c r="E317">
        <v>1</v>
      </c>
      <c r="F317">
        <v>1</v>
      </c>
      <c r="G317">
        <v>5.4539820266346101E-2</v>
      </c>
      <c r="H317">
        <v>0.38177874186442301</v>
      </c>
      <c r="I317" t="s">
        <v>14006</v>
      </c>
    </row>
    <row r="318" spans="1:9" x14ac:dyDescent="0.25">
      <c r="A318" s="2" t="s">
        <v>14162</v>
      </c>
      <c r="C318" s="3" t="str">
        <f>HYPERLINK("http://amigo.geneontology.org/amigo/term/GO:0036091","GO:0036091")</f>
        <v>GO:0036091</v>
      </c>
      <c r="D318" t="s">
        <v>14163</v>
      </c>
      <c r="E318">
        <v>1</v>
      </c>
      <c r="F318">
        <v>1</v>
      </c>
      <c r="G318">
        <v>5.4539820266346101E-2</v>
      </c>
      <c r="H318">
        <v>0.38177874186442301</v>
      </c>
      <c r="I318" t="s">
        <v>14006</v>
      </c>
    </row>
    <row r="319" spans="1:9" x14ac:dyDescent="0.25">
      <c r="A319" s="2" t="s">
        <v>14164</v>
      </c>
      <c r="C319" s="3" t="str">
        <f>HYPERLINK("http://amigo.geneontology.org/amigo/term/GO:0031647","GO:0031647")</f>
        <v>GO:0031647</v>
      </c>
      <c r="D319" t="s">
        <v>14165</v>
      </c>
      <c r="E319">
        <v>1</v>
      </c>
      <c r="F319">
        <v>1</v>
      </c>
      <c r="G319">
        <v>5.4539820266346101E-2</v>
      </c>
      <c r="H319">
        <v>0.38177874186442301</v>
      </c>
      <c r="I319" t="s">
        <v>14006</v>
      </c>
    </row>
    <row r="320" spans="1:9" x14ac:dyDescent="0.25">
      <c r="A320" s="2" t="s">
        <v>14166</v>
      </c>
      <c r="C320" s="3" t="str">
        <f>HYPERLINK("http://amigo.geneontology.org/amigo/term/GO:0050821","GO:0050821")</f>
        <v>GO:0050821</v>
      </c>
      <c r="D320" t="s">
        <v>14167</v>
      </c>
      <c r="E320">
        <v>1</v>
      </c>
      <c r="F320">
        <v>1</v>
      </c>
      <c r="G320">
        <v>5.4539820266346101E-2</v>
      </c>
      <c r="H320">
        <v>0.38177874186442301</v>
      </c>
      <c r="I320" t="s">
        <v>14006</v>
      </c>
    </row>
    <row r="321" spans="1:9" x14ac:dyDescent="0.25">
      <c r="A321" s="2" t="s">
        <v>14168</v>
      </c>
      <c r="C321" s="3" t="str">
        <f>HYPERLINK("http://amigo.geneontology.org/amigo/term/GO:0051091","GO:0051091")</f>
        <v>GO:0051091</v>
      </c>
      <c r="D321" t="s">
        <v>14169</v>
      </c>
      <c r="E321">
        <v>1</v>
      </c>
      <c r="F321">
        <v>1</v>
      </c>
      <c r="G321">
        <v>5.4539820266346101E-2</v>
      </c>
      <c r="H321">
        <v>0.38177874186442301</v>
      </c>
      <c r="I321" t="s">
        <v>14006</v>
      </c>
    </row>
    <row r="322" spans="1:9" x14ac:dyDescent="0.25">
      <c r="A322" s="2" t="s">
        <v>14170</v>
      </c>
      <c r="C322" s="3" t="str">
        <f>HYPERLINK("http://amigo.geneontology.org/amigo/term/GO:0043467","GO:0043467")</f>
        <v>GO:0043467</v>
      </c>
      <c r="D322" t="s">
        <v>14171</v>
      </c>
      <c r="E322">
        <v>1</v>
      </c>
      <c r="F322">
        <v>1</v>
      </c>
      <c r="G322">
        <v>5.4539820266346101E-2</v>
      </c>
      <c r="H322">
        <v>0.38177874186442301</v>
      </c>
      <c r="I322" t="s">
        <v>14006</v>
      </c>
    </row>
    <row r="323" spans="1:9" x14ac:dyDescent="0.25">
      <c r="A323" s="2" t="s">
        <v>14172</v>
      </c>
      <c r="C323" s="3" t="str">
        <f>HYPERLINK("http://amigo.geneontology.org/amigo/term/GO:0043457","GO:0043457")</f>
        <v>GO:0043457</v>
      </c>
      <c r="D323" t="s">
        <v>14173</v>
      </c>
      <c r="E323">
        <v>1</v>
      </c>
      <c r="F323">
        <v>1</v>
      </c>
      <c r="G323">
        <v>5.4539820266346101E-2</v>
      </c>
      <c r="H323">
        <v>0.38177874186442301</v>
      </c>
      <c r="I323" t="s">
        <v>14006</v>
      </c>
    </row>
    <row r="324" spans="1:9" x14ac:dyDescent="0.25">
      <c r="A324" s="2" t="s">
        <v>14174</v>
      </c>
      <c r="C324" s="3" t="str">
        <f>HYPERLINK("http://amigo.geneontology.org/amigo/term/GO:1901856","GO:1901856")</f>
        <v>GO:1901856</v>
      </c>
      <c r="D324" t="s">
        <v>14175</v>
      </c>
      <c r="E324">
        <v>1</v>
      </c>
      <c r="F324">
        <v>1</v>
      </c>
      <c r="G324">
        <v>5.4539820266346101E-2</v>
      </c>
      <c r="H324">
        <v>0.38177874186442301</v>
      </c>
      <c r="I324" t="s">
        <v>14006</v>
      </c>
    </row>
    <row r="325" spans="1:9" x14ac:dyDescent="0.25">
      <c r="A325" s="2" t="s">
        <v>14176</v>
      </c>
      <c r="C325" s="3" t="str">
        <f>HYPERLINK("http://amigo.geneontology.org/amigo/term/GO:0022821","GO:0022821")</f>
        <v>GO:0022821</v>
      </c>
      <c r="D325" t="s">
        <v>14177</v>
      </c>
      <c r="E325">
        <v>1</v>
      </c>
      <c r="F325">
        <v>1</v>
      </c>
      <c r="G325">
        <v>5.4539820266346101E-2</v>
      </c>
      <c r="H325">
        <v>0.38177874186442301</v>
      </c>
      <c r="I325" t="s">
        <v>14022</v>
      </c>
    </row>
    <row r="326" spans="1:9" x14ac:dyDescent="0.25">
      <c r="A326" s="2" t="s">
        <v>14178</v>
      </c>
      <c r="C326" s="3" t="str">
        <f>HYPERLINK("http://amigo.geneontology.org/amigo/term/GO:0015386","GO:0015386")</f>
        <v>GO:0015386</v>
      </c>
      <c r="D326" t="s">
        <v>14179</v>
      </c>
      <c r="E326">
        <v>1</v>
      </c>
      <c r="F326">
        <v>1</v>
      </c>
      <c r="G326">
        <v>5.4539820266346101E-2</v>
      </c>
      <c r="H326">
        <v>0.38177874186442301</v>
      </c>
      <c r="I326" t="s">
        <v>14022</v>
      </c>
    </row>
    <row r="327" spans="1:9" x14ac:dyDescent="0.25">
      <c r="A327" s="2" t="s">
        <v>14180</v>
      </c>
      <c r="C327" s="3" t="str">
        <f>HYPERLINK("http://amigo.geneontology.org/amigo/term/GO:0046160","GO:0046160")</f>
        <v>GO:0046160</v>
      </c>
      <c r="D327" t="s">
        <v>14181</v>
      </c>
      <c r="E327">
        <v>1</v>
      </c>
      <c r="F327">
        <v>1</v>
      </c>
      <c r="G327">
        <v>5.4539820266346101E-2</v>
      </c>
      <c r="H327">
        <v>0.38177874186442301</v>
      </c>
      <c r="I327" t="s">
        <v>14025</v>
      </c>
    </row>
    <row r="328" spans="1:9" x14ac:dyDescent="0.25">
      <c r="A328" s="2" t="s">
        <v>14182</v>
      </c>
      <c r="C328" s="3" t="str">
        <f>HYPERLINK("http://amigo.geneontology.org/amigo/term/GO:0006784","GO:0006784")</f>
        <v>GO:0006784</v>
      </c>
      <c r="D328" t="s">
        <v>14183</v>
      </c>
      <c r="E328">
        <v>1</v>
      </c>
      <c r="F328">
        <v>1</v>
      </c>
      <c r="G328">
        <v>5.4539820266346101E-2</v>
      </c>
      <c r="H328">
        <v>0.38177874186442301</v>
      </c>
      <c r="I328" t="s">
        <v>14025</v>
      </c>
    </row>
    <row r="329" spans="1:9" x14ac:dyDescent="0.25">
      <c r="A329" s="2" t="s">
        <v>14184</v>
      </c>
      <c r="C329" s="3" t="str">
        <f>HYPERLINK("http://amigo.geneontology.org/amigo/term/GO:0003913","GO:0003913")</f>
        <v>GO:0003913</v>
      </c>
      <c r="D329" t="s">
        <v>5120</v>
      </c>
      <c r="E329">
        <v>1</v>
      </c>
      <c r="F329">
        <v>1</v>
      </c>
      <c r="G329">
        <v>5.4539820266346101E-2</v>
      </c>
      <c r="H329">
        <v>0.38177874186442301</v>
      </c>
      <c r="I329" t="s">
        <v>14030</v>
      </c>
    </row>
    <row r="330" spans="1:9" x14ac:dyDescent="0.25">
      <c r="A330" s="2" t="s">
        <v>14185</v>
      </c>
      <c r="C330" s="3" t="str">
        <f>HYPERLINK("http://amigo.geneontology.org/amigo/term/GO:0004779","GO:0004779")</f>
        <v>GO:0004779</v>
      </c>
      <c r="D330" t="s">
        <v>14186</v>
      </c>
      <c r="E330">
        <v>1</v>
      </c>
      <c r="F330">
        <v>1</v>
      </c>
      <c r="G330">
        <v>5.4539820266346101E-2</v>
      </c>
      <c r="H330">
        <v>0.38177874186442301</v>
      </c>
      <c r="I330" t="s">
        <v>14033</v>
      </c>
    </row>
    <row r="331" spans="1:9" x14ac:dyDescent="0.25">
      <c r="A331" s="2" t="s">
        <v>14187</v>
      </c>
      <c r="C331" s="3" t="str">
        <f>HYPERLINK("http://amigo.geneontology.org/amigo/term/GO:0004781","GO:0004781")</f>
        <v>GO:0004781</v>
      </c>
      <c r="D331" t="s">
        <v>14188</v>
      </c>
      <c r="E331">
        <v>1</v>
      </c>
      <c r="F331">
        <v>1</v>
      </c>
      <c r="G331">
        <v>5.4539820266346101E-2</v>
      </c>
      <c r="H331">
        <v>0.38177874186442301</v>
      </c>
      <c r="I331" t="s">
        <v>14033</v>
      </c>
    </row>
    <row r="332" spans="1:9" x14ac:dyDescent="0.25">
      <c r="A332" s="2" t="s">
        <v>14189</v>
      </c>
      <c r="C332" s="3" t="str">
        <f>HYPERLINK("http://amigo.geneontology.org/amigo/term/GO:0004335","GO:0004335")</f>
        <v>GO:0004335</v>
      </c>
      <c r="D332" t="s">
        <v>14190</v>
      </c>
      <c r="E332">
        <v>1</v>
      </c>
      <c r="F332">
        <v>1</v>
      </c>
      <c r="G332">
        <v>5.4539820266346101E-2</v>
      </c>
      <c r="H332">
        <v>0.38177874186442301</v>
      </c>
      <c r="I332" t="s">
        <v>14156</v>
      </c>
    </row>
    <row r="333" spans="1:9" x14ac:dyDescent="0.25">
      <c r="A333" s="2" t="s">
        <v>14191</v>
      </c>
      <c r="C333" s="3" t="str">
        <f>HYPERLINK("http://amigo.geneontology.org/amigo/term/GO:0008972","GO:0008972")</f>
        <v>GO:0008972</v>
      </c>
      <c r="D333" t="s">
        <v>14192</v>
      </c>
      <c r="E333">
        <v>1</v>
      </c>
      <c r="F333">
        <v>1</v>
      </c>
      <c r="G333">
        <v>5.4539820266346101E-2</v>
      </c>
      <c r="H333">
        <v>0.38177874186442301</v>
      </c>
      <c r="I333" t="s">
        <v>14162</v>
      </c>
    </row>
    <row r="334" spans="1:9" x14ac:dyDescent="0.25">
      <c r="A334" s="2" t="s">
        <v>14193</v>
      </c>
      <c r="C334" s="3" t="str">
        <f>HYPERLINK("http://amigo.geneontology.org/amigo/term/GO:0050334","GO:0050334")</f>
        <v>GO:0050334</v>
      </c>
      <c r="D334" t="s">
        <v>14194</v>
      </c>
      <c r="E334">
        <v>1</v>
      </c>
      <c r="F334">
        <v>1</v>
      </c>
      <c r="G334">
        <v>5.4539820266346101E-2</v>
      </c>
      <c r="H334">
        <v>0.38177874186442301</v>
      </c>
      <c r="I334" t="s">
        <v>14162</v>
      </c>
    </row>
    <row r="335" spans="1:9" x14ac:dyDescent="0.25">
      <c r="A335" s="2" t="s">
        <v>14195</v>
      </c>
      <c r="C335" s="3" t="str">
        <f>HYPERLINK("http://amigo.geneontology.org/amigo/term/GO:0003844","GO:0003844")</f>
        <v>GO:0003844</v>
      </c>
      <c r="D335" t="s">
        <v>10605</v>
      </c>
      <c r="E335">
        <v>1</v>
      </c>
      <c r="F335">
        <v>1</v>
      </c>
      <c r="G335">
        <v>5.4539820266346101E-2</v>
      </c>
      <c r="H335">
        <v>0.38177874186442301</v>
      </c>
      <c r="I335" t="s">
        <v>14180</v>
      </c>
    </row>
    <row r="336" spans="1:9" x14ac:dyDescent="0.25">
      <c r="A336" s="2" t="s">
        <v>14196</v>
      </c>
      <c r="C336" s="3" t="str">
        <f>HYPERLINK("http://amigo.geneontology.org/amigo/term/GO:0042391","GO:0042391")</f>
        <v>GO:0042391</v>
      </c>
      <c r="D336" t="s">
        <v>5663</v>
      </c>
      <c r="E336">
        <v>1</v>
      </c>
      <c r="F336">
        <v>1</v>
      </c>
      <c r="G336">
        <v>5.4539820266346101E-2</v>
      </c>
      <c r="H336">
        <v>0.38177874186442301</v>
      </c>
      <c r="I336" t="s">
        <v>14197</v>
      </c>
    </row>
    <row r="337" spans="1:9" x14ac:dyDescent="0.25">
      <c r="A337" s="2" t="s">
        <v>14198</v>
      </c>
      <c r="C337" s="3" t="str">
        <f>HYPERLINK("http://amigo.geneontology.org/amigo/term/GO:0051881","GO:0051881")</f>
        <v>GO:0051881</v>
      </c>
      <c r="D337" t="s">
        <v>14199</v>
      </c>
      <c r="E337">
        <v>1</v>
      </c>
      <c r="F337">
        <v>1</v>
      </c>
      <c r="G337">
        <v>5.4539820266346101E-2</v>
      </c>
      <c r="H337">
        <v>0.38177874186442301</v>
      </c>
      <c r="I337" t="s">
        <v>14197</v>
      </c>
    </row>
    <row r="338" spans="1:9" x14ac:dyDescent="0.25">
      <c r="A338" s="2" t="s">
        <v>14200</v>
      </c>
      <c r="C338" s="3" t="str">
        <f>HYPERLINK("http://amigo.geneontology.org/amigo/term/GO:0004590","GO:0004590")</f>
        <v>GO:0004590</v>
      </c>
      <c r="D338" t="s">
        <v>7225</v>
      </c>
      <c r="E338">
        <v>1</v>
      </c>
      <c r="F338">
        <v>1</v>
      </c>
      <c r="G338">
        <v>5.4539820266346101E-2</v>
      </c>
      <c r="H338">
        <v>0.38177874186442301</v>
      </c>
      <c r="I338" t="s">
        <v>14201</v>
      </c>
    </row>
    <row r="339" spans="1:9" x14ac:dyDescent="0.25">
      <c r="A339" s="2" t="s">
        <v>14202</v>
      </c>
      <c r="C339" s="3" t="str">
        <f>HYPERLINK("http://amigo.geneontology.org/amigo/term/GO:0015037","GO:0015037")</f>
        <v>GO:0015037</v>
      </c>
      <c r="D339" t="s">
        <v>14203</v>
      </c>
      <c r="E339">
        <v>1</v>
      </c>
      <c r="F339">
        <v>1</v>
      </c>
      <c r="G339">
        <v>5.4539820266346101E-2</v>
      </c>
      <c r="H339">
        <v>0.38177874186442301</v>
      </c>
      <c r="I339" t="s">
        <v>14204</v>
      </c>
    </row>
    <row r="340" spans="1:9" x14ac:dyDescent="0.25">
      <c r="A340" s="2" t="s">
        <v>14205</v>
      </c>
      <c r="C340" s="3" t="str">
        <f>HYPERLINK("http://amigo.geneontology.org/amigo/term/GO:0015038","GO:0015038")</f>
        <v>GO:0015038</v>
      </c>
      <c r="D340" t="s">
        <v>14206</v>
      </c>
      <c r="E340">
        <v>1</v>
      </c>
      <c r="F340">
        <v>1</v>
      </c>
      <c r="G340">
        <v>5.4539820266346101E-2</v>
      </c>
      <c r="H340">
        <v>0.38177874186442301</v>
      </c>
      <c r="I340" t="s">
        <v>14204</v>
      </c>
    </row>
    <row r="341" spans="1:9" x14ac:dyDescent="0.25">
      <c r="A341" s="2" t="s">
        <v>14207</v>
      </c>
      <c r="C341" s="3" t="str">
        <f>HYPERLINK("http://amigo.geneontology.org/amigo/term/GO:0004362","GO:0004362")</f>
        <v>GO:0004362</v>
      </c>
      <c r="D341" t="s">
        <v>14208</v>
      </c>
      <c r="E341">
        <v>1</v>
      </c>
      <c r="F341">
        <v>1</v>
      </c>
      <c r="G341">
        <v>5.4539820266346101E-2</v>
      </c>
      <c r="H341">
        <v>0.38177874186442301</v>
      </c>
      <c r="I341" t="s">
        <v>14204</v>
      </c>
    </row>
    <row r="342" spans="1:9" x14ac:dyDescent="0.25">
      <c r="A342" s="2" t="s">
        <v>14209</v>
      </c>
      <c r="C342" s="3" t="str">
        <f>HYPERLINK("http://amigo.geneontology.org/amigo/term/GO:0008442","GO:0008442")</f>
        <v>GO:0008442</v>
      </c>
      <c r="D342" t="s">
        <v>14210</v>
      </c>
      <c r="E342">
        <v>1</v>
      </c>
      <c r="F342">
        <v>1</v>
      </c>
      <c r="G342">
        <v>5.4539820266346101E-2</v>
      </c>
      <c r="H342">
        <v>0.38177874186442301</v>
      </c>
      <c r="I342" t="s">
        <v>14211</v>
      </c>
    </row>
    <row r="343" spans="1:9" x14ac:dyDescent="0.25">
      <c r="A343" s="2" t="s">
        <v>14212</v>
      </c>
      <c r="C343" s="3" t="str">
        <f>HYPERLINK("http://amigo.geneontology.org/amigo/term/GO:0008108","GO:0008108")</f>
        <v>GO:0008108</v>
      </c>
      <c r="D343" t="s">
        <v>14213</v>
      </c>
      <c r="E343">
        <v>1</v>
      </c>
      <c r="F343">
        <v>1</v>
      </c>
      <c r="G343">
        <v>5.4539820266346101E-2</v>
      </c>
      <c r="H343">
        <v>0.38177874186442301</v>
      </c>
      <c r="I343" t="s">
        <v>14214</v>
      </c>
    </row>
    <row r="344" spans="1:9" x14ac:dyDescent="0.25">
      <c r="A344" s="2" t="s">
        <v>14215</v>
      </c>
      <c r="C344" s="3" t="str">
        <f>HYPERLINK("http://amigo.geneontology.org/amigo/term/GO:0003978","GO:0003978")</f>
        <v>GO:0003978</v>
      </c>
      <c r="D344" t="s">
        <v>9123</v>
      </c>
      <c r="E344">
        <v>1</v>
      </c>
      <c r="F344">
        <v>1</v>
      </c>
      <c r="G344">
        <v>5.4539820266346101E-2</v>
      </c>
      <c r="H344">
        <v>0.38177874186442301</v>
      </c>
      <c r="I344" t="s">
        <v>14216</v>
      </c>
    </row>
    <row r="345" spans="1:9" x14ac:dyDescent="0.25">
      <c r="A345" s="2" t="s">
        <v>14217</v>
      </c>
      <c r="C345" s="3" t="str">
        <f>HYPERLINK("http://amigo.geneontology.org/amigo/term/GO:0003960","GO:0003960")</f>
        <v>GO:0003960</v>
      </c>
      <c r="D345" t="s">
        <v>14218</v>
      </c>
      <c r="E345">
        <v>1</v>
      </c>
      <c r="F345">
        <v>1</v>
      </c>
      <c r="G345">
        <v>5.4539820266346101E-2</v>
      </c>
      <c r="H345">
        <v>0.38177874186442301</v>
      </c>
      <c r="I345" t="s">
        <v>14219</v>
      </c>
    </row>
    <row r="346" spans="1:9" x14ac:dyDescent="0.25">
      <c r="A346" s="2" t="s">
        <v>14220</v>
      </c>
      <c r="C346" s="3" t="str">
        <f>HYPERLINK("http://amigo.geneontology.org/amigo/term/GO:0017091","GO:0017091")</f>
        <v>GO:0017091</v>
      </c>
      <c r="D346" t="s">
        <v>14221</v>
      </c>
      <c r="E346">
        <v>1</v>
      </c>
      <c r="F346">
        <v>1</v>
      </c>
      <c r="G346">
        <v>5.4539820266346101E-2</v>
      </c>
      <c r="H346">
        <v>0.38177874186442301</v>
      </c>
      <c r="I346" t="s">
        <v>14219</v>
      </c>
    </row>
    <row r="347" spans="1:9" x14ac:dyDescent="0.25">
      <c r="A347" s="2" t="s">
        <v>14222</v>
      </c>
      <c r="C347" s="3" t="str">
        <f>HYPERLINK("http://amigo.geneontology.org/amigo/term/GO:0032440","GO:0032440")</f>
        <v>GO:0032440</v>
      </c>
      <c r="D347" t="s">
        <v>14223</v>
      </c>
      <c r="E347">
        <v>1</v>
      </c>
      <c r="F347">
        <v>1</v>
      </c>
      <c r="G347">
        <v>5.4539820266346101E-2</v>
      </c>
      <c r="H347">
        <v>0.38177874186442301</v>
      </c>
      <c r="I347" t="s">
        <v>14219</v>
      </c>
    </row>
    <row r="348" spans="1:9" x14ac:dyDescent="0.25">
      <c r="A348" s="2" t="s">
        <v>14224</v>
      </c>
      <c r="C348" s="3" t="str">
        <f>HYPERLINK("http://amigo.geneontology.org/amigo/term/GO:0008926","GO:0008926")</f>
        <v>GO:0008926</v>
      </c>
      <c r="D348" t="s">
        <v>14225</v>
      </c>
      <c r="E348">
        <v>1</v>
      </c>
      <c r="F348">
        <v>1</v>
      </c>
      <c r="G348">
        <v>5.4539820266346101E-2</v>
      </c>
      <c r="H348">
        <v>0.38177874186442301</v>
      </c>
      <c r="I348" t="s">
        <v>14226</v>
      </c>
    </row>
    <row r="349" spans="1:9" x14ac:dyDescent="0.25">
      <c r="A349" s="2" t="s">
        <v>14227</v>
      </c>
      <c r="C349" s="3" t="str">
        <f>HYPERLINK("http://amigo.geneontology.org/amigo/term/GO:0006059","GO:0006059")</f>
        <v>GO:0006059</v>
      </c>
      <c r="D349" t="s">
        <v>14228</v>
      </c>
      <c r="E349">
        <v>1</v>
      </c>
      <c r="F349">
        <v>1</v>
      </c>
      <c r="G349">
        <v>5.4539820266346101E-2</v>
      </c>
      <c r="H349">
        <v>0.38177874186442301</v>
      </c>
      <c r="I349" t="s">
        <v>14226</v>
      </c>
    </row>
    <row r="350" spans="1:9" x14ac:dyDescent="0.25">
      <c r="A350" s="2" t="s">
        <v>14229</v>
      </c>
      <c r="C350" s="3" t="str">
        <f>HYPERLINK("http://amigo.geneontology.org/amigo/term/GO:0019594","GO:0019594")</f>
        <v>GO:0019594</v>
      </c>
      <c r="D350" t="s">
        <v>14230</v>
      </c>
      <c r="E350">
        <v>1</v>
      </c>
      <c r="F350">
        <v>1</v>
      </c>
      <c r="G350">
        <v>5.4539820266346101E-2</v>
      </c>
      <c r="H350">
        <v>0.38177874186442301</v>
      </c>
      <c r="I350" t="s">
        <v>14226</v>
      </c>
    </row>
    <row r="351" spans="1:9" x14ac:dyDescent="0.25">
      <c r="A351" s="2" t="s">
        <v>14231</v>
      </c>
      <c r="C351" s="3" t="str">
        <f>HYPERLINK("http://amigo.geneontology.org/amigo/term/GO:0004347","GO:0004347")</f>
        <v>GO:0004347</v>
      </c>
      <c r="D351" t="s">
        <v>14232</v>
      </c>
      <c r="E351">
        <v>1</v>
      </c>
      <c r="F351">
        <v>1</v>
      </c>
      <c r="G351">
        <v>5.4539820266346101E-2</v>
      </c>
      <c r="H351">
        <v>0.38177874186442301</v>
      </c>
      <c r="I351" t="s">
        <v>14233</v>
      </c>
    </row>
    <row r="352" spans="1:9" x14ac:dyDescent="0.25">
      <c r="A352" s="2" t="s">
        <v>14234</v>
      </c>
      <c r="C352" s="3" t="str">
        <f>HYPERLINK("http://amigo.geneontology.org/amigo/term/GO:0003825","GO:0003825")</f>
        <v>GO:0003825</v>
      </c>
      <c r="D352" t="s">
        <v>14235</v>
      </c>
      <c r="E352">
        <v>1</v>
      </c>
      <c r="F352">
        <v>1</v>
      </c>
      <c r="G352">
        <v>5.4539820266346101E-2</v>
      </c>
      <c r="H352">
        <v>0.38177874186442301</v>
      </c>
      <c r="I352" t="s">
        <v>14236</v>
      </c>
    </row>
    <row r="353" spans="1:9" x14ac:dyDescent="0.25">
      <c r="A353" s="2" t="s">
        <v>14237</v>
      </c>
      <c r="C353" s="3" t="str">
        <f>HYPERLINK("http://amigo.geneontology.org/amigo/term/GO:0043891","GO:0043891")</f>
        <v>GO:0043891</v>
      </c>
      <c r="D353" t="s">
        <v>14238</v>
      </c>
      <c r="E353">
        <v>1</v>
      </c>
      <c r="F353">
        <v>1</v>
      </c>
      <c r="G353">
        <v>5.4539820266346101E-2</v>
      </c>
      <c r="H353">
        <v>0.43631856213076903</v>
      </c>
      <c r="I353" t="s">
        <v>14239</v>
      </c>
    </row>
    <row r="354" spans="1:9" x14ac:dyDescent="0.25">
      <c r="A354" s="2" t="s">
        <v>14240</v>
      </c>
      <c r="C354" s="3" t="str">
        <f>HYPERLINK("http://amigo.geneontology.org/amigo/term/GO:0004365","GO:0004365")</f>
        <v>GO:0004365</v>
      </c>
      <c r="D354" t="s">
        <v>14241</v>
      </c>
      <c r="E354">
        <v>1</v>
      </c>
      <c r="F354">
        <v>1</v>
      </c>
      <c r="G354">
        <v>5.4539820266346101E-2</v>
      </c>
      <c r="H354">
        <v>0.43631856213076903</v>
      </c>
      <c r="I354" t="s">
        <v>14239</v>
      </c>
    </row>
    <row r="355" spans="1:9" x14ac:dyDescent="0.25">
      <c r="A355" s="2" t="s">
        <v>14242</v>
      </c>
      <c r="C355" s="3" t="str">
        <f>HYPERLINK("http://amigo.geneontology.org/amigo/term/GO:0038203","GO:0038203")</f>
        <v>GO:0038203</v>
      </c>
      <c r="D355" t="s">
        <v>14243</v>
      </c>
      <c r="E355">
        <v>1</v>
      </c>
      <c r="F355">
        <v>1</v>
      </c>
      <c r="G355">
        <v>5.4539820266346101E-2</v>
      </c>
      <c r="H355">
        <v>0.43631856213076903</v>
      </c>
      <c r="I355" t="s">
        <v>14244</v>
      </c>
    </row>
    <row r="356" spans="1:9" x14ac:dyDescent="0.25">
      <c r="A356" s="2" t="s">
        <v>14245</v>
      </c>
      <c r="C356" s="3" t="str">
        <f>HYPERLINK("http://amigo.geneontology.org/amigo/term/GO:1902936","GO:1902936")</f>
        <v>GO:1902936</v>
      </c>
      <c r="D356" t="s">
        <v>14246</v>
      </c>
      <c r="E356">
        <v>1</v>
      </c>
      <c r="F356">
        <v>1</v>
      </c>
      <c r="G356">
        <v>5.4539820266346101E-2</v>
      </c>
      <c r="H356">
        <v>0.43631856213076903</v>
      </c>
      <c r="I356" t="s">
        <v>14244</v>
      </c>
    </row>
    <row r="357" spans="1:9" x14ac:dyDescent="0.25">
      <c r="A357" s="2" t="s">
        <v>14247</v>
      </c>
      <c r="C357" s="3" t="str">
        <f>HYPERLINK("http://amigo.geneontology.org/amigo/term/GO:0005546","GO:0005546")</f>
        <v>GO:0005546</v>
      </c>
      <c r="D357" t="s">
        <v>14248</v>
      </c>
      <c r="E357">
        <v>1</v>
      </c>
      <c r="F357">
        <v>1</v>
      </c>
      <c r="G357">
        <v>5.4539820266346101E-2</v>
      </c>
      <c r="H357">
        <v>0.43631856213076903</v>
      </c>
      <c r="I357" t="s">
        <v>14244</v>
      </c>
    </row>
    <row r="358" spans="1:9" x14ac:dyDescent="0.25">
      <c r="A358" s="2" t="s">
        <v>14249</v>
      </c>
      <c r="C358" s="3" t="str">
        <f>HYPERLINK("http://amigo.geneontology.org/amigo/term/GO:0006004","GO:0006004")</f>
        <v>GO:0006004</v>
      </c>
      <c r="D358" t="s">
        <v>14250</v>
      </c>
      <c r="E358">
        <v>1</v>
      </c>
      <c r="F358">
        <v>1</v>
      </c>
      <c r="G358">
        <v>5.4539820266346101E-2</v>
      </c>
      <c r="H358">
        <v>0.43631856213076903</v>
      </c>
      <c r="I358" t="s">
        <v>14251</v>
      </c>
    </row>
    <row r="359" spans="1:9" x14ac:dyDescent="0.25">
      <c r="A359" s="2" t="s">
        <v>14252</v>
      </c>
      <c r="C359" s="3" t="str">
        <f>HYPERLINK("http://amigo.geneontology.org/amigo/term/GO:0003852","GO:0003852")</f>
        <v>GO:0003852</v>
      </c>
      <c r="D359" t="s">
        <v>14253</v>
      </c>
      <c r="E359">
        <v>1</v>
      </c>
      <c r="F359">
        <v>1</v>
      </c>
      <c r="G359">
        <v>5.4539820266346101E-2</v>
      </c>
      <c r="H359">
        <v>0.43631856213076903</v>
      </c>
      <c r="I359" t="s">
        <v>14254</v>
      </c>
    </row>
    <row r="360" spans="1:9" x14ac:dyDescent="0.25">
      <c r="A360" s="2" t="s">
        <v>14255</v>
      </c>
      <c r="C360" s="3" t="str">
        <f>HYPERLINK("http://amigo.geneontology.org/amigo/term/GO:0004807","GO:0004807")</f>
        <v>GO:0004807</v>
      </c>
      <c r="D360" t="s">
        <v>14256</v>
      </c>
      <c r="E360">
        <v>1</v>
      </c>
      <c r="F360">
        <v>1</v>
      </c>
      <c r="G360">
        <v>5.4539820266346101E-2</v>
      </c>
      <c r="H360">
        <v>0.43631856213076903</v>
      </c>
      <c r="I360" t="s">
        <v>14257</v>
      </c>
    </row>
    <row r="361" spans="1:9" x14ac:dyDescent="0.25">
      <c r="A361" s="2" t="s">
        <v>14197</v>
      </c>
      <c r="C361" s="3" t="str">
        <f>HYPERLINK("http://amigo.geneontology.org/amigo/term/GO:0004373","GO:0004373")</f>
        <v>GO:0004373</v>
      </c>
      <c r="D361" t="s">
        <v>7296</v>
      </c>
      <c r="E361">
        <v>1</v>
      </c>
      <c r="F361">
        <v>1</v>
      </c>
      <c r="G361">
        <v>5.4539820266346101E-2</v>
      </c>
      <c r="H361">
        <v>0.43631856213076903</v>
      </c>
      <c r="I361" t="s">
        <v>14258</v>
      </c>
    </row>
    <row r="362" spans="1:9" x14ac:dyDescent="0.25">
      <c r="A362" s="2" t="s">
        <v>14259</v>
      </c>
      <c r="C362" s="3" t="str">
        <f>HYPERLINK("http://amigo.geneontology.org/amigo/term/GO:0006013","GO:0006013")</f>
        <v>GO:0006013</v>
      </c>
      <c r="D362" t="s">
        <v>14260</v>
      </c>
      <c r="E362">
        <v>1</v>
      </c>
      <c r="F362">
        <v>1</v>
      </c>
      <c r="G362">
        <v>5.4539820266346101E-2</v>
      </c>
      <c r="H362">
        <v>0.43631856213076903</v>
      </c>
      <c r="I362" t="s">
        <v>14261</v>
      </c>
    </row>
    <row r="363" spans="1:9" x14ac:dyDescent="0.25">
      <c r="A363" s="2" t="s">
        <v>14262</v>
      </c>
      <c r="C363" s="3" t="str">
        <f>HYPERLINK("http://amigo.geneontology.org/amigo/term/GO:0042030","GO:0042030")</f>
        <v>GO:0042030</v>
      </c>
      <c r="D363" t="s">
        <v>14263</v>
      </c>
      <c r="E363">
        <v>1</v>
      </c>
      <c r="F363">
        <v>1</v>
      </c>
      <c r="G363">
        <v>5.4539820266346101E-2</v>
      </c>
      <c r="H363">
        <v>0.43631856213076903</v>
      </c>
      <c r="I363" t="s">
        <v>14264</v>
      </c>
    </row>
    <row r="364" spans="1:9" x14ac:dyDescent="0.25">
      <c r="A364" s="2" t="s">
        <v>14265</v>
      </c>
      <c r="C364" s="3" t="str">
        <f>HYPERLINK("http://amigo.geneontology.org/amigo/term/GO:0043462","GO:0043462")</f>
        <v>GO:0043462</v>
      </c>
      <c r="D364" t="s">
        <v>14266</v>
      </c>
      <c r="E364">
        <v>1</v>
      </c>
      <c r="F364">
        <v>1</v>
      </c>
      <c r="G364">
        <v>5.4539820266346101E-2</v>
      </c>
      <c r="H364">
        <v>0.43631856213076903</v>
      </c>
      <c r="I364" t="s">
        <v>14264</v>
      </c>
    </row>
    <row r="365" spans="1:9" x14ac:dyDescent="0.25">
      <c r="A365" s="2" t="s">
        <v>14267</v>
      </c>
      <c r="C365" s="3" t="str">
        <f>HYPERLINK("http://amigo.geneontology.org/amigo/term/GO:0051346","GO:0051346")</f>
        <v>GO:0051346</v>
      </c>
      <c r="D365" t="s">
        <v>7015</v>
      </c>
      <c r="E365">
        <v>1</v>
      </c>
      <c r="F365">
        <v>1</v>
      </c>
      <c r="G365">
        <v>5.4539820266346101E-2</v>
      </c>
      <c r="H365">
        <v>0.43631856213076903</v>
      </c>
      <c r="I365" t="s">
        <v>14264</v>
      </c>
    </row>
    <row r="366" spans="1:9" x14ac:dyDescent="0.25">
      <c r="A366" s="2" t="s">
        <v>14268</v>
      </c>
      <c r="C366" s="3" t="str">
        <f>HYPERLINK("http://amigo.geneontology.org/amigo/term/GO:0032780","GO:0032780")</f>
        <v>GO:0032780</v>
      </c>
      <c r="D366" t="s">
        <v>14269</v>
      </c>
      <c r="E366">
        <v>1</v>
      </c>
      <c r="F366">
        <v>1</v>
      </c>
      <c r="G366">
        <v>5.4539820266346101E-2</v>
      </c>
      <c r="H366">
        <v>0.43631856213076903</v>
      </c>
      <c r="I366" t="s">
        <v>14264</v>
      </c>
    </row>
    <row r="367" spans="1:9" x14ac:dyDescent="0.25">
      <c r="A367" s="2" t="s">
        <v>14201</v>
      </c>
      <c r="C367" s="3" t="str">
        <f>HYPERLINK("http://amigo.geneontology.org/amigo/term/GO:0003860","GO:0003860")</f>
        <v>GO:0003860</v>
      </c>
      <c r="D367" t="s">
        <v>14270</v>
      </c>
      <c r="E367">
        <v>1</v>
      </c>
      <c r="F367">
        <v>1</v>
      </c>
      <c r="G367">
        <v>5.4539820266346101E-2</v>
      </c>
      <c r="H367">
        <v>0.43631856213076903</v>
      </c>
      <c r="I367" t="s">
        <v>14271</v>
      </c>
    </row>
    <row r="368" spans="1:9" x14ac:dyDescent="0.25">
      <c r="A368" s="2" t="s">
        <v>14272</v>
      </c>
      <c r="C368" s="3" t="str">
        <f>HYPERLINK("http://amigo.geneontology.org/amigo/term/GO:0000334","GO:0000334")</f>
        <v>GO:0000334</v>
      </c>
      <c r="D368" t="s">
        <v>14273</v>
      </c>
      <c r="E368">
        <v>1</v>
      </c>
      <c r="F368">
        <v>1</v>
      </c>
      <c r="G368">
        <v>5.4539820266346101E-2</v>
      </c>
      <c r="H368">
        <v>0.43631856213076903</v>
      </c>
      <c r="I368" t="s">
        <v>14274</v>
      </c>
    </row>
    <row r="369" spans="1:9" x14ac:dyDescent="0.25">
      <c r="A369" s="2" t="s">
        <v>14275</v>
      </c>
      <c r="C369" s="3" t="str">
        <f>HYPERLINK("http://amigo.geneontology.org/amigo/term/GO:0004661","GO:0004661")</f>
        <v>GO:0004661</v>
      </c>
      <c r="D369" t="s">
        <v>14276</v>
      </c>
      <c r="E369">
        <v>1</v>
      </c>
      <c r="F369">
        <v>1</v>
      </c>
      <c r="G369">
        <v>5.4539820266346101E-2</v>
      </c>
      <c r="H369">
        <v>0.43631856213076903</v>
      </c>
      <c r="I369" t="s">
        <v>14277</v>
      </c>
    </row>
    <row r="370" spans="1:9" x14ac:dyDescent="0.25">
      <c r="A370" s="2" t="s">
        <v>14204</v>
      </c>
      <c r="C370" s="3" t="str">
        <f>HYPERLINK("http://amigo.geneontology.org/amigo/term/GO:0004663","GO:0004663")</f>
        <v>GO:0004663</v>
      </c>
      <c r="D370" t="s">
        <v>14278</v>
      </c>
      <c r="E370">
        <v>1</v>
      </c>
      <c r="F370">
        <v>1</v>
      </c>
      <c r="G370">
        <v>5.4539820266346101E-2</v>
      </c>
      <c r="H370">
        <v>0.43631856213076903</v>
      </c>
      <c r="I370" t="s">
        <v>14277</v>
      </c>
    </row>
    <row r="371" spans="1:9" x14ac:dyDescent="0.25">
      <c r="A371" s="2" t="s">
        <v>14279</v>
      </c>
      <c r="C371" s="3" t="str">
        <f>HYPERLINK("http://amigo.geneontology.org/amigo/term/GO:0055129","GO:0055129")</f>
        <v>GO:0055129</v>
      </c>
      <c r="D371" t="s">
        <v>14280</v>
      </c>
      <c r="E371">
        <v>1</v>
      </c>
      <c r="F371">
        <v>1</v>
      </c>
      <c r="G371">
        <v>5.4539820266346101E-2</v>
      </c>
      <c r="H371">
        <v>0.43631856213076903</v>
      </c>
      <c r="I371" t="s">
        <v>14281</v>
      </c>
    </row>
    <row r="372" spans="1:9" x14ac:dyDescent="0.25">
      <c r="A372" s="2" t="s">
        <v>14282</v>
      </c>
      <c r="C372" s="3" t="str">
        <f>HYPERLINK("http://amigo.geneontology.org/amigo/term/GO:0001760","GO:0001760")</f>
        <v>GO:0001760</v>
      </c>
      <c r="D372" t="s">
        <v>14283</v>
      </c>
      <c r="E372">
        <v>1</v>
      </c>
      <c r="F372">
        <v>1</v>
      </c>
      <c r="G372">
        <v>5.4539820266346101E-2</v>
      </c>
      <c r="H372">
        <v>0.43631856213076903</v>
      </c>
      <c r="I372" t="s">
        <v>14284</v>
      </c>
    </row>
    <row r="373" spans="1:9" x14ac:dyDescent="0.25">
      <c r="A373" s="2" t="s">
        <v>14285</v>
      </c>
      <c r="C373" s="3" t="str">
        <f>HYPERLINK("http://amigo.geneontology.org/amigo/term/GO:1904984","GO:1904984")</f>
        <v>GO:1904984</v>
      </c>
      <c r="D373" t="s">
        <v>14286</v>
      </c>
      <c r="E373">
        <v>1</v>
      </c>
      <c r="F373">
        <v>1</v>
      </c>
      <c r="G373">
        <v>5.4539820266346101E-2</v>
      </c>
      <c r="H373">
        <v>0.43631856213076903</v>
      </c>
      <c r="I373" t="s">
        <v>14284</v>
      </c>
    </row>
    <row r="374" spans="1:9" x14ac:dyDescent="0.25">
      <c r="A374" s="2" t="s">
        <v>14211</v>
      </c>
      <c r="C374" s="3" t="str">
        <f>HYPERLINK("http://amigo.geneontology.org/amigo/term/GO:0003952","GO:0003952")</f>
        <v>GO:0003952</v>
      </c>
      <c r="D374" t="s">
        <v>14287</v>
      </c>
      <c r="E374">
        <v>1</v>
      </c>
      <c r="F374">
        <v>1</v>
      </c>
      <c r="G374">
        <v>5.4539820266346101E-2</v>
      </c>
      <c r="H374">
        <v>0.43631856213076903</v>
      </c>
      <c r="I374" t="s">
        <v>14288</v>
      </c>
    </row>
    <row r="375" spans="1:9" x14ac:dyDescent="0.25">
      <c r="A375" s="2" t="s">
        <v>14289</v>
      </c>
      <c r="C375" s="3" t="str">
        <f>HYPERLINK("http://amigo.geneontology.org/amigo/term/GO:0051126","GO:0051126")</f>
        <v>GO:0051126</v>
      </c>
      <c r="D375" t="s">
        <v>14290</v>
      </c>
      <c r="E375">
        <v>1</v>
      </c>
      <c r="F375">
        <v>1</v>
      </c>
      <c r="G375">
        <v>5.4539820266346101E-2</v>
      </c>
      <c r="H375">
        <v>0.43631856213076903</v>
      </c>
      <c r="I375" t="s">
        <v>14291</v>
      </c>
    </row>
    <row r="376" spans="1:9" x14ac:dyDescent="0.25">
      <c r="A376" s="2" t="s">
        <v>14292</v>
      </c>
      <c r="C376" s="3" t="str">
        <f>HYPERLINK("http://amigo.geneontology.org/amigo/term/GO:0034316","GO:0034316")</f>
        <v>GO:0034316</v>
      </c>
      <c r="D376" t="s">
        <v>14293</v>
      </c>
      <c r="E376">
        <v>1</v>
      </c>
      <c r="F376">
        <v>1</v>
      </c>
      <c r="G376">
        <v>5.4539820266346101E-2</v>
      </c>
      <c r="H376">
        <v>0.43631856213076903</v>
      </c>
      <c r="I376" t="s">
        <v>14291</v>
      </c>
    </row>
    <row r="377" spans="1:9" x14ac:dyDescent="0.25">
      <c r="A377" s="2" t="s">
        <v>14294</v>
      </c>
      <c r="C377" s="3" t="str">
        <f>HYPERLINK("http://amigo.geneontology.org/amigo/term/GO:0031907","GO:0031907")</f>
        <v>GO:0031907</v>
      </c>
      <c r="D377" t="s">
        <v>14295</v>
      </c>
      <c r="E377">
        <v>1</v>
      </c>
      <c r="F377">
        <v>1</v>
      </c>
      <c r="G377">
        <v>5.4539820266346101E-2</v>
      </c>
      <c r="H377">
        <v>0.43631856213076903</v>
      </c>
      <c r="I377" t="s">
        <v>14296</v>
      </c>
    </row>
    <row r="378" spans="1:9" x14ac:dyDescent="0.25">
      <c r="A378" s="2" t="s">
        <v>14297</v>
      </c>
      <c r="C378" s="3" t="str">
        <f>HYPERLINK("http://amigo.geneontology.org/amigo/term/GO:0005782","GO:0005782")</f>
        <v>GO:0005782</v>
      </c>
      <c r="D378" t="s">
        <v>14298</v>
      </c>
      <c r="E378">
        <v>1</v>
      </c>
      <c r="F378">
        <v>1</v>
      </c>
      <c r="G378">
        <v>5.4539820266346101E-2</v>
      </c>
      <c r="H378">
        <v>0.43631856213076903</v>
      </c>
      <c r="I378" t="s">
        <v>14296</v>
      </c>
    </row>
    <row r="379" spans="1:9" x14ac:dyDescent="0.25">
      <c r="A379" s="2" t="s">
        <v>14299</v>
      </c>
      <c r="C379" s="3" t="str">
        <f>HYPERLINK("http://amigo.geneontology.org/amigo/term/GO:0003861","GO:0003861")</f>
        <v>GO:0003861</v>
      </c>
      <c r="D379" t="s">
        <v>14300</v>
      </c>
      <c r="E379">
        <v>1</v>
      </c>
      <c r="F379">
        <v>1</v>
      </c>
      <c r="G379">
        <v>5.4539820266346101E-2</v>
      </c>
      <c r="H379">
        <v>0.43631856213076903</v>
      </c>
      <c r="I379" t="s">
        <v>14301</v>
      </c>
    </row>
    <row r="380" spans="1:9" x14ac:dyDescent="0.25">
      <c r="A380" s="2" t="s">
        <v>14302</v>
      </c>
      <c r="C380" s="3" t="str">
        <f>HYPERLINK("http://amigo.geneontology.org/amigo/term/GO:0009316","GO:0009316")</f>
        <v>GO:0009316</v>
      </c>
      <c r="D380" t="s">
        <v>14303</v>
      </c>
      <c r="E380">
        <v>1</v>
      </c>
      <c r="F380">
        <v>1</v>
      </c>
      <c r="G380">
        <v>5.4539820266346101E-2</v>
      </c>
      <c r="H380">
        <v>0.43631856213076903</v>
      </c>
      <c r="I380" t="s">
        <v>14301</v>
      </c>
    </row>
    <row r="381" spans="1:9" x14ac:dyDescent="0.25">
      <c r="A381" s="2" t="s">
        <v>14304</v>
      </c>
      <c r="C381" s="3" t="str">
        <f>HYPERLINK("http://amigo.geneontology.org/amigo/term/GO:0004462","GO:0004462")</f>
        <v>GO:0004462</v>
      </c>
      <c r="D381" t="s">
        <v>14305</v>
      </c>
      <c r="E381">
        <v>1</v>
      </c>
      <c r="F381">
        <v>1</v>
      </c>
      <c r="G381">
        <v>5.4539820266346101E-2</v>
      </c>
      <c r="H381">
        <v>0.43631856213076903</v>
      </c>
      <c r="I381" t="s">
        <v>14306</v>
      </c>
    </row>
    <row r="382" spans="1:9" x14ac:dyDescent="0.25">
      <c r="A382" s="2" t="s">
        <v>14307</v>
      </c>
      <c r="C382" s="3" t="str">
        <f>HYPERLINK("http://amigo.geneontology.org/amigo/term/GO:0009438","GO:0009438")</f>
        <v>GO:0009438</v>
      </c>
      <c r="D382" t="s">
        <v>14308</v>
      </c>
      <c r="E382">
        <v>1</v>
      </c>
      <c r="F382">
        <v>1</v>
      </c>
      <c r="G382">
        <v>5.4539820266346101E-2</v>
      </c>
      <c r="H382">
        <v>0.43631856213076903</v>
      </c>
      <c r="I382" t="s">
        <v>14306</v>
      </c>
    </row>
    <row r="383" spans="1:9" x14ac:dyDescent="0.25">
      <c r="A383" s="2" t="s">
        <v>14309</v>
      </c>
      <c r="C383" s="3" t="str">
        <f>HYPERLINK("http://amigo.geneontology.org/amigo/term/GO:0051596","GO:0051596")</f>
        <v>GO:0051596</v>
      </c>
      <c r="D383" t="s">
        <v>14310</v>
      </c>
      <c r="E383">
        <v>1</v>
      </c>
      <c r="F383">
        <v>1</v>
      </c>
      <c r="G383">
        <v>5.4539820266346101E-2</v>
      </c>
      <c r="H383">
        <v>0.43631856213076903</v>
      </c>
      <c r="I383" t="s">
        <v>14306</v>
      </c>
    </row>
    <row r="384" spans="1:9" x14ac:dyDescent="0.25">
      <c r="A384" s="2" t="s">
        <v>14311</v>
      </c>
      <c r="C384" s="3" t="str">
        <f>HYPERLINK("http://amigo.geneontology.org/amigo/term/GO:0061727","GO:0061727")</f>
        <v>GO:0061727</v>
      </c>
      <c r="D384" t="s">
        <v>14312</v>
      </c>
      <c r="E384">
        <v>1</v>
      </c>
      <c r="F384">
        <v>1</v>
      </c>
      <c r="G384">
        <v>5.4539820266346101E-2</v>
      </c>
      <c r="H384">
        <v>0.43631856213076903</v>
      </c>
      <c r="I384" t="s">
        <v>14306</v>
      </c>
    </row>
    <row r="385" spans="1:9" x14ac:dyDescent="0.25">
      <c r="A385" s="2" t="s">
        <v>14313</v>
      </c>
      <c r="C385" s="3" t="str">
        <f>HYPERLINK("http://amigo.geneontology.org/amigo/term/GO:0019243","GO:0019243")</f>
        <v>GO:0019243</v>
      </c>
      <c r="D385" t="s">
        <v>14314</v>
      </c>
      <c r="E385">
        <v>1</v>
      </c>
      <c r="F385">
        <v>1</v>
      </c>
      <c r="G385">
        <v>5.4539820266346101E-2</v>
      </c>
      <c r="H385">
        <v>0.49085838239711499</v>
      </c>
      <c r="I385" t="s">
        <v>14306</v>
      </c>
    </row>
    <row r="386" spans="1:9" x14ac:dyDescent="0.25">
      <c r="A386" s="2" t="s">
        <v>14315</v>
      </c>
      <c r="C386" s="3" t="str">
        <f>HYPERLINK("http://amigo.geneontology.org/amigo/term/GO:0003872","GO:0003872")</f>
        <v>GO:0003872</v>
      </c>
      <c r="D386" t="s">
        <v>4416</v>
      </c>
      <c r="E386">
        <v>1</v>
      </c>
      <c r="F386">
        <v>1</v>
      </c>
      <c r="G386">
        <v>5.4539820266346101E-2</v>
      </c>
      <c r="H386">
        <v>0.49085838239711499</v>
      </c>
      <c r="I386" t="s">
        <v>14316</v>
      </c>
    </row>
    <row r="387" spans="1:9" x14ac:dyDescent="0.25">
      <c r="A387" s="2" t="s">
        <v>14317</v>
      </c>
      <c r="C387" s="3" t="str">
        <f>HYPERLINK("http://amigo.geneontology.org/amigo/term/GO:0006002","GO:0006002")</f>
        <v>GO:0006002</v>
      </c>
      <c r="D387" t="s">
        <v>4406</v>
      </c>
      <c r="E387">
        <v>1</v>
      </c>
      <c r="F387">
        <v>1</v>
      </c>
      <c r="G387">
        <v>5.4539820266346101E-2</v>
      </c>
      <c r="H387">
        <v>0.49085838239711499</v>
      </c>
      <c r="I387" t="s">
        <v>14316</v>
      </c>
    </row>
    <row r="388" spans="1:9" x14ac:dyDescent="0.25">
      <c r="A388" s="2" t="s">
        <v>14318</v>
      </c>
      <c r="C388" s="3" t="str">
        <f>HYPERLINK("http://amigo.geneontology.org/amigo/term/GO:0065009","GO:0065009")</f>
        <v>GO:0065009</v>
      </c>
      <c r="D388" t="s">
        <v>879</v>
      </c>
      <c r="E388">
        <v>27</v>
      </c>
      <c r="F388">
        <v>4</v>
      </c>
      <c r="G388">
        <v>5.65902064970542E-2</v>
      </c>
      <c r="H388">
        <v>0.33954123898232502</v>
      </c>
      <c r="I388" t="s">
        <v>14319</v>
      </c>
    </row>
    <row r="389" spans="1:9" x14ac:dyDescent="0.25">
      <c r="A389" s="2" t="s">
        <v>14320</v>
      </c>
      <c r="C389" s="3" t="str">
        <f>HYPERLINK("http://amigo.geneontology.org/amigo/term/GO:0030163","GO:0030163")</f>
        <v>GO:0030163</v>
      </c>
      <c r="D389" t="s">
        <v>10698</v>
      </c>
      <c r="E389">
        <v>51</v>
      </c>
      <c r="F389">
        <v>6</v>
      </c>
      <c r="G389">
        <v>5.7426786678892498E-2</v>
      </c>
      <c r="H389">
        <v>0.34456072007335498</v>
      </c>
      <c r="I389" t="s">
        <v>13981</v>
      </c>
    </row>
    <row r="390" spans="1:9" x14ac:dyDescent="0.25">
      <c r="A390" s="2" t="s">
        <v>14321</v>
      </c>
      <c r="C390" s="3" t="str">
        <f>HYPERLINK("http://amigo.geneontology.org/amigo/term/GO:1901362","GO:1901362")</f>
        <v>GO:1901362</v>
      </c>
      <c r="D390" t="s">
        <v>6821</v>
      </c>
      <c r="E390">
        <v>394</v>
      </c>
      <c r="F390">
        <v>29</v>
      </c>
      <c r="G390">
        <v>5.87083126445943E-2</v>
      </c>
      <c r="H390">
        <v>0.35224987586756601</v>
      </c>
      <c r="I390" t="s">
        <v>13992</v>
      </c>
    </row>
    <row r="391" spans="1:9" x14ac:dyDescent="0.25">
      <c r="A391" s="2" t="s">
        <v>14322</v>
      </c>
      <c r="C391" s="3" t="str">
        <f>HYPERLINK("http://amigo.geneontology.org/amigo/term/GO:0016846","GO:0016846")</f>
        <v>GO:0016846</v>
      </c>
      <c r="D391" t="s">
        <v>1356</v>
      </c>
      <c r="E391">
        <v>17</v>
      </c>
      <c r="F391">
        <v>3</v>
      </c>
      <c r="G391">
        <v>6.1942025802578703E-2</v>
      </c>
      <c r="H391">
        <v>0.37165215481547198</v>
      </c>
      <c r="I391" t="s">
        <v>14323</v>
      </c>
    </row>
    <row r="392" spans="1:9" x14ac:dyDescent="0.25">
      <c r="A392" s="2" t="s">
        <v>14324</v>
      </c>
      <c r="C392" s="3" t="str">
        <f>HYPERLINK("http://amigo.geneontology.org/amigo/term/GO:0016860","GO:0016860")</f>
        <v>GO:0016860</v>
      </c>
      <c r="D392" t="s">
        <v>14325</v>
      </c>
      <c r="E392">
        <v>17</v>
      </c>
      <c r="F392">
        <v>3</v>
      </c>
      <c r="G392">
        <v>6.1942025802578703E-2</v>
      </c>
      <c r="H392">
        <v>0.37165215481547198</v>
      </c>
      <c r="I392" t="s">
        <v>13902</v>
      </c>
    </row>
    <row r="393" spans="1:9" x14ac:dyDescent="0.25">
      <c r="A393" s="2" t="s">
        <v>14214</v>
      </c>
      <c r="C393" s="3" t="str">
        <f>HYPERLINK("http://amigo.geneontology.org/amigo/term/GO:0044270","GO:0044270")</f>
        <v>GO:0044270</v>
      </c>
      <c r="D393" t="s">
        <v>5104</v>
      </c>
      <c r="E393">
        <v>52</v>
      </c>
      <c r="F393">
        <v>6</v>
      </c>
      <c r="G393">
        <v>6.20802894164314E-2</v>
      </c>
      <c r="H393">
        <v>0.37248173649858801</v>
      </c>
      <c r="I393" t="s">
        <v>14326</v>
      </c>
    </row>
    <row r="394" spans="1:9" x14ac:dyDescent="0.25">
      <c r="A394" s="2" t="s">
        <v>14216</v>
      </c>
      <c r="C394" s="3" t="str">
        <f>HYPERLINK("http://amigo.geneontology.org/amigo/term/GO:0065008","GO:0065008")</f>
        <v>GO:0065008</v>
      </c>
      <c r="D394" t="s">
        <v>5557</v>
      </c>
      <c r="E394">
        <v>92</v>
      </c>
      <c r="F394">
        <v>9</v>
      </c>
      <c r="G394">
        <v>6.2378271567988502E-2</v>
      </c>
      <c r="H394">
        <v>0.37426962940793101</v>
      </c>
      <c r="I394" t="s">
        <v>14327</v>
      </c>
    </row>
    <row r="395" spans="1:9" x14ac:dyDescent="0.25">
      <c r="A395" s="2" t="s">
        <v>14219</v>
      </c>
      <c r="C395" s="3" t="str">
        <f>HYPERLINK("http://amigo.geneontology.org/amigo/term/GO:0016616","GO:0016616")</f>
        <v>GO:0016616</v>
      </c>
      <c r="D395" t="s">
        <v>14328</v>
      </c>
      <c r="E395">
        <v>66</v>
      </c>
      <c r="F395">
        <v>7</v>
      </c>
      <c r="G395">
        <v>6.6678234906044895E-2</v>
      </c>
      <c r="H395">
        <v>0.40006940943626901</v>
      </c>
      <c r="I395" t="s">
        <v>14329</v>
      </c>
    </row>
    <row r="396" spans="1:9" x14ac:dyDescent="0.25">
      <c r="A396" s="2" t="s">
        <v>14330</v>
      </c>
      <c r="C396" s="3" t="str">
        <f>HYPERLINK("http://amigo.geneontology.org/amigo/term/GO:0006783","GO:0006783")</f>
        <v>GO:0006783</v>
      </c>
      <c r="D396" t="s">
        <v>14331</v>
      </c>
      <c r="E396">
        <v>8</v>
      </c>
      <c r="F396">
        <v>2</v>
      </c>
      <c r="G396">
        <v>6.6767410654595793E-2</v>
      </c>
      <c r="H396">
        <v>0.33383705327297902</v>
      </c>
      <c r="I396" t="s">
        <v>14332</v>
      </c>
    </row>
    <row r="397" spans="1:9" x14ac:dyDescent="0.25">
      <c r="A397" s="2" t="s">
        <v>14333</v>
      </c>
      <c r="C397" s="3" t="str">
        <f>HYPERLINK("http://amigo.geneontology.org/amigo/term/GO:0046912","GO:0046912")</f>
        <v>GO:0046912</v>
      </c>
      <c r="D397" t="s">
        <v>14334</v>
      </c>
      <c r="E397">
        <v>8</v>
      </c>
      <c r="F397">
        <v>2</v>
      </c>
      <c r="G397">
        <v>6.6767410654595793E-2</v>
      </c>
      <c r="H397">
        <v>0.33383705327297902</v>
      </c>
      <c r="I397" t="s">
        <v>14335</v>
      </c>
    </row>
    <row r="398" spans="1:9" x14ac:dyDescent="0.25">
      <c r="A398" s="2" t="s">
        <v>14336</v>
      </c>
      <c r="C398" s="3" t="str">
        <f>HYPERLINK("http://amigo.geneontology.org/amigo/term/GO:0009435","GO:0009435")</f>
        <v>GO:0009435</v>
      </c>
      <c r="D398" t="s">
        <v>14337</v>
      </c>
      <c r="E398">
        <v>8</v>
      </c>
      <c r="F398">
        <v>2</v>
      </c>
      <c r="G398">
        <v>6.6767410654595793E-2</v>
      </c>
      <c r="H398">
        <v>0.40060446392757498</v>
      </c>
      <c r="I398" t="s">
        <v>14338</v>
      </c>
    </row>
    <row r="399" spans="1:9" x14ac:dyDescent="0.25">
      <c r="A399" s="2" t="s">
        <v>14339</v>
      </c>
      <c r="C399" s="3" t="str">
        <f>HYPERLINK("http://amigo.geneontology.org/amigo/term/GO:0044769","GO:0044769")</f>
        <v>GO:0044769</v>
      </c>
      <c r="D399" t="s">
        <v>14340</v>
      </c>
      <c r="E399">
        <v>8</v>
      </c>
      <c r="F399">
        <v>2</v>
      </c>
      <c r="G399">
        <v>6.6767410654595793E-2</v>
      </c>
      <c r="H399">
        <v>0.40060446392757498</v>
      </c>
      <c r="I399" t="s">
        <v>14021</v>
      </c>
    </row>
    <row r="400" spans="1:9" x14ac:dyDescent="0.25">
      <c r="A400" s="2" t="s">
        <v>14226</v>
      </c>
      <c r="C400" s="3" t="str">
        <f>HYPERLINK("http://amigo.geneontology.org/amigo/term/GO:0046700","GO:0046700")</f>
        <v>GO:0046700</v>
      </c>
      <c r="D400" t="s">
        <v>5107</v>
      </c>
      <c r="E400">
        <v>53</v>
      </c>
      <c r="F400">
        <v>6</v>
      </c>
      <c r="G400">
        <v>6.69505887716626E-2</v>
      </c>
      <c r="H400">
        <v>0.334752943858313</v>
      </c>
      <c r="I400" t="s">
        <v>14326</v>
      </c>
    </row>
    <row r="401" spans="1:9" x14ac:dyDescent="0.25">
      <c r="A401" s="2" t="s">
        <v>14233</v>
      </c>
      <c r="C401" s="3" t="str">
        <f>HYPERLINK("http://amigo.geneontology.org/amigo/term/GO:0016884","GO:0016884")</f>
        <v>GO:0016884</v>
      </c>
      <c r="D401" t="s">
        <v>5164</v>
      </c>
      <c r="E401">
        <v>29</v>
      </c>
      <c r="F401">
        <v>4</v>
      </c>
      <c r="G401">
        <v>7.04107057812592E-2</v>
      </c>
      <c r="H401">
        <v>0.35205352890629599</v>
      </c>
      <c r="I401" t="s">
        <v>14341</v>
      </c>
    </row>
    <row r="402" spans="1:9" x14ac:dyDescent="0.25">
      <c r="A402" s="2" t="s">
        <v>14342</v>
      </c>
      <c r="C402" s="3" t="str">
        <f>HYPERLINK("http://amigo.geneontology.org/amigo/term/GO:0008238","GO:0008238")</f>
        <v>GO:0008238</v>
      </c>
      <c r="D402" t="s">
        <v>5926</v>
      </c>
      <c r="E402">
        <v>42</v>
      </c>
      <c r="F402">
        <v>5</v>
      </c>
      <c r="G402">
        <v>7.6402715298352394E-2</v>
      </c>
      <c r="H402">
        <v>0.38201357649176199</v>
      </c>
      <c r="I402" t="s">
        <v>13795</v>
      </c>
    </row>
    <row r="403" spans="1:9" x14ac:dyDescent="0.25">
      <c r="A403" s="2" t="s">
        <v>14343</v>
      </c>
      <c r="C403" s="3" t="str">
        <f>HYPERLINK("http://amigo.geneontology.org/amigo/term/GO:0042168","GO:0042168")</f>
        <v>GO:0042168</v>
      </c>
      <c r="D403" t="s">
        <v>14344</v>
      </c>
      <c r="E403">
        <v>9</v>
      </c>
      <c r="F403">
        <v>2</v>
      </c>
      <c r="G403">
        <v>8.28262043350452E-2</v>
      </c>
      <c r="H403">
        <v>0.41413102167522597</v>
      </c>
      <c r="I403" t="s">
        <v>14332</v>
      </c>
    </row>
    <row r="404" spans="1:9" x14ac:dyDescent="0.25">
      <c r="A404" s="2" t="s">
        <v>14345</v>
      </c>
      <c r="C404" s="3" t="str">
        <f>HYPERLINK("http://amigo.geneontology.org/amigo/term/GO:0072593","GO:0072593")</f>
        <v>GO:0072593</v>
      </c>
      <c r="D404" t="s">
        <v>4212</v>
      </c>
      <c r="E404">
        <v>9</v>
      </c>
      <c r="F404">
        <v>2</v>
      </c>
      <c r="G404">
        <v>8.28262043350452E-2</v>
      </c>
      <c r="H404">
        <v>0.41413102167522597</v>
      </c>
      <c r="I404" t="s">
        <v>14346</v>
      </c>
    </row>
    <row r="405" spans="1:9" x14ac:dyDescent="0.25">
      <c r="A405" s="2" t="s">
        <v>14347</v>
      </c>
      <c r="C405" s="3" t="str">
        <f>HYPERLINK("http://amigo.geneontology.org/amigo/term/GO:0098869","GO:0098869")</f>
        <v>GO:0098869</v>
      </c>
      <c r="D405" t="s">
        <v>14348</v>
      </c>
      <c r="E405">
        <v>9</v>
      </c>
      <c r="F405">
        <v>2</v>
      </c>
      <c r="G405">
        <v>8.28262043350452E-2</v>
      </c>
      <c r="H405">
        <v>0.41413102167522597</v>
      </c>
      <c r="I405" t="s">
        <v>14346</v>
      </c>
    </row>
    <row r="406" spans="1:9" x14ac:dyDescent="0.25">
      <c r="A406" s="2" t="s">
        <v>14349</v>
      </c>
      <c r="C406" s="3" t="str">
        <f>HYPERLINK("http://amigo.geneontology.org/amigo/term/GO:0006560","GO:0006560")</f>
        <v>GO:0006560</v>
      </c>
      <c r="D406" t="s">
        <v>9713</v>
      </c>
      <c r="E406">
        <v>9</v>
      </c>
      <c r="F406">
        <v>2</v>
      </c>
      <c r="G406">
        <v>8.28262043350452E-2</v>
      </c>
      <c r="H406">
        <v>0.41413102167522597</v>
      </c>
      <c r="I406" t="s">
        <v>14016</v>
      </c>
    </row>
    <row r="407" spans="1:9" x14ac:dyDescent="0.25">
      <c r="A407" s="2" t="s">
        <v>14350</v>
      </c>
      <c r="C407" s="3" t="str">
        <f>HYPERLINK("http://amigo.geneontology.org/amigo/term/GO:0019674","GO:0019674")</f>
        <v>GO:0019674</v>
      </c>
      <c r="D407" t="s">
        <v>14351</v>
      </c>
      <c r="E407">
        <v>9</v>
      </c>
      <c r="F407">
        <v>2</v>
      </c>
      <c r="G407">
        <v>8.28262043350452E-2</v>
      </c>
      <c r="H407">
        <v>0.41413102167522597</v>
      </c>
      <c r="I407" t="s">
        <v>14338</v>
      </c>
    </row>
    <row r="408" spans="1:9" x14ac:dyDescent="0.25">
      <c r="A408" s="2" t="s">
        <v>14236</v>
      </c>
      <c r="C408" s="3" t="str">
        <f>HYPERLINK("http://amigo.geneontology.org/amigo/term/GO:0016655","GO:0016655")</f>
        <v>GO:0016655</v>
      </c>
      <c r="D408" t="s">
        <v>14352</v>
      </c>
      <c r="E408">
        <v>9</v>
      </c>
      <c r="F408">
        <v>2</v>
      </c>
      <c r="G408">
        <v>8.28262043350452E-2</v>
      </c>
      <c r="H408">
        <v>0.41413102167522597</v>
      </c>
      <c r="I408" t="s">
        <v>14353</v>
      </c>
    </row>
    <row r="409" spans="1:9" x14ac:dyDescent="0.25">
      <c r="A409" s="2" t="s">
        <v>14354</v>
      </c>
      <c r="C409" s="3" t="str">
        <f>HYPERLINK("http://amigo.geneontology.org/amigo/term/GO:0019321","GO:0019321")</f>
        <v>GO:0019321</v>
      </c>
      <c r="D409" t="s">
        <v>5748</v>
      </c>
      <c r="E409">
        <v>9</v>
      </c>
      <c r="F409">
        <v>2</v>
      </c>
      <c r="G409">
        <v>8.28262043350452E-2</v>
      </c>
      <c r="H409">
        <v>0.41413102167522597</v>
      </c>
      <c r="I409" t="s">
        <v>13977</v>
      </c>
    </row>
    <row r="410" spans="1:9" x14ac:dyDescent="0.25">
      <c r="A410" s="2" t="s">
        <v>14355</v>
      </c>
      <c r="C410" s="3" t="str">
        <f>HYPERLINK("http://amigo.geneontology.org/amigo/term/GO:0033178","GO:0033178")</f>
        <v>GO:0033178</v>
      </c>
      <c r="D410" t="s">
        <v>14356</v>
      </c>
      <c r="E410">
        <v>9</v>
      </c>
      <c r="F410">
        <v>2</v>
      </c>
      <c r="G410">
        <v>8.28262043350452E-2</v>
      </c>
      <c r="H410">
        <v>0.41413102167522597</v>
      </c>
      <c r="I410" t="s">
        <v>14021</v>
      </c>
    </row>
    <row r="411" spans="1:9" x14ac:dyDescent="0.25">
      <c r="A411" s="2" t="s">
        <v>14357</v>
      </c>
      <c r="C411" s="3" t="str">
        <f>HYPERLINK("http://amigo.geneontology.org/amigo/term/GO:0000096","GO:0000096")</f>
        <v>GO:0000096</v>
      </c>
      <c r="D411" t="s">
        <v>14358</v>
      </c>
      <c r="E411">
        <v>20</v>
      </c>
      <c r="F411">
        <v>3</v>
      </c>
      <c r="G411">
        <v>9.2214936656804497E-2</v>
      </c>
      <c r="H411">
        <v>0.46107468328402201</v>
      </c>
      <c r="I411" t="s">
        <v>13989</v>
      </c>
    </row>
    <row r="412" spans="1:9" x14ac:dyDescent="0.25">
      <c r="A412" s="2" t="s">
        <v>14359</v>
      </c>
      <c r="C412" s="3" t="str">
        <f>HYPERLINK("http://amigo.geneontology.org/amigo/term/GO:0009067","GO:0009067")</f>
        <v>GO:0009067</v>
      </c>
      <c r="D412" t="s">
        <v>5247</v>
      </c>
      <c r="E412">
        <v>20</v>
      </c>
      <c r="F412">
        <v>3</v>
      </c>
      <c r="G412">
        <v>9.2214936656804497E-2</v>
      </c>
      <c r="H412">
        <v>0.46107468328402201</v>
      </c>
      <c r="I412" t="s">
        <v>13989</v>
      </c>
    </row>
    <row r="413" spans="1:9" x14ac:dyDescent="0.25">
      <c r="A413" s="2" t="s">
        <v>14360</v>
      </c>
      <c r="C413" s="3" t="str">
        <f>HYPERLINK("http://amigo.geneontology.org/amigo/term/GO:0042221","GO:0042221")</f>
        <v>GO:0042221</v>
      </c>
      <c r="D413" t="s">
        <v>6812</v>
      </c>
      <c r="E413">
        <v>32</v>
      </c>
      <c r="F413">
        <v>4</v>
      </c>
      <c r="G413">
        <v>9.4046842240535694E-2</v>
      </c>
      <c r="H413">
        <v>0.470234211202678</v>
      </c>
      <c r="I413" t="s">
        <v>13986</v>
      </c>
    </row>
    <row r="414" spans="1:9" x14ac:dyDescent="0.25">
      <c r="A414" s="2" t="s">
        <v>14361</v>
      </c>
      <c r="C414" s="3" t="str">
        <f>HYPERLINK("http://amigo.geneontology.org/amigo/term/GO:0004721","GO:0004721")</f>
        <v>GO:0004721</v>
      </c>
      <c r="D414" t="s">
        <v>14362</v>
      </c>
      <c r="E414">
        <v>32</v>
      </c>
      <c r="F414">
        <v>4</v>
      </c>
      <c r="G414">
        <v>9.4046842240535694E-2</v>
      </c>
      <c r="H414">
        <v>0.470234211202678</v>
      </c>
      <c r="I414" t="s">
        <v>14363</v>
      </c>
    </row>
    <row r="415" spans="1:9" x14ac:dyDescent="0.25">
      <c r="A415" s="2" t="s">
        <v>14364</v>
      </c>
      <c r="C415" s="3" t="str">
        <f>HYPERLINK("http://amigo.geneontology.org/amigo/term/GO:0044265","GO:0044265")</f>
        <v>GO:0044265</v>
      </c>
      <c r="D415" t="s">
        <v>10574</v>
      </c>
      <c r="E415">
        <v>58</v>
      </c>
      <c r="F415">
        <v>6</v>
      </c>
      <c r="G415">
        <v>9.4531840956103896E-2</v>
      </c>
      <c r="H415">
        <v>0.47265920478051898</v>
      </c>
      <c r="I415" t="s">
        <v>13981</v>
      </c>
    </row>
    <row r="416" spans="1:9" x14ac:dyDescent="0.25">
      <c r="A416" s="2" t="s">
        <v>14365</v>
      </c>
      <c r="C416" s="3" t="str">
        <f>HYPERLINK("http://amigo.geneontology.org/amigo/term/GO:0016835","GO:0016835")</f>
        <v>GO:0016835</v>
      </c>
      <c r="D416" t="s">
        <v>6156</v>
      </c>
      <c r="E416">
        <v>45</v>
      </c>
      <c r="F416">
        <v>5</v>
      </c>
      <c r="G416">
        <v>9.6382420398185495E-2</v>
      </c>
      <c r="H416">
        <v>0.48191210199092699</v>
      </c>
      <c r="I416" t="s">
        <v>13953</v>
      </c>
    </row>
    <row r="417" spans="1:9" x14ac:dyDescent="0.25">
      <c r="A417" s="2" t="s">
        <v>14366</v>
      </c>
      <c r="C417" s="3" t="str">
        <f>HYPERLINK("http://amigo.geneontology.org/amigo/term/GO:0044743","GO:0044743")</f>
        <v>GO:0044743</v>
      </c>
      <c r="D417" t="s">
        <v>14367</v>
      </c>
      <c r="E417">
        <v>10</v>
      </c>
      <c r="F417">
        <v>2</v>
      </c>
      <c r="G417">
        <v>9.9911253352995805E-2</v>
      </c>
      <c r="H417">
        <v>0.499556266764979</v>
      </c>
      <c r="I417" t="s">
        <v>13960</v>
      </c>
    </row>
    <row r="418" spans="1:9" x14ac:dyDescent="0.25">
      <c r="A418" s="2" t="s">
        <v>14368</v>
      </c>
      <c r="C418" s="3" t="str">
        <f>HYPERLINK("http://amigo.geneontology.org/amigo/term/GO:0035383","GO:0035383")</f>
        <v>GO:0035383</v>
      </c>
      <c r="D418" t="s">
        <v>14369</v>
      </c>
      <c r="E418">
        <v>10</v>
      </c>
      <c r="F418">
        <v>2</v>
      </c>
      <c r="G418">
        <v>9.9911253352995805E-2</v>
      </c>
      <c r="H418">
        <v>0.499556266764979</v>
      </c>
      <c r="I418" t="s">
        <v>14370</v>
      </c>
    </row>
    <row r="419" spans="1:9" x14ac:dyDescent="0.25">
      <c r="A419" s="2" t="s">
        <v>14239</v>
      </c>
      <c r="C419" s="3" t="str">
        <f>HYPERLINK("http://amigo.geneontology.org/amigo/term/GO:0006637","GO:0006637")</f>
        <v>GO:0006637</v>
      </c>
      <c r="D419" t="s">
        <v>14371</v>
      </c>
      <c r="E419">
        <v>10</v>
      </c>
      <c r="F419">
        <v>2</v>
      </c>
      <c r="G419">
        <v>9.9911253352995805E-2</v>
      </c>
      <c r="H419">
        <v>0.499556266764979</v>
      </c>
      <c r="I419" t="s">
        <v>14370</v>
      </c>
    </row>
    <row r="420" spans="1:9" x14ac:dyDescent="0.25">
      <c r="A420" s="2" t="s">
        <v>14372</v>
      </c>
      <c r="C420" s="3" t="str">
        <f>HYPERLINK("http://amigo.geneontology.org/amigo/term/GO:0051336","GO:0051336")</f>
        <v>GO:0051336</v>
      </c>
      <c r="D420" t="s">
        <v>7071</v>
      </c>
      <c r="E420">
        <v>10</v>
      </c>
      <c r="F420">
        <v>2</v>
      </c>
      <c r="G420">
        <v>9.9911253352995805E-2</v>
      </c>
      <c r="H420">
        <v>0.499556266764979</v>
      </c>
      <c r="I420" t="s">
        <v>14373</v>
      </c>
    </row>
    <row r="421" spans="1:9" x14ac:dyDescent="0.25">
      <c r="A421" s="2" t="s">
        <v>14374</v>
      </c>
      <c r="C421" s="3" t="str">
        <f>HYPERLINK("http://amigo.geneontology.org/amigo/term/GO:0044093","GO:0044093")</f>
        <v>GO:0044093</v>
      </c>
      <c r="D421" t="s">
        <v>14375</v>
      </c>
      <c r="E421">
        <v>10</v>
      </c>
      <c r="F421">
        <v>2</v>
      </c>
      <c r="G421">
        <v>9.9911253352995805E-2</v>
      </c>
      <c r="H421">
        <v>0.499556266764979</v>
      </c>
      <c r="I421" t="s">
        <v>14376</v>
      </c>
    </row>
    <row r="422" spans="1:9" x14ac:dyDescent="0.25">
      <c r="A422" s="2" t="s">
        <v>14377</v>
      </c>
      <c r="C422" s="3" t="str">
        <f>HYPERLINK("http://amigo.geneontology.org/amigo/term/GO:0043650","GO:0043650")</f>
        <v>GO:0043650</v>
      </c>
      <c r="D422" t="s">
        <v>14378</v>
      </c>
      <c r="E422">
        <v>10</v>
      </c>
      <c r="F422">
        <v>2</v>
      </c>
      <c r="G422">
        <v>9.9911253352995805E-2</v>
      </c>
      <c r="H422">
        <v>0.499556266764979</v>
      </c>
      <c r="I422" t="s">
        <v>14379</v>
      </c>
    </row>
    <row r="423" spans="1:9" x14ac:dyDescent="0.25">
      <c r="A423" s="2" t="s">
        <v>14380</v>
      </c>
      <c r="C423" s="3" t="str">
        <f>HYPERLINK("http://amigo.geneontology.org/amigo/term/GO:0000271","GO:0000271")</f>
        <v>GO:0000271</v>
      </c>
      <c r="D423" t="s">
        <v>14381</v>
      </c>
      <c r="E423">
        <v>10</v>
      </c>
      <c r="F423">
        <v>2</v>
      </c>
      <c r="G423">
        <v>9.9911253352995805E-2</v>
      </c>
      <c r="H423">
        <v>0.499556266764979</v>
      </c>
      <c r="I423" t="s">
        <v>13865</v>
      </c>
    </row>
    <row r="424" spans="1:9" x14ac:dyDescent="0.25">
      <c r="A424" s="2" t="s">
        <v>14382</v>
      </c>
      <c r="C424" s="3" t="str">
        <f>HYPERLINK("http://amigo.geneontology.org/amigo/term/GO:0009057","GO:0009057")</f>
        <v>GO:0009057</v>
      </c>
      <c r="D424" t="s">
        <v>9098</v>
      </c>
      <c r="E424">
        <v>116</v>
      </c>
      <c r="F424">
        <v>10</v>
      </c>
      <c r="G424">
        <v>0.100264522006454</v>
      </c>
      <c r="H424">
        <v>0.50132261003227097</v>
      </c>
      <c r="I424" t="s">
        <v>14383</v>
      </c>
    </row>
    <row r="425" spans="1:9" x14ac:dyDescent="0.25">
      <c r="A425" s="2" t="s">
        <v>14244</v>
      </c>
      <c r="C425" s="3" t="str">
        <f>HYPERLINK("http://amigo.geneontology.org/amigo/term/GO:0016874","GO:0016874")</f>
        <v>GO:0016874</v>
      </c>
      <c r="D425" t="s">
        <v>13501</v>
      </c>
      <c r="E425">
        <v>102</v>
      </c>
      <c r="F425">
        <v>9</v>
      </c>
      <c r="G425">
        <v>0.10336239718549201</v>
      </c>
      <c r="H425">
        <v>0.51681198592746103</v>
      </c>
      <c r="I425" t="s">
        <v>14384</v>
      </c>
    </row>
    <row r="426" spans="1:9" x14ac:dyDescent="0.25">
      <c r="A426" s="2" t="s">
        <v>14385</v>
      </c>
      <c r="C426" s="3" t="str">
        <f>HYPERLINK("http://amigo.geneontology.org/amigo/term/GO:1905369","GO:1905369")</f>
        <v>GO:1905369</v>
      </c>
      <c r="D426" t="s">
        <v>14386</v>
      </c>
      <c r="E426">
        <v>21</v>
      </c>
      <c r="F426">
        <v>3</v>
      </c>
      <c r="G426">
        <v>0.10343535708188401</v>
      </c>
      <c r="H426">
        <v>0.51717678540942202</v>
      </c>
      <c r="I426" t="s">
        <v>14387</v>
      </c>
    </row>
    <row r="427" spans="1:9" x14ac:dyDescent="0.25">
      <c r="A427" s="2" t="s">
        <v>14388</v>
      </c>
      <c r="C427" s="3" t="str">
        <f>HYPERLINK("http://amigo.geneontology.org/amigo/term/GO:0000502","GO:0000502")</f>
        <v>GO:0000502</v>
      </c>
      <c r="D427" t="s">
        <v>14389</v>
      </c>
      <c r="E427">
        <v>21</v>
      </c>
      <c r="F427">
        <v>3</v>
      </c>
      <c r="G427">
        <v>0.10343535708188401</v>
      </c>
      <c r="H427">
        <v>0.51717678540942202</v>
      </c>
      <c r="I427" t="s">
        <v>14387</v>
      </c>
    </row>
    <row r="428" spans="1:9" x14ac:dyDescent="0.25">
      <c r="A428" s="2" t="s">
        <v>14390</v>
      </c>
      <c r="C428" s="3" t="str">
        <f>HYPERLINK("http://amigo.geneontology.org/amigo/term/GO:0030029","GO:0030029")</f>
        <v>GO:0030029</v>
      </c>
      <c r="D428" t="s">
        <v>1510</v>
      </c>
      <c r="E428">
        <v>21</v>
      </c>
      <c r="F428">
        <v>3</v>
      </c>
      <c r="G428">
        <v>0.10343535708188401</v>
      </c>
      <c r="H428">
        <v>0.51717678540942202</v>
      </c>
      <c r="I428" t="s">
        <v>14391</v>
      </c>
    </row>
    <row r="429" spans="1:9" x14ac:dyDescent="0.25">
      <c r="A429" s="2" t="s">
        <v>14392</v>
      </c>
      <c r="C429" s="3" t="str">
        <f>HYPERLINK("http://amigo.geneontology.org/amigo/term/GO:0030036","GO:0030036")</f>
        <v>GO:0030036</v>
      </c>
      <c r="D429" t="s">
        <v>14393</v>
      </c>
      <c r="E429">
        <v>21</v>
      </c>
      <c r="F429">
        <v>3</v>
      </c>
      <c r="G429">
        <v>0.10343535708188401</v>
      </c>
      <c r="H429">
        <v>0.51717678540942202</v>
      </c>
      <c r="I429" t="s">
        <v>14391</v>
      </c>
    </row>
    <row r="430" spans="1:9" x14ac:dyDescent="0.25">
      <c r="A430" s="2" t="s">
        <v>14394</v>
      </c>
      <c r="C430" s="3" t="str">
        <f>HYPERLINK("http://amigo.geneontology.org/amigo/term/GO:0009308","GO:0009308")</f>
        <v>GO:0009308</v>
      </c>
      <c r="D430" t="s">
        <v>5537</v>
      </c>
      <c r="E430">
        <v>21</v>
      </c>
      <c r="F430">
        <v>3</v>
      </c>
      <c r="G430">
        <v>0.10343535708188401</v>
      </c>
      <c r="H430">
        <v>0.51717678540942202</v>
      </c>
      <c r="I430" t="s">
        <v>14000</v>
      </c>
    </row>
    <row r="431" spans="1:9" x14ac:dyDescent="0.25">
      <c r="A431" s="2" t="s">
        <v>14395</v>
      </c>
      <c r="C431" s="3" t="str">
        <f>HYPERLINK("http://amigo.geneontology.org/amigo/term/GO:0006457","GO:0006457")</f>
        <v>GO:0006457</v>
      </c>
      <c r="D431" t="s">
        <v>14396</v>
      </c>
      <c r="E431">
        <v>46</v>
      </c>
      <c r="F431">
        <v>5</v>
      </c>
      <c r="G431">
        <v>0.10357759771314901</v>
      </c>
      <c r="H431">
        <v>0.51788798856574503</v>
      </c>
      <c r="I431" t="s">
        <v>14397</v>
      </c>
    </row>
    <row r="432" spans="1:9" x14ac:dyDescent="0.25">
      <c r="A432" s="2" t="s">
        <v>14398</v>
      </c>
      <c r="C432" s="3" t="str">
        <f>HYPERLINK("http://amigo.geneontology.org/amigo/term/GO:0005976","GO:0005976")</f>
        <v>GO:0005976</v>
      </c>
      <c r="D432" t="s">
        <v>312</v>
      </c>
      <c r="E432">
        <v>46</v>
      </c>
      <c r="F432">
        <v>5</v>
      </c>
      <c r="G432">
        <v>0.10357759771314901</v>
      </c>
      <c r="H432">
        <v>0.51788798856574503</v>
      </c>
      <c r="I432" t="s">
        <v>14399</v>
      </c>
    </row>
    <row r="433" spans="1:9" x14ac:dyDescent="0.25">
      <c r="A433" s="2" t="s">
        <v>14400</v>
      </c>
      <c r="C433" s="3" t="str">
        <f>HYPERLINK("http://amigo.geneontology.org/amigo/term/GO:0004312","GO:0004312")</f>
        <v>GO:0004312</v>
      </c>
      <c r="D433" t="s">
        <v>13467</v>
      </c>
      <c r="E433">
        <v>2</v>
      </c>
      <c r="F433">
        <v>1</v>
      </c>
      <c r="G433">
        <v>0.1061130394301</v>
      </c>
      <c r="H433">
        <v>0.42445215772040001</v>
      </c>
      <c r="I433" t="s">
        <v>13453</v>
      </c>
    </row>
    <row r="434" spans="1:9" x14ac:dyDescent="0.25">
      <c r="A434" s="2" t="s">
        <v>14401</v>
      </c>
      <c r="C434" s="3" t="str">
        <f>HYPERLINK("http://amigo.geneontology.org/amigo/term/GO:0004318","GO:0004318")</f>
        <v>GO:0004318</v>
      </c>
      <c r="D434" t="s">
        <v>13469</v>
      </c>
      <c r="E434">
        <v>2</v>
      </c>
      <c r="F434">
        <v>1</v>
      </c>
      <c r="G434">
        <v>0.1061130394301</v>
      </c>
      <c r="H434">
        <v>0.42445215772040001</v>
      </c>
      <c r="I434" t="s">
        <v>13453</v>
      </c>
    </row>
    <row r="435" spans="1:9" x14ac:dyDescent="0.25">
      <c r="A435" s="2" t="s">
        <v>14402</v>
      </c>
      <c r="C435" s="3" t="str">
        <f>HYPERLINK("http://amigo.geneontology.org/amigo/term/GO:0005835","GO:0005835")</f>
        <v>GO:0005835</v>
      </c>
      <c r="D435" t="s">
        <v>13471</v>
      </c>
      <c r="E435">
        <v>2</v>
      </c>
      <c r="F435">
        <v>1</v>
      </c>
      <c r="G435">
        <v>0.1061130394301</v>
      </c>
      <c r="H435">
        <v>0.42445215772040001</v>
      </c>
      <c r="I435" t="s">
        <v>13453</v>
      </c>
    </row>
    <row r="436" spans="1:9" x14ac:dyDescent="0.25">
      <c r="A436" s="2" t="s">
        <v>14403</v>
      </c>
      <c r="C436" s="3" t="str">
        <f>HYPERLINK("http://amigo.geneontology.org/amigo/term/GO:0043902","GO:0043902")</f>
        <v>GO:0043902</v>
      </c>
      <c r="D436" t="s">
        <v>14404</v>
      </c>
      <c r="E436">
        <v>2</v>
      </c>
      <c r="F436">
        <v>1</v>
      </c>
      <c r="G436">
        <v>0.1061130394301</v>
      </c>
      <c r="H436">
        <v>0.42445215772040001</v>
      </c>
      <c r="I436" t="s">
        <v>13559</v>
      </c>
    </row>
    <row r="437" spans="1:9" x14ac:dyDescent="0.25">
      <c r="A437" s="2" t="s">
        <v>14405</v>
      </c>
      <c r="C437" s="3" t="str">
        <f>HYPERLINK("http://amigo.geneontology.org/amigo/term/GO:0046999","GO:0046999")</f>
        <v>GO:0046999</v>
      </c>
      <c r="D437" t="s">
        <v>14406</v>
      </c>
      <c r="E437">
        <v>2</v>
      </c>
      <c r="F437">
        <v>1</v>
      </c>
      <c r="G437">
        <v>0.1061130394301</v>
      </c>
      <c r="H437">
        <v>0.42445215772040001</v>
      </c>
      <c r="I437" t="s">
        <v>13559</v>
      </c>
    </row>
    <row r="438" spans="1:9" x14ac:dyDescent="0.25">
      <c r="A438" s="2" t="s">
        <v>14407</v>
      </c>
      <c r="C438" s="3" t="str">
        <f>HYPERLINK("http://amigo.geneontology.org/amigo/term/GO:0031136","GO:0031136")</f>
        <v>GO:0031136</v>
      </c>
      <c r="D438" t="s">
        <v>14408</v>
      </c>
      <c r="E438">
        <v>2</v>
      </c>
      <c r="F438">
        <v>1</v>
      </c>
      <c r="G438">
        <v>0.1061130394301</v>
      </c>
      <c r="H438">
        <v>0.42445215772040001</v>
      </c>
      <c r="I438" t="s">
        <v>13559</v>
      </c>
    </row>
    <row r="439" spans="1:9" x14ac:dyDescent="0.25">
      <c r="A439" s="2" t="s">
        <v>14409</v>
      </c>
      <c r="C439" s="3" t="str">
        <f>HYPERLINK("http://amigo.geneontology.org/amigo/term/GO:0031137","GO:0031137")</f>
        <v>GO:0031137</v>
      </c>
      <c r="D439" t="s">
        <v>14410</v>
      </c>
      <c r="E439">
        <v>2</v>
      </c>
      <c r="F439">
        <v>1</v>
      </c>
      <c r="G439">
        <v>0.1061130394301</v>
      </c>
      <c r="H439">
        <v>0.42445215772040001</v>
      </c>
      <c r="I439" t="s">
        <v>13559</v>
      </c>
    </row>
    <row r="440" spans="1:9" x14ac:dyDescent="0.25">
      <c r="A440" s="2" t="s">
        <v>14411</v>
      </c>
      <c r="C440" s="3" t="str">
        <f>HYPERLINK("http://amigo.geneontology.org/amigo/term/GO:2000243","GO:2000243")</f>
        <v>GO:2000243</v>
      </c>
      <c r="D440" t="s">
        <v>14412</v>
      </c>
      <c r="E440">
        <v>2</v>
      </c>
      <c r="F440">
        <v>1</v>
      </c>
      <c r="G440">
        <v>0.1061130394301</v>
      </c>
      <c r="H440">
        <v>0.42445215772040001</v>
      </c>
      <c r="I440" t="s">
        <v>13559</v>
      </c>
    </row>
    <row r="441" spans="1:9" x14ac:dyDescent="0.25">
      <c r="A441" s="2" t="s">
        <v>14413</v>
      </c>
      <c r="C441" s="3" t="str">
        <f>HYPERLINK("http://amigo.geneontology.org/amigo/term/GO:0031139","GO:0031139")</f>
        <v>GO:0031139</v>
      </c>
      <c r="D441" t="s">
        <v>14414</v>
      </c>
      <c r="E441">
        <v>2</v>
      </c>
      <c r="F441">
        <v>1</v>
      </c>
      <c r="G441">
        <v>0.1061130394301</v>
      </c>
      <c r="H441">
        <v>0.42445215772040001</v>
      </c>
      <c r="I441" t="s">
        <v>13559</v>
      </c>
    </row>
    <row r="442" spans="1:9" x14ac:dyDescent="0.25">
      <c r="A442" s="2" t="s">
        <v>14415</v>
      </c>
      <c r="C442" s="3" t="str">
        <f>HYPERLINK("http://amigo.geneontology.org/amigo/term/GO:0032005","GO:0032005")</f>
        <v>GO:0032005</v>
      </c>
      <c r="D442" t="s">
        <v>14416</v>
      </c>
      <c r="E442">
        <v>2</v>
      </c>
      <c r="F442">
        <v>1</v>
      </c>
      <c r="G442">
        <v>0.1061130394301</v>
      </c>
      <c r="H442">
        <v>0.42445215772040001</v>
      </c>
      <c r="I442" t="s">
        <v>13559</v>
      </c>
    </row>
    <row r="443" spans="1:9" x14ac:dyDescent="0.25">
      <c r="A443" s="2" t="s">
        <v>14417</v>
      </c>
      <c r="C443" s="3" t="str">
        <f>HYPERLINK("http://amigo.geneontology.org/amigo/term/GO:0019236","GO:0019236")</f>
        <v>GO:0019236</v>
      </c>
      <c r="D443" t="s">
        <v>14418</v>
      </c>
      <c r="E443">
        <v>2</v>
      </c>
      <c r="F443">
        <v>1</v>
      </c>
      <c r="G443">
        <v>0.1061130394301</v>
      </c>
      <c r="H443">
        <v>0.42445215772040001</v>
      </c>
      <c r="I443" t="s">
        <v>13559</v>
      </c>
    </row>
    <row r="444" spans="1:9" x14ac:dyDescent="0.25">
      <c r="A444" s="2" t="s">
        <v>14419</v>
      </c>
      <c r="C444" s="3" t="str">
        <f>HYPERLINK("http://amigo.geneontology.org/amigo/term/GO:0071444","GO:0071444")</f>
        <v>GO:0071444</v>
      </c>
      <c r="D444" t="s">
        <v>14420</v>
      </c>
      <c r="E444">
        <v>2</v>
      </c>
      <c r="F444">
        <v>1</v>
      </c>
      <c r="G444">
        <v>0.1061130394301</v>
      </c>
      <c r="H444">
        <v>0.42445215772040001</v>
      </c>
      <c r="I444" t="s">
        <v>13559</v>
      </c>
    </row>
    <row r="445" spans="1:9" x14ac:dyDescent="0.25">
      <c r="A445" s="2" t="s">
        <v>14421</v>
      </c>
      <c r="C445" s="3" t="str">
        <f>HYPERLINK("http://amigo.geneontology.org/amigo/term/GO:0000749","GO:0000749")</f>
        <v>GO:0000749</v>
      </c>
      <c r="D445" t="s">
        <v>14422</v>
      </c>
      <c r="E445">
        <v>2</v>
      </c>
      <c r="F445">
        <v>1</v>
      </c>
      <c r="G445">
        <v>0.1061130394301</v>
      </c>
      <c r="H445">
        <v>0.42445215772040001</v>
      </c>
      <c r="I445" t="s">
        <v>13559</v>
      </c>
    </row>
    <row r="446" spans="1:9" x14ac:dyDescent="0.25">
      <c r="A446" s="2" t="s">
        <v>14423</v>
      </c>
      <c r="C446" s="3" t="str">
        <f>HYPERLINK("http://amigo.geneontology.org/amigo/term/GO:0000750","GO:0000750")</f>
        <v>GO:0000750</v>
      </c>
      <c r="D446" t="s">
        <v>14424</v>
      </c>
      <c r="E446">
        <v>2</v>
      </c>
      <c r="F446">
        <v>1</v>
      </c>
      <c r="G446">
        <v>0.1061130394301</v>
      </c>
      <c r="H446">
        <v>0.42445215772040001</v>
      </c>
      <c r="I446" t="s">
        <v>13559</v>
      </c>
    </row>
    <row r="447" spans="1:9" x14ac:dyDescent="0.25">
      <c r="A447" s="2" t="s">
        <v>14425</v>
      </c>
      <c r="C447" s="3" t="str">
        <f>HYPERLINK("http://amigo.geneontology.org/amigo/term/GO:0010499","GO:0010499")</f>
        <v>GO:0010499</v>
      </c>
      <c r="D447" t="s">
        <v>14426</v>
      </c>
      <c r="E447">
        <v>2</v>
      </c>
      <c r="F447">
        <v>1</v>
      </c>
      <c r="G447">
        <v>0.1061130394301</v>
      </c>
      <c r="H447">
        <v>0.42445215772040001</v>
      </c>
      <c r="I447" t="s">
        <v>13579</v>
      </c>
    </row>
    <row r="448" spans="1:9" x14ac:dyDescent="0.25">
      <c r="A448" s="2" t="s">
        <v>14251</v>
      </c>
      <c r="C448" s="3" t="str">
        <f>HYPERLINK("http://amigo.geneontology.org/amigo/term/GO:0003984","GO:0003984")</f>
        <v>GO:0003984</v>
      </c>
      <c r="D448" t="s">
        <v>14427</v>
      </c>
      <c r="E448">
        <v>2</v>
      </c>
      <c r="F448">
        <v>1</v>
      </c>
      <c r="G448">
        <v>0.1061130394301</v>
      </c>
      <c r="H448">
        <v>0.42445215772040001</v>
      </c>
      <c r="I448" t="s">
        <v>13644</v>
      </c>
    </row>
    <row r="449" spans="1:9" x14ac:dyDescent="0.25">
      <c r="A449" s="2" t="s">
        <v>14428</v>
      </c>
      <c r="C449" s="3" t="str">
        <f>HYPERLINK("http://amigo.geneontology.org/amigo/term/GO:0008540","GO:0008540")</f>
        <v>GO:0008540</v>
      </c>
      <c r="D449" t="s">
        <v>14429</v>
      </c>
      <c r="E449">
        <v>2</v>
      </c>
      <c r="F449">
        <v>1</v>
      </c>
      <c r="G449">
        <v>0.1061130394301</v>
      </c>
      <c r="H449">
        <v>0.42445215772040001</v>
      </c>
      <c r="I449" t="s">
        <v>13654</v>
      </c>
    </row>
    <row r="450" spans="1:9" x14ac:dyDescent="0.25">
      <c r="A450" s="2" t="s">
        <v>14430</v>
      </c>
      <c r="C450" s="3" t="str">
        <f>HYPERLINK("http://amigo.geneontology.org/amigo/term/GO:1901879","GO:1901879")</f>
        <v>GO:1901879</v>
      </c>
      <c r="D450" t="s">
        <v>14431</v>
      </c>
      <c r="E450">
        <v>2</v>
      </c>
      <c r="F450">
        <v>1</v>
      </c>
      <c r="G450">
        <v>0.1061130394301</v>
      </c>
      <c r="H450">
        <v>0.42445215772040001</v>
      </c>
      <c r="I450" t="s">
        <v>13671</v>
      </c>
    </row>
    <row r="451" spans="1:9" x14ac:dyDescent="0.25">
      <c r="A451" s="2" t="s">
        <v>14432</v>
      </c>
      <c r="C451" s="3" t="str">
        <f>HYPERLINK("http://amigo.geneontology.org/amigo/term/GO:0030834","GO:0030834")</f>
        <v>GO:0030834</v>
      </c>
      <c r="D451" t="s">
        <v>14433</v>
      </c>
      <c r="E451">
        <v>2</v>
      </c>
      <c r="F451">
        <v>1</v>
      </c>
      <c r="G451">
        <v>0.1061130394301</v>
      </c>
      <c r="H451">
        <v>0.42445215772040001</v>
      </c>
      <c r="I451" t="s">
        <v>13671</v>
      </c>
    </row>
    <row r="452" spans="1:9" x14ac:dyDescent="0.25">
      <c r="A452" s="2" t="s">
        <v>14434</v>
      </c>
      <c r="C452" s="3" t="str">
        <f>HYPERLINK("http://amigo.geneontology.org/amigo/term/GO:0043242","GO:0043242")</f>
        <v>GO:0043242</v>
      </c>
      <c r="D452" t="s">
        <v>14435</v>
      </c>
      <c r="E452">
        <v>2</v>
      </c>
      <c r="F452">
        <v>1</v>
      </c>
      <c r="G452">
        <v>0.1061130394301</v>
      </c>
      <c r="H452">
        <v>0.42445215772040001</v>
      </c>
      <c r="I452" t="s">
        <v>13671</v>
      </c>
    </row>
    <row r="453" spans="1:9" x14ac:dyDescent="0.25">
      <c r="A453" s="2" t="s">
        <v>14436</v>
      </c>
      <c r="C453" s="3" t="str">
        <f>HYPERLINK("http://amigo.geneontology.org/amigo/term/GO:1901880","GO:1901880")</f>
        <v>GO:1901880</v>
      </c>
      <c r="D453" t="s">
        <v>14437</v>
      </c>
      <c r="E453">
        <v>2</v>
      </c>
      <c r="F453">
        <v>1</v>
      </c>
      <c r="G453">
        <v>0.1061130394301</v>
      </c>
      <c r="H453">
        <v>0.42445215772040001</v>
      </c>
      <c r="I453" t="s">
        <v>13671</v>
      </c>
    </row>
    <row r="454" spans="1:9" x14ac:dyDescent="0.25">
      <c r="A454" s="2" t="s">
        <v>14438</v>
      </c>
      <c r="C454" s="3" t="str">
        <f>HYPERLINK("http://amigo.geneontology.org/amigo/term/GO:0030835","GO:0030835")</f>
        <v>GO:0030835</v>
      </c>
      <c r="D454" t="s">
        <v>14439</v>
      </c>
      <c r="E454">
        <v>2</v>
      </c>
      <c r="F454">
        <v>1</v>
      </c>
      <c r="G454">
        <v>0.1061130394301</v>
      </c>
      <c r="H454">
        <v>0.42445215772040001</v>
      </c>
      <c r="I454" t="s">
        <v>13671</v>
      </c>
    </row>
    <row r="455" spans="1:9" x14ac:dyDescent="0.25">
      <c r="A455" s="2" t="s">
        <v>14440</v>
      </c>
      <c r="C455" s="3" t="str">
        <f>HYPERLINK("http://amigo.geneontology.org/amigo/term/GO:0051693","GO:0051693")</f>
        <v>GO:0051693</v>
      </c>
      <c r="D455" t="s">
        <v>14441</v>
      </c>
      <c r="E455">
        <v>2</v>
      </c>
      <c r="F455">
        <v>1</v>
      </c>
      <c r="G455">
        <v>0.1061130394301</v>
      </c>
      <c r="H455">
        <v>0.42445215772040001</v>
      </c>
      <c r="I455" t="s">
        <v>13671</v>
      </c>
    </row>
    <row r="456" spans="1:9" x14ac:dyDescent="0.25">
      <c r="A456" s="2" t="s">
        <v>14442</v>
      </c>
      <c r="C456" s="3" t="str">
        <f>HYPERLINK("http://amigo.geneontology.org/amigo/term/GO:0051016","GO:0051016")</f>
        <v>GO:0051016</v>
      </c>
      <c r="D456" t="s">
        <v>14443</v>
      </c>
      <c r="E456">
        <v>2</v>
      </c>
      <c r="F456">
        <v>1</v>
      </c>
      <c r="G456">
        <v>0.1061130394301</v>
      </c>
      <c r="H456">
        <v>0.42445215772040001</v>
      </c>
      <c r="I456" t="s">
        <v>13671</v>
      </c>
    </row>
    <row r="457" spans="1:9" x14ac:dyDescent="0.25">
      <c r="A457" s="2" t="s">
        <v>14444</v>
      </c>
      <c r="C457" s="3" t="str">
        <f>HYPERLINK("http://amigo.geneontology.org/amigo/term/GO:0008290","GO:0008290")</f>
        <v>GO:0008290</v>
      </c>
      <c r="D457" t="s">
        <v>14445</v>
      </c>
      <c r="E457">
        <v>2</v>
      </c>
      <c r="F457">
        <v>1</v>
      </c>
      <c r="G457">
        <v>0.1061130394301</v>
      </c>
      <c r="H457">
        <v>0.42445215772040001</v>
      </c>
      <c r="I457" t="s">
        <v>13671</v>
      </c>
    </row>
    <row r="458" spans="1:9" x14ac:dyDescent="0.25">
      <c r="A458" s="2" t="s">
        <v>14446</v>
      </c>
      <c r="C458" s="3" t="str">
        <f>HYPERLINK("http://amigo.geneontology.org/amigo/term/GO:0046501","GO:0046501")</f>
        <v>GO:0046501</v>
      </c>
      <c r="D458" t="s">
        <v>14447</v>
      </c>
      <c r="E458">
        <v>2</v>
      </c>
      <c r="F458">
        <v>1</v>
      </c>
      <c r="G458">
        <v>0.1061130394301</v>
      </c>
      <c r="H458">
        <v>0.42445215772040001</v>
      </c>
      <c r="I458" t="s">
        <v>13703</v>
      </c>
    </row>
    <row r="459" spans="1:9" x14ac:dyDescent="0.25">
      <c r="A459" s="2" t="s">
        <v>14448</v>
      </c>
      <c r="C459" s="3" t="str">
        <f>HYPERLINK("http://amigo.geneontology.org/amigo/term/GO:0006782","GO:0006782")</f>
        <v>GO:0006782</v>
      </c>
      <c r="D459" t="s">
        <v>14449</v>
      </c>
      <c r="E459">
        <v>2</v>
      </c>
      <c r="F459">
        <v>1</v>
      </c>
      <c r="G459">
        <v>0.1061130394301</v>
      </c>
      <c r="H459">
        <v>0.42445215772040001</v>
      </c>
      <c r="I459" t="s">
        <v>13703</v>
      </c>
    </row>
    <row r="460" spans="1:9" x14ac:dyDescent="0.25">
      <c r="A460" s="2" t="s">
        <v>14450</v>
      </c>
      <c r="C460" s="3" t="str">
        <f>HYPERLINK("http://amigo.geneontology.org/amigo/term/GO:0004351","GO:0004351")</f>
        <v>GO:0004351</v>
      </c>
      <c r="D460" t="s">
        <v>4290</v>
      </c>
      <c r="E460">
        <v>2</v>
      </c>
      <c r="F460">
        <v>1</v>
      </c>
      <c r="G460">
        <v>0.1061130394301</v>
      </c>
      <c r="H460">
        <v>0.42445215772040001</v>
      </c>
      <c r="I460" t="s">
        <v>13734</v>
      </c>
    </row>
    <row r="461" spans="1:9" x14ac:dyDescent="0.25">
      <c r="A461" s="2" t="s">
        <v>14451</v>
      </c>
      <c r="C461" s="3" t="str">
        <f>HYPERLINK("http://amigo.geneontology.org/amigo/term/GO:0099738","GO:0099738")</f>
        <v>GO:0099738</v>
      </c>
      <c r="D461" t="s">
        <v>14452</v>
      </c>
      <c r="E461">
        <v>2</v>
      </c>
      <c r="F461">
        <v>1</v>
      </c>
      <c r="G461">
        <v>0.1061130394301</v>
      </c>
      <c r="H461">
        <v>0.42445215772040001</v>
      </c>
      <c r="I461" t="s">
        <v>13779</v>
      </c>
    </row>
    <row r="462" spans="1:9" x14ac:dyDescent="0.25">
      <c r="A462" s="2" t="s">
        <v>14254</v>
      </c>
      <c r="C462" s="3" t="str">
        <f>HYPERLINK("http://amigo.geneontology.org/amigo/term/GO:0031097","GO:0031097")</f>
        <v>GO:0031097</v>
      </c>
      <c r="D462" t="s">
        <v>14453</v>
      </c>
      <c r="E462">
        <v>2</v>
      </c>
      <c r="F462">
        <v>1</v>
      </c>
      <c r="G462">
        <v>0.1061130394301</v>
      </c>
      <c r="H462">
        <v>0.42445215772040001</v>
      </c>
      <c r="I462" t="s">
        <v>13779</v>
      </c>
    </row>
    <row r="463" spans="1:9" x14ac:dyDescent="0.25">
      <c r="A463" s="2" t="s">
        <v>14454</v>
      </c>
      <c r="C463" s="3" t="str">
        <f>HYPERLINK("http://amigo.geneontology.org/amigo/term/GO:0000912","GO:0000912")</f>
        <v>GO:0000912</v>
      </c>
      <c r="D463" t="s">
        <v>14455</v>
      </c>
      <c r="E463">
        <v>2</v>
      </c>
      <c r="F463">
        <v>1</v>
      </c>
      <c r="G463">
        <v>0.1061130394301</v>
      </c>
      <c r="H463">
        <v>0.42445215772040001</v>
      </c>
      <c r="I463" t="s">
        <v>13779</v>
      </c>
    </row>
    <row r="464" spans="1:9" x14ac:dyDescent="0.25">
      <c r="A464" s="2" t="s">
        <v>14456</v>
      </c>
      <c r="C464" s="3" t="str">
        <f>HYPERLINK("http://amigo.geneontology.org/amigo/term/GO:0030865","GO:0030865")</f>
        <v>GO:0030865</v>
      </c>
      <c r="D464" t="s">
        <v>14457</v>
      </c>
      <c r="E464">
        <v>2</v>
      </c>
      <c r="F464">
        <v>1</v>
      </c>
      <c r="G464">
        <v>0.1061130394301</v>
      </c>
      <c r="H464">
        <v>0.42445215772040001</v>
      </c>
      <c r="I464" t="s">
        <v>13779</v>
      </c>
    </row>
    <row r="465" spans="1:9" x14ac:dyDescent="0.25">
      <c r="A465" s="2" t="s">
        <v>14458</v>
      </c>
      <c r="C465" s="3" t="str">
        <f>HYPERLINK("http://amigo.geneontology.org/amigo/term/GO:0030866","GO:0030866")</f>
        <v>GO:0030866</v>
      </c>
      <c r="D465" t="s">
        <v>14459</v>
      </c>
      <c r="E465">
        <v>2</v>
      </c>
      <c r="F465">
        <v>1</v>
      </c>
      <c r="G465">
        <v>0.1061130394301</v>
      </c>
      <c r="H465">
        <v>0.42445215772040001</v>
      </c>
      <c r="I465" t="s">
        <v>13779</v>
      </c>
    </row>
    <row r="466" spans="1:9" x14ac:dyDescent="0.25">
      <c r="A466" s="2" t="s">
        <v>14460</v>
      </c>
      <c r="C466" s="3" t="str">
        <f>HYPERLINK("http://amigo.geneontology.org/amigo/term/GO:0031032","GO:0031032")</f>
        <v>GO:0031032</v>
      </c>
      <c r="D466" t="s">
        <v>14461</v>
      </c>
      <c r="E466">
        <v>2</v>
      </c>
      <c r="F466">
        <v>1</v>
      </c>
      <c r="G466">
        <v>0.1061130394301</v>
      </c>
      <c r="H466">
        <v>0.42445215772040001</v>
      </c>
      <c r="I466" t="s">
        <v>13779</v>
      </c>
    </row>
    <row r="467" spans="1:9" x14ac:dyDescent="0.25">
      <c r="A467" s="2" t="s">
        <v>14462</v>
      </c>
      <c r="C467" s="3" t="str">
        <f>HYPERLINK("http://amigo.geneontology.org/amigo/term/GO:0044837","GO:0044837")</f>
        <v>GO:0044837</v>
      </c>
      <c r="D467" t="s">
        <v>14463</v>
      </c>
      <c r="E467">
        <v>2</v>
      </c>
      <c r="F467">
        <v>1</v>
      </c>
      <c r="G467">
        <v>0.1061130394301</v>
      </c>
      <c r="H467">
        <v>0.42445215772040001</v>
      </c>
      <c r="I467" t="s">
        <v>13779</v>
      </c>
    </row>
    <row r="468" spans="1:9" x14ac:dyDescent="0.25">
      <c r="A468" s="2" t="s">
        <v>14464</v>
      </c>
      <c r="C468" s="3" t="str">
        <f>HYPERLINK("http://amigo.geneontology.org/amigo/term/GO:0000915","GO:0000915")</f>
        <v>GO:0000915</v>
      </c>
      <c r="D468" t="s">
        <v>14465</v>
      </c>
      <c r="E468">
        <v>2</v>
      </c>
      <c r="F468">
        <v>1</v>
      </c>
      <c r="G468">
        <v>0.1061130394301</v>
      </c>
      <c r="H468">
        <v>0.42445215772040001</v>
      </c>
      <c r="I468" t="s">
        <v>13779</v>
      </c>
    </row>
    <row r="469" spans="1:9" x14ac:dyDescent="0.25">
      <c r="A469" s="2" t="s">
        <v>14257</v>
      </c>
      <c r="C469" s="3" t="str">
        <f>HYPERLINK("http://amigo.geneontology.org/amigo/term/GO:1902407","GO:1902407")</f>
        <v>GO:1902407</v>
      </c>
      <c r="D469" t="s">
        <v>14466</v>
      </c>
      <c r="E469">
        <v>2</v>
      </c>
      <c r="F469">
        <v>1</v>
      </c>
      <c r="G469">
        <v>0.1061130394301</v>
      </c>
      <c r="H469">
        <v>0.42445215772040001</v>
      </c>
      <c r="I469" t="s">
        <v>13779</v>
      </c>
    </row>
    <row r="470" spans="1:9" x14ac:dyDescent="0.25">
      <c r="A470" s="2" t="s">
        <v>14467</v>
      </c>
      <c r="C470" s="3" t="str">
        <f>HYPERLINK("http://amigo.geneontology.org/amigo/term/GO:1903475","GO:1903475")</f>
        <v>GO:1903475</v>
      </c>
      <c r="D470" t="s">
        <v>14468</v>
      </c>
      <c r="E470">
        <v>2</v>
      </c>
      <c r="F470">
        <v>1</v>
      </c>
      <c r="G470">
        <v>0.1061130394301</v>
      </c>
      <c r="H470">
        <v>0.42445215772040001</v>
      </c>
      <c r="I470" t="s">
        <v>13779</v>
      </c>
    </row>
    <row r="471" spans="1:9" x14ac:dyDescent="0.25">
      <c r="A471" s="2" t="s">
        <v>14258</v>
      </c>
      <c r="C471" s="3" t="str">
        <f>HYPERLINK("http://amigo.geneontology.org/amigo/term/GO:0030060","GO:0030060")</f>
        <v>GO:0030060</v>
      </c>
      <c r="D471" t="s">
        <v>14469</v>
      </c>
      <c r="E471">
        <v>2</v>
      </c>
      <c r="F471">
        <v>1</v>
      </c>
      <c r="G471">
        <v>0.1061130394301</v>
      </c>
      <c r="H471">
        <v>0.42445215772040001</v>
      </c>
      <c r="I471" t="s">
        <v>13803</v>
      </c>
    </row>
    <row r="472" spans="1:9" x14ac:dyDescent="0.25">
      <c r="A472" s="2" t="s">
        <v>14261</v>
      </c>
      <c r="C472" s="3" t="str">
        <f>HYPERLINK("http://amigo.geneontology.org/amigo/term/GO:0015927","GO:0015927")</f>
        <v>GO:0015927</v>
      </c>
      <c r="D472" t="s">
        <v>14470</v>
      </c>
      <c r="E472">
        <v>2</v>
      </c>
      <c r="F472">
        <v>1</v>
      </c>
      <c r="G472">
        <v>0.1061130394301</v>
      </c>
      <c r="H472">
        <v>0.42445215772040001</v>
      </c>
      <c r="I472" t="s">
        <v>13841</v>
      </c>
    </row>
    <row r="473" spans="1:9" x14ac:dyDescent="0.25">
      <c r="A473" s="2" t="s">
        <v>14471</v>
      </c>
      <c r="C473" s="3" t="str">
        <f>HYPERLINK("http://amigo.geneontology.org/amigo/term/GO:0004555","GO:0004555")</f>
        <v>GO:0004555</v>
      </c>
      <c r="D473" t="s">
        <v>14472</v>
      </c>
      <c r="E473">
        <v>2</v>
      </c>
      <c r="F473">
        <v>1</v>
      </c>
      <c r="G473">
        <v>0.1061130394301</v>
      </c>
      <c r="H473">
        <v>0.42445215772040001</v>
      </c>
      <c r="I473" t="s">
        <v>13841</v>
      </c>
    </row>
    <row r="474" spans="1:9" x14ac:dyDescent="0.25">
      <c r="A474" s="2" t="s">
        <v>14473</v>
      </c>
      <c r="C474" s="3" t="str">
        <f>HYPERLINK("http://amigo.geneontology.org/amigo/term/GO:0006020","GO:0006020")</f>
        <v>GO:0006020</v>
      </c>
      <c r="D474" t="s">
        <v>4400</v>
      </c>
      <c r="E474">
        <v>2</v>
      </c>
      <c r="F474">
        <v>1</v>
      </c>
      <c r="G474">
        <v>0.1061130394301</v>
      </c>
      <c r="H474">
        <v>0.42445215772040001</v>
      </c>
      <c r="I474" t="s">
        <v>13850</v>
      </c>
    </row>
    <row r="475" spans="1:9" x14ac:dyDescent="0.25">
      <c r="A475" s="2" t="s">
        <v>14264</v>
      </c>
      <c r="C475" s="3" t="str">
        <f>HYPERLINK("http://amigo.geneontology.org/amigo/term/GO:0046173","GO:0046173")</f>
        <v>GO:0046173</v>
      </c>
      <c r="D475" t="s">
        <v>48</v>
      </c>
      <c r="E475">
        <v>2</v>
      </c>
      <c r="F475">
        <v>1</v>
      </c>
      <c r="G475">
        <v>0.1061130394301</v>
      </c>
      <c r="H475">
        <v>0.42445215772040001</v>
      </c>
      <c r="I475" t="s">
        <v>13850</v>
      </c>
    </row>
    <row r="476" spans="1:9" x14ac:dyDescent="0.25">
      <c r="A476" s="2" t="s">
        <v>14474</v>
      </c>
      <c r="C476" s="3" t="str">
        <f>HYPERLINK("http://amigo.geneontology.org/amigo/term/GO:0016872","GO:0016872")</f>
        <v>GO:0016872</v>
      </c>
      <c r="D476" t="s">
        <v>1364</v>
      </c>
      <c r="E476">
        <v>2</v>
      </c>
      <c r="F476">
        <v>1</v>
      </c>
      <c r="G476">
        <v>0.1061130394301</v>
      </c>
      <c r="H476">
        <v>0.42445215772040001</v>
      </c>
      <c r="I476" t="s">
        <v>13850</v>
      </c>
    </row>
    <row r="477" spans="1:9" x14ac:dyDescent="0.25">
      <c r="A477" s="2" t="s">
        <v>14475</v>
      </c>
      <c r="C477" s="3" t="str">
        <f>HYPERLINK("http://amigo.geneontology.org/amigo/term/GO:0016642","GO:0016642")</f>
        <v>GO:0016642</v>
      </c>
      <c r="D477" t="s">
        <v>14476</v>
      </c>
      <c r="E477">
        <v>2</v>
      </c>
      <c r="F477">
        <v>1</v>
      </c>
      <c r="G477">
        <v>0.1061130394301</v>
      </c>
      <c r="H477">
        <v>0.42445215772040001</v>
      </c>
      <c r="I477" t="s">
        <v>13956</v>
      </c>
    </row>
    <row r="478" spans="1:9" x14ac:dyDescent="0.25">
      <c r="A478" s="2" t="s">
        <v>14477</v>
      </c>
      <c r="C478" s="3" t="str">
        <f>HYPERLINK("http://amigo.geneontology.org/amigo/term/GO:0004375","GO:0004375")</f>
        <v>GO:0004375</v>
      </c>
      <c r="D478" t="s">
        <v>14478</v>
      </c>
      <c r="E478">
        <v>2</v>
      </c>
      <c r="F478">
        <v>1</v>
      </c>
      <c r="G478">
        <v>0.1061130394301</v>
      </c>
      <c r="H478">
        <v>0.42445215772040001</v>
      </c>
      <c r="I478" t="s">
        <v>13956</v>
      </c>
    </row>
    <row r="479" spans="1:9" x14ac:dyDescent="0.25">
      <c r="A479" s="2" t="s">
        <v>14479</v>
      </c>
      <c r="C479" s="3" t="str">
        <f>HYPERLINK("http://amigo.geneontology.org/amigo/term/GO:0046487","GO:0046487")</f>
        <v>GO:0046487</v>
      </c>
      <c r="D479" t="s">
        <v>14480</v>
      </c>
      <c r="E479">
        <v>2</v>
      </c>
      <c r="F479">
        <v>1</v>
      </c>
      <c r="G479">
        <v>0.1061130394301</v>
      </c>
      <c r="H479">
        <v>0.42445215772040001</v>
      </c>
      <c r="I479" t="s">
        <v>14001</v>
      </c>
    </row>
    <row r="480" spans="1:9" x14ac:dyDescent="0.25">
      <c r="A480" s="2" t="s">
        <v>14481</v>
      </c>
      <c r="C480" s="3" t="str">
        <f>HYPERLINK("http://amigo.geneontology.org/amigo/term/GO:0006106","GO:0006106")</f>
        <v>GO:0006106</v>
      </c>
      <c r="D480" t="s">
        <v>14482</v>
      </c>
      <c r="E480">
        <v>2</v>
      </c>
      <c r="F480">
        <v>1</v>
      </c>
      <c r="G480">
        <v>0.1061130394301</v>
      </c>
      <c r="H480">
        <v>0.42445215772040001</v>
      </c>
      <c r="I480" t="s">
        <v>14004</v>
      </c>
    </row>
    <row r="481" spans="1:9" x14ac:dyDescent="0.25">
      <c r="A481" s="2" t="s">
        <v>14271</v>
      </c>
      <c r="C481" s="3" t="str">
        <f>HYPERLINK("http://amigo.geneontology.org/amigo/term/GO:0007571","GO:0007571")</f>
        <v>GO:0007571</v>
      </c>
      <c r="D481" t="s">
        <v>14483</v>
      </c>
      <c r="E481">
        <v>2</v>
      </c>
      <c r="F481">
        <v>1</v>
      </c>
      <c r="G481">
        <v>0.1061130394301</v>
      </c>
      <c r="H481">
        <v>0.42445215772040001</v>
      </c>
      <c r="I481" t="s">
        <v>14006</v>
      </c>
    </row>
    <row r="482" spans="1:9" x14ac:dyDescent="0.25">
      <c r="A482" s="2" t="s">
        <v>14484</v>
      </c>
      <c r="C482" s="3" t="str">
        <f>HYPERLINK("http://amigo.geneontology.org/amigo/term/GO:0001306","GO:0001306")</f>
        <v>GO:0001306</v>
      </c>
      <c r="D482" t="s">
        <v>14485</v>
      </c>
      <c r="E482">
        <v>2</v>
      </c>
      <c r="F482">
        <v>1</v>
      </c>
      <c r="G482">
        <v>0.1061130394301</v>
      </c>
      <c r="H482">
        <v>0.42445215772040001</v>
      </c>
      <c r="I482" t="s">
        <v>14006</v>
      </c>
    </row>
    <row r="483" spans="1:9" x14ac:dyDescent="0.25">
      <c r="A483" s="2" t="s">
        <v>14486</v>
      </c>
      <c r="C483" s="3" t="str">
        <f>HYPERLINK("http://amigo.geneontology.org/amigo/term/GO:0001300","GO:0001300")</f>
        <v>GO:0001300</v>
      </c>
      <c r="D483" t="s">
        <v>14487</v>
      </c>
      <c r="E483">
        <v>2</v>
      </c>
      <c r="F483">
        <v>1</v>
      </c>
      <c r="G483">
        <v>0.1061130394301</v>
      </c>
      <c r="H483">
        <v>0.42445215772040001</v>
      </c>
      <c r="I483" t="s">
        <v>14006</v>
      </c>
    </row>
    <row r="484" spans="1:9" x14ac:dyDescent="0.25">
      <c r="A484" s="2" t="s">
        <v>14274</v>
      </c>
      <c r="C484" s="3" t="str">
        <f>HYPERLINK("http://amigo.geneontology.org/amigo/term/GO:0001323","GO:0001323")</f>
        <v>GO:0001323</v>
      </c>
      <c r="D484" t="s">
        <v>14488</v>
      </c>
      <c r="E484">
        <v>2</v>
      </c>
      <c r="F484">
        <v>1</v>
      </c>
      <c r="G484">
        <v>0.1061130394301</v>
      </c>
      <c r="H484">
        <v>0.42445215772040001</v>
      </c>
      <c r="I484" t="s">
        <v>14006</v>
      </c>
    </row>
    <row r="485" spans="1:9" x14ac:dyDescent="0.25">
      <c r="A485" s="2" t="s">
        <v>14489</v>
      </c>
      <c r="C485" s="3" t="str">
        <f>HYPERLINK("http://amigo.geneontology.org/amigo/term/GO:0001324","GO:0001324")</f>
        <v>GO:0001324</v>
      </c>
      <c r="D485" t="s">
        <v>14490</v>
      </c>
      <c r="E485">
        <v>2</v>
      </c>
      <c r="F485">
        <v>1</v>
      </c>
      <c r="G485">
        <v>0.1061130394301</v>
      </c>
      <c r="H485">
        <v>0.42445215772040001</v>
      </c>
      <c r="I485" t="s">
        <v>14006</v>
      </c>
    </row>
    <row r="486" spans="1:9" x14ac:dyDescent="0.25">
      <c r="A486" s="2" t="s">
        <v>14491</v>
      </c>
      <c r="C486" s="3" t="str">
        <f>HYPERLINK("http://amigo.geneontology.org/amigo/term/GO:0046916","GO:0046916")</f>
        <v>GO:0046916</v>
      </c>
      <c r="D486" t="s">
        <v>14492</v>
      </c>
      <c r="E486">
        <v>2</v>
      </c>
      <c r="F486">
        <v>1</v>
      </c>
      <c r="G486">
        <v>0.1061130394301</v>
      </c>
      <c r="H486">
        <v>0.42445215772040001</v>
      </c>
      <c r="I486" t="s">
        <v>14006</v>
      </c>
    </row>
    <row r="487" spans="1:9" x14ac:dyDescent="0.25">
      <c r="A487" s="2" t="s">
        <v>14277</v>
      </c>
      <c r="C487" s="3" t="str">
        <f>HYPERLINK("http://amigo.geneontology.org/amigo/term/GO:0006878","GO:0006878")</f>
        <v>GO:0006878</v>
      </c>
      <c r="D487" t="s">
        <v>14493</v>
      </c>
      <c r="E487">
        <v>2</v>
      </c>
      <c r="F487">
        <v>1</v>
      </c>
      <c r="G487">
        <v>0.1061130394301</v>
      </c>
      <c r="H487">
        <v>0.42445215772040001</v>
      </c>
      <c r="I487" t="s">
        <v>14006</v>
      </c>
    </row>
    <row r="488" spans="1:9" x14ac:dyDescent="0.25">
      <c r="A488" s="2" t="s">
        <v>14494</v>
      </c>
      <c r="C488" s="3" t="str">
        <f>HYPERLINK("http://amigo.geneontology.org/amigo/term/GO:0072507","GO:0072507")</f>
        <v>GO:0072507</v>
      </c>
      <c r="D488" t="s">
        <v>14495</v>
      </c>
      <c r="E488">
        <v>2</v>
      </c>
      <c r="F488">
        <v>1</v>
      </c>
      <c r="G488">
        <v>0.1061130394301</v>
      </c>
      <c r="H488">
        <v>0.53056519715050099</v>
      </c>
      <c r="I488" t="s">
        <v>14006</v>
      </c>
    </row>
    <row r="489" spans="1:9" x14ac:dyDescent="0.25">
      <c r="A489" s="2" t="s">
        <v>14496</v>
      </c>
      <c r="C489" s="3" t="str">
        <f>HYPERLINK("http://amigo.geneontology.org/amigo/term/GO:0072503","GO:0072503")</f>
        <v>GO:0072503</v>
      </c>
      <c r="D489" t="s">
        <v>14497</v>
      </c>
      <c r="E489">
        <v>2</v>
      </c>
      <c r="F489">
        <v>1</v>
      </c>
      <c r="G489">
        <v>0.1061130394301</v>
      </c>
      <c r="H489">
        <v>0.53056519715050099</v>
      </c>
      <c r="I489" t="s">
        <v>14006</v>
      </c>
    </row>
    <row r="490" spans="1:9" x14ac:dyDescent="0.25">
      <c r="A490" s="2" t="s">
        <v>14498</v>
      </c>
      <c r="C490" s="3" t="str">
        <f>HYPERLINK("http://amigo.geneontology.org/amigo/term/GO:0043620","GO:0043620")</f>
        <v>GO:0043620</v>
      </c>
      <c r="D490" t="s">
        <v>14499</v>
      </c>
      <c r="E490">
        <v>2</v>
      </c>
      <c r="F490">
        <v>1</v>
      </c>
      <c r="G490">
        <v>0.1061130394301</v>
      </c>
      <c r="H490">
        <v>0.53056519715050099</v>
      </c>
      <c r="I490" t="s">
        <v>14006</v>
      </c>
    </row>
    <row r="491" spans="1:9" x14ac:dyDescent="0.25">
      <c r="A491" s="2" t="s">
        <v>14500</v>
      </c>
      <c r="C491" s="3" t="str">
        <f>HYPERLINK("http://amigo.geneontology.org/amigo/term/GO:0043618","GO:0043618")</f>
        <v>GO:0043618</v>
      </c>
      <c r="D491" t="s">
        <v>14501</v>
      </c>
      <c r="E491">
        <v>2</v>
      </c>
      <c r="F491">
        <v>1</v>
      </c>
      <c r="G491">
        <v>0.1061130394301</v>
      </c>
      <c r="H491">
        <v>0.53056519715050099</v>
      </c>
      <c r="I491" t="s">
        <v>14006</v>
      </c>
    </row>
    <row r="492" spans="1:9" x14ac:dyDescent="0.25">
      <c r="A492" s="2" t="s">
        <v>14502</v>
      </c>
      <c r="C492" s="3" t="str">
        <f>HYPERLINK("http://amigo.geneontology.org/amigo/term/GO:0036003","GO:0036003")</f>
        <v>GO:0036003</v>
      </c>
      <c r="D492" t="s">
        <v>14503</v>
      </c>
      <c r="E492">
        <v>2</v>
      </c>
      <c r="F492">
        <v>1</v>
      </c>
      <c r="G492">
        <v>0.1061130394301</v>
      </c>
      <c r="H492">
        <v>0.53056519715050099</v>
      </c>
      <c r="I492" t="s">
        <v>14006</v>
      </c>
    </row>
    <row r="493" spans="1:9" x14ac:dyDescent="0.25">
      <c r="A493" s="2" t="s">
        <v>14504</v>
      </c>
      <c r="C493" s="3" t="str">
        <f>HYPERLINK("http://amigo.geneontology.org/amigo/term/GO:0051090","GO:0051090")</f>
        <v>GO:0051090</v>
      </c>
      <c r="D493" t="s">
        <v>6765</v>
      </c>
      <c r="E493">
        <v>2</v>
      </c>
      <c r="F493">
        <v>1</v>
      </c>
      <c r="G493">
        <v>0.1061130394301</v>
      </c>
      <c r="H493">
        <v>0.53056519715050099</v>
      </c>
      <c r="I493" t="s">
        <v>14006</v>
      </c>
    </row>
    <row r="494" spans="1:9" x14ac:dyDescent="0.25">
      <c r="A494" s="2" t="s">
        <v>14505</v>
      </c>
      <c r="C494" s="3" t="str">
        <f>HYPERLINK("http://amigo.geneontology.org/amigo/term/GO:0004801","GO:0004801")</f>
        <v>GO:0004801</v>
      </c>
      <c r="D494" t="s">
        <v>14506</v>
      </c>
      <c r="E494">
        <v>2</v>
      </c>
      <c r="F494">
        <v>1</v>
      </c>
      <c r="G494">
        <v>0.1061130394301</v>
      </c>
      <c r="H494">
        <v>0.53056519715050099</v>
      </c>
      <c r="I494" t="s">
        <v>14008</v>
      </c>
    </row>
    <row r="495" spans="1:9" x14ac:dyDescent="0.25">
      <c r="A495" s="2" t="s">
        <v>14507</v>
      </c>
      <c r="C495" s="3" t="str">
        <f>HYPERLINK("http://amigo.geneontology.org/amigo/term/GO:0004020","GO:0004020")</f>
        <v>GO:0004020</v>
      </c>
      <c r="D495" t="s">
        <v>14508</v>
      </c>
      <c r="E495">
        <v>2</v>
      </c>
      <c r="F495">
        <v>1</v>
      </c>
      <c r="G495">
        <v>0.1061130394301</v>
      </c>
      <c r="H495">
        <v>0.53056519715050099</v>
      </c>
      <c r="I495" t="s">
        <v>14033</v>
      </c>
    </row>
    <row r="496" spans="1:9" x14ac:dyDescent="0.25">
      <c r="A496" s="2" t="s">
        <v>14281</v>
      </c>
      <c r="C496" s="3" t="str">
        <f>HYPERLINK("http://amigo.geneontology.org/amigo/term/GO:0030276","GO:0030276")</f>
        <v>GO:0030276</v>
      </c>
      <c r="D496" t="s">
        <v>547</v>
      </c>
      <c r="E496">
        <v>2</v>
      </c>
      <c r="F496">
        <v>1</v>
      </c>
      <c r="G496">
        <v>0.1061130394301</v>
      </c>
      <c r="H496">
        <v>0.53056519715050099</v>
      </c>
      <c r="I496" t="s">
        <v>14037</v>
      </c>
    </row>
    <row r="497" spans="1:9" x14ac:dyDescent="0.25">
      <c r="A497" s="2" t="s">
        <v>14509</v>
      </c>
      <c r="C497" s="3" t="str">
        <f>HYPERLINK("http://amigo.geneontology.org/amigo/term/GO:0003842","GO:0003842")</f>
        <v>GO:0003842</v>
      </c>
      <c r="D497" t="s">
        <v>14510</v>
      </c>
      <c r="E497">
        <v>2</v>
      </c>
      <c r="F497">
        <v>1</v>
      </c>
      <c r="G497">
        <v>0.1061130394301</v>
      </c>
      <c r="H497">
        <v>0.53056519715050099</v>
      </c>
      <c r="I497" t="s">
        <v>14074</v>
      </c>
    </row>
    <row r="498" spans="1:9" x14ac:dyDescent="0.25">
      <c r="A498" s="2" t="s">
        <v>14284</v>
      </c>
      <c r="C498" s="3" t="str">
        <f>HYPERLINK("http://amigo.geneontology.org/amigo/term/GO:0042744","GO:0042744")</f>
        <v>GO:0042744</v>
      </c>
      <c r="D498" t="s">
        <v>1152</v>
      </c>
      <c r="E498">
        <v>2</v>
      </c>
      <c r="F498">
        <v>1</v>
      </c>
      <c r="G498">
        <v>0.1061130394301</v>
      </c>
      <c r="H498">
        <v>0.53056519715050099</v>
      </c>
      <c r="I498" t="s">
        <v>14129</v>
      </c>
    </row>
    <row r="499" spans="1:9" x14ac:dyDescent="0.25">
      <c r="A499" s="2" t="s">
        <v>14511</v>
      </c>
      <c r="C499" s="3" t="str">
        <f>HYPERLINK("http://amigo.geneontology.org/amigo/term/GO:0006353","GO:0006353")</f>
        <v>GO:0006353</v>
      </c>
      <c r="D499" t="s">
        <v>14512</v>
      </c>
      <c r="E499">
        <v>2</v>
      </c>
      <c r="F499">
        <v>1</v>
      </c>
      <c r="G499">
        <v>0.1061130394301</v>
      </c>
      <c r="H499">
        <v>0.53056519715050099</v>
      </c>
      <c r="I499" t="s">
        <v>14184</v>
      </c>
    </row>
    <row r="500" spans="1:9" x14ac:dyDescent="0.25">
      <c r="A500" s="2" t="s">
        <v>14513</v>
      </c>
      <c r="C500" s="3" t="str">
        <f>HYPERLINK("http://amigo.geneontology.org/amigo/term/GO:0006369","GO:0006369")</f>
        <v>GO:0006369</v>
      </c>
      <c r="D500" t="s">
        <v>14514</v>
      </c>
      <c r="E500">
        <v>2</v>
      </c>
      <c r="F500">
        <v>1</v>
      </c>
      <c r="G500">
        <v>0.1061130394301</v>
      </c>
      <c r="H500">
        <v>0.53056519715050099</v>
      </c>
      <c r="I500" t="s">
        <v>14184</v>
      </c>
    </row>
    <row r="501" spans="1:9" x14ac:dyDescent="0.25">
      <c r="A501" s="2" t="s">
        <v>14515</v>
      </c>
      <c r="C501" s="3" t="str">
        <f>HYPERLINK("http://amigo.geneontology.org/amigo/term/GO:0004476","GO:0004476")</f>
        <v>GO:0004476</v>
      </c>
      <c r="D501" t="s">
        <v>14516</v>
      </c>
      <c r="E501">
        <v>2</v>
      </c>
      <c r="F501">
        <v>1</v>
      </c>
      <c r="G501">
        <v>0.1061130394301</v>
      </c>
      <c r="H501">
        <v>0.53056519715050099</v>
      </c>
      <c r="I501" t="s">
        <v>14185</v>
      </c>
    </row>
    <row r="502" spans="1:9" x14ac:dyDescent="0.25">
      <c r="A502" s="2" t="s">
        <v>14288</v>
      </c>
      <c r="C502" s="3" t="str">
        <f>HYPERLINK("http://amigo.geneontology.org/amigo/term/GO:0004815","GO:0004815")</f>
        <v>GO:0004815</v>
      </c>
      <c r="D502" t="s">
        <v>10109</v>
      </c>
      <c r="E502">
        <v>2</v>
      </c>
      <c r="F502">
        <v>1</v>
      </c>
      <c r="G502">
        <v>0.1061130394301</v>
      </c>
      <c r="H502">
        <v>0.53056519715050099</v>
      </c>
      <c r="I502" t="s">
        <v>14198</v>
      </c>
    </row>
    <row r="503" spans="1:9" x14ac:dyDescent="0.25">
      <c r="A503" s="2" t="s">
        <v>14517</v>
      </c>
      <c r="C503" s="3" t="str">
        <f>HYPERLINK("http://amigo.geneontology.org/amigo/term/GO:0006422","GO:0006422")</f>
        <v>GO:0006422</v>
      </c>
      <c r="D503" t="s">
        <v>10111</v>
      </c>
      <c r="E503">
        <v>2</v>
      </c>
      <c r="F503">
        <v>1</v>
      </c>
      <c r="G503">
        <v>0.1061130394301</v>
      </c>
      <c r="H503">
        <v>0.53056519715050099</v>
      </c>
      <c r="I503" t="s">
        <v>14198</v>
      </c>
    </row>
    <row r="504" spans="1:9" x14ac:dyDescent="0.25">
      <c r="A504" s="2" t="s">
        <v>14518</v>
      </c>
      <c r="C504" s="3" t="str">
        <f>HYPERLINK("http://amigo.geneontology.org/amigo/term/GO:0030429","GO:0030429")</f>
        <v>GO:0030429</v>
      </c>
      <c r="D504" t="s">
        <v>14519</v>
      </c>
      <c r="E504">
        <v>2</v>
      </c>
      <c r="F504">
        <v>1</v>
      </c>
      <c r="G504">
        <v>0.1061130394301</v>
      </c>
      <c r="H504">
        <v>0.53056519715050099</v>
      </c>
      <c r="I504" t="s">
        <v>14229</v>
      </c>
    </row>
    <row r="505" spans="1:9" x14ac:dyDescent="0.25">
      <c r="A505" s="2" t="s">
        <v>14520</v>
      </c>
      <c r="C505" s="3" t="str">
        <f>HYPERLINK("http://amigo.geneontology.org/amigo/term/GO:0097052","GO:0097052")</f>
        <v>GO:0097052</v>
      </c>
      <c r="D505" t="s">
        <v>14521</v>
      </c>
      <c r="E505">
        <v>2</v>
      </c>
      <c r="F505">
        <v>1</v>
      </c>
      <c r="G505">
        <v>0.1061130394301</v>
      </c>
      <c r="H505">
        <v>0.53056519715050099</v>
      </c>
      <c r="I505" t="s">
        <v>14229</v>
      </c>
    </row>
    <row r="506" spans="1:9" x14ac:dyDescent="0.25">
      <c r="A506" s="2" t="s">
        <v>14522</v>
      </c>
      <c r="C506" s="3" t="str">
        <f>HYPERLINK("http://amigo.geneontology.org/amigo/term/GO:0097053","GO:0097053")</f>
        <v>GO:0097053</v>
      </c>
      <c r="D506" t="s">
        <v>14523</v>
      </c>
      <c r="E506">
        <v>2</v>
      </c>
      <c r="F506">
        <v>1</v>
      </c>
      <c r="G506">
        <v>0.1061130394301</v>
      </c>
      <c r="H506">
        <v>0.53056519715050099</v>
      </c>
      <c r="I506" t="s">
        <v>14229</v>
      </c>
    </row>
    <row r="507" spans="1:9" x14ac:dyDescent="0.25">
      <c r="A507" s="2" t="s">
        <v>14524</v>
      </c>
      <c r="C507" s="3" t="str">
        <f>HYPERLINK("http://amigo.geneontology.org/amigo/term/GO:0003867","GO:0003867")</f>
        <v>GO:0003867</v>
      </c>
      <c r="D507" t="s">
        <v>14525</v>
      </c>
      <c r="E507">
        <v>2</v>
      </c>
      <c r="F507">
        <v>1</v>
      </c>
      <c r="G507">
        <v>0.1061130394301</v>
      </c>
      <c r="H507">
        <v>0.53056519715050099</v>
      </c>
      <c r="I507" t="s">
        <v>14307</v>
      </c>
    </row>
    <row r="508" spans="1:9" x14ac:dyDescent="0.25">
      <c r="A508" s="2" t="s">
        <v>14526</v>
      </c>
      <c r="C508" s="3" t="str">
        <f>HYPERLINK("http://amigo.geneontology.org/amigo/term/GO:0006595","GO:0006595")</f>
        <v>GO:0006595</v>
      </c>
      <c r="D508" t="s">
        <v>4466</v>
      </c>
      <c r="E508">
        <v>2</v>
      </c>
      <c r="F508">
        <v>1</v>
      </c>
      <c r="G508">
        <v>0.1061130394301</v>
      </c>
      <c r="H508">
        <v>0.53056519715050099</v>
      </c>
      <c r="I508" t="s">
        <v>14343</v>
      </c>
    </row>
    <row r="509" spans="1:9" x14ac:dyDescent="0.25">
      <c r="A509" s="2" t="s">
        <v>14527</v>
      </c>
      <c r="C509" s="3" t="str">
        <f>HYPERLINK("http://amigo.geneontology.org/amigo/term/GO:0006596","GO:0006596")</f>
        <v>GO:0006596</v>
      </c>
      <c r="D509" t="s">
        <v>1309</v>
      </c>
      <c r="E509">
        <v>2</v>
      </c>
      <c r="F509">
        <v>1</v>
      </c>
      <c r="G509">
        <v>0.1061130394301</v>
      </c>
      <c r="H509">
        <v>0.53056519715050099</v>
      </c>
      <c r="I509" t="s">
        <v>14343</v>
      </c>
    </row>
    <row r="510" spans="1:9" x14ac:dyDescent="0.25">
      <c r="A510" s="2" t="s">
        <v>14528</v>
      </c>
      <c r="C510" s="3" t="str">
        <f>HYPERLINK("http://amigo.geneontology.org/amigo/term/GO:1901981","GO:1901981")</f>
        <v>GO:1901981</v>
      </c>
      <c r="D510" t="s">
        <v>14529</v>
      </c>
      <c r="E510">
        <v>2</v>
      </c>
      <c r="F510">
        <v>1</v>
      </c>
      <c r="G510">
        <v>0.1061130394301</v>
      </c>
      <c r="H510">
        <v>0.53056519715050099</v>
      </c>
      <c r="I510" t="s">
        <v>14244</v>
      </c>
    </row>
    <row r="511" spans="1:9" x14ac:dyDescent="0.25">
      <c r="A511" s="2" t="s">
        <v>13477</v>
      </c>
      <c r="C511" s="3" t="str">
        <f>HYPERLINK("http://amigo.geneontology.org/amigo/term/GO:0042085","GO:0042085")</f>
        <v>GO:0042085</v>
      </c>
      <c r="D511" t="s">
        <v>14530</v>
      </c>
      <c r="E511">
        <v>2</v>
      </c>
      <c r="F511">
        <v>1</v>
      </c>
      <c r="G511">
        <v>0.1061130394301</v>
      </c>
      <c r="H511">
        <v>0.53056519715050099</v>
      </c>
      <c r="I511" t="s">
        <v>14392</v>
      </c>
    </row>
    <row r="512" spans="1:9" x14ac:dyDescent="0.25">
      <c r="A512" s="2" t="s">
        <v>14531</v>
      </c>
      <c r="C512" s="3" t="str">
        <f>HYPERLINK("http://amigo.geneontology.org/amigo/term/GO:0003871","GO:0003871")</f>
        <v>GO:0003871</v>
      </c>
      <c r="D512" t="s">
        <v>14532</v>
      </c>
      <c r="E512">
        <v>2</v>
      </c>
      <c r="F512">
        <v>1</v>
      </c>
      <c r="G512">
        <v>0.1061130394301</v>
      </c>
      <c r="H512">
        <v>0.53056519715050099</v>
      </c>
      <c r="I512" t="s">
        <v>14392</v>
      </c>
    </row>
    <row r="513" spans="1:9" x14ac:dyDescent="0.25">
      <c r="A513" s="2" t="s">
        <v>14533</v>
      </c>
      <c r="C513" s="3" t="str">
        <f>HYPERLINK("http://amigo.geneontology.org/amigo/term/GO:0003862","GO:0003862")</f>
        <v>GO:0003862</v>
      </c>
      <c r="D513" t="s">
        <v>14534</v>
      </c>
      <c r="E513">
        <v>2</v>
      </c>
      <c r="F513">
        <v>1</v>
      </c>
      <c r="G513">
        <v>0.1061130394301</v>
      </c>
      <c r="H513">
        <v>0.53056519715050099</v>
      </c>
      <c r="I513" t="s">
        <v>14458</v>
      </c>
    </row>
    <row r="514" spans="1:9" x14ac:dyDescent="0.25">
      <c r="A514" s="2" t="s">
        <v>14535</v>
      </c>
      <c r="C514" s="3" t="str">
        <f>HYPERLINK("http://amigo.geneontology.org/amigo/term/GO:0009083","GO:0009083")</f>
        <v>GO:0009083</v>
      </c>
      <c r="D514" t="s">
        <v>14536</v>
      </c>
      <c r="E514">
        <v>2</v>
      </c>
      <c r="F514">
        <v>1</v>
      </c>
      <c r="G514">
        <v>0.1061130394301</v>
      </c>
      <c r="H514">
        <v>0.53056519715050099</v>
      </c>
      <c r="I514" t="s">
        <v>14271</v>
      </c>
    </row>
    <row r="515" spans="1:9" x14ac:dyDescent="0.25">
      <c r="A515" s="2" t="s">
        <v>14537</v>
      </c>
      <c r="C515" s="3" t="str">
        <f>HYPERLINK("http://amigo.geneontology.org/amigo/term/GO:0006574","GO:0006574")</f>
        <v>GO:0006574</v>
      </c>
      <c r="D515" t="s">
        <v>14538</v>
      </c>
      <c r="E515">
        <v>2</v>
      </c>
      <c r="F515">
        <v>1</v>
      </c>
      <c r="G515">
        <v>0.1061130394301</v>
      </c>
      <c r="H515">
        <v>0.53056519715050099</v>
      </c>
      <c r="I515" t="s">
        <v>14271</v>
      </c>
    </row>
    <row r="516" spans="1:9" x14ac:dyDescent="0.25">
      <c r="A516" s="2" t="s">
        <v>14539</v>
      </c>
      <c r="C516" s="3" t="str">
        <f>HYPERLINK("http://amigo.geneontology.org/amigo/term/GO:0018344","GO:0018344")</f>
        <v>GO:0018344</v>
      </c>
      <c r="D516" t="s">
        <v>14540</v>
      </c>
      <c r="E516">
        <v>2</v>
      </c>
      <c r="F516">
        <v>1</v>
      </c>
      <c r="G516">
        <v>0.1061130394301</v>
      </c>
      <c r="H516">
        <v>0.53056519715050099</v>
      </c>
      <c r="I516" t="s">
        <v>14277</v>
      </c>
    </row>
    <row r="517" spans="1:9" x14ac:dyDescent="0.25">
      <c r="A517" s="2" t="s">
        <v>14541</v>
      </c>
      <c r="C517" s="3" t="str">
        <f>HYPERLINK("http://amigo.geneontology.org/amigo/term/GO:0062012","GO:0062012")</f>
        <v>GO:0062012</v>
      </c>
      <c r="D517" t="s">
        <v>14542</v>
      </c>
      <c r="E517">
        <v>2</v>
      </c>
      <c r="F517">
        <v>1</v>
      </c>
      <c r="G517">
        <v>0.1061130394301</v>
      </c>
      <c r="H517">
        <v>0.53056519715050099</v>
      </c>
      <c r="I517" t="s">
        <v>14284</v>
      </c>
    </row>
    <row r="518" spans="1:9" x14ac:dyDescent="0.25">
      <c r="A518" s="2" t="s">
        <v>14543</v>
      </c>
      <c r="C518" s="3" t="str">
        <f>HYPERLINK("http://amigo.geneontology.org/amigo/term/GO:0051125","GO:0051125")</f>
        <v>GO:0051125</v>
      </c>
      <c r="D518" t="s">
        <v>14544</v>
      </c>
      <c r="E518">
        <v>2</v>
      </c>
      <c r="F518">
        <v>1</v>
      </c>
      <c r="G518">
        <v>0.1061130394301</v>
      </c>
      <c r="H518">
        <v>0.53056519715050099</v>
      </c>
      <c r="I518" t="s">
        <v>14291</v>
      </c>
    </row>
    <row r="519" spans="1:9" x14ac:dyDescent="0.25">
      <c r="A519" s="2" t="s">
        <v>14545</v>
      </c>
      <c r="C519" s="3" t="str">
        <f>HYPERLINK("http://amigo.geneontology.org/amigo/term/GO:0034315","GO:0034315")</f>
        <v>GO:0034315</v>
      </c>
      <c r="D519" t="s">
        <v>14546</v>
      </c>
      <c r="E519">
        <v>2</v>
      </c>
      <c r="F519">
        <v>1</v>
      </c>
      <c r="G519">
        <v>0.1061130394301</v>
      </c>
      <c r="H519">
        <v>0.53056519715050099</v>
      </c>
      <c r="I519" t="s">
        <v>14291</v>
      </c>
    </row>
    <row r="520" spans="1:9" x14ac:dyDescent="0.25">
      <c r="A520" s="2" t="s">
        <v>14547</v>
      </c>
      <c r="C520" s="3" t="str">
        <f>HYPERLINK("http://amigo.geneontology.org/amigo/term/GO:0004069","GO:0004069")</f>
        <v>GO:0004069</v>
      </c>
      <c r="D520" t="s">
        <v>14548</v>
      </c>
      <c r="E520">
        <v>2</v>
      </c>
      <c r="F520">
        <v>1</v>
      </c>
      <c r="G520">
        <v>0.1061130394301</v>
      </c>
      <c r="H520">
        <v>0.53056519715050099</v>
      </c>
      <c r="I520" t="s">
        <v>14549</v>
      </c>
    </row>
    <row r="521" spans="1:9" x14ac:dyDescent="0.25">
      <c r="A521" s="2" t="s">
        <v>14550</v>
      </c>
      <c r="C521" s="3" t="str">
        <f>HYPERLINK("http://amigo.geneontology.org/amigo/term/GO:0008793","GO:0008793")</f>
        <v>GO:0008793</v>
      </c>
      <c r="D521" t="s">
        <v>14551</v>
      </c>
      <c r="E521">
        <v>2</v>
      </c>
      <c r="F521">
        <v>1</v>
      </c>
      <c r="G521">
        <v>0.1061130394301</v>
      </c>
      <c r="H521">
        <v>0.53056519715050099</v>
      </c>
      <c r="I521" t="s">
        <v>14549</v>
      </c>
    </row>
    <row r="522" spans="1:9" x14ac:dyDescent="0.25">
      <c r="A522" s="2" t="s">
        <v>13479</v>
      </c>
      <c r="C522" s="3" t="str">
        <f>HYPERLINK("http://amigo.geneontology.org/amigo/term/GO:0070546","GO:0070546")</f>
        <v>GO:0070546</v>
      </c>
      <c r="D522" t="s">
        <v>14552</v>
      </c>
      <c r="E522">
        <v>2</v>
      </c>
      <c r="F522">
        <v>1</v>
      </c>
      <c r="G522">
        <v>0.1061130394301</v>
      </c>
      <c r="H522">
        <v>0.53056519715050099</v>
      </c>
      <c r="I522" t="s">
        <v>14549</v>
      </c>
    </row>
    <row r="523" spans="1:9" x14ac:dyDescent="0.25">
      <c r="A523" s="2" t="s">
        <v>14553</v>
      </c>
      <c r="C523" s="3" t="str">
        <f>HYPERLINK("http://amigo.geneontology.org/amigo/term/GO:0080130","GO:0080130")</f>
        <v>GO:0080130</v>
      </c>
      <c r="D523" t="s">
        <v>14554</v>
      </c>
      <c r="E523">
        <v>2</v>
      </c>
      <c r="F523">
        <v>1</v>
      </c>
      <c r="G523">
        <v>0.1061130394301</v>
      </c>
      <c r="H523">
        <v>0.53056519715050099</v>
      </c>
      <c r="I523" t="s">
        <v>14549</v>
      </c>
    </row>
    <row r="524" spans="1:9" x14ac:dyDescent="0.25">
      <c r="A524" s="2" t="s">
        <v>14291</v>
      </c>
      <c r="C524" s="3" t="str">
        <f>HYPERLINK("http://amigo.geneontology.org/amigo/term/GO:0006089","GO:0006089")</f>
        <v>GO:0006089</v>
      </c>
      <c r="D524" t="s">
        <v>14555</v>
      </c>
      <c r="E524">
        <v>2</v>
      </c>
      <c r="F524">
        <v>1</v>
      </c>
      <c r="G524">
        <v>0.1061130394301</v>
      </c>
      <c r="H524">
        <v>0.53056519715050099</v>
      </c>
      <c r="I524" t="s">
        <v>14306</v>
      </c>
    </row>
    <row r="525" spans="1:9" x14ac:dyDescent="0.25">
      <c r="A525" s="2" t="s">
        <v>14549</v>
      </c>
      <c r="C525" s="3" t="str">
        <f>HYPERLINK("http://amigo.geneontology.org/amigo/term/GO:0031329","GO:0031329")</f>
        <v>GO:0031329</v>
      </c>
      <c r="D525" t="s">
        <v>9167</v>
      </c>
      <c r="E525">
        <v>2</v>
      </c>
      <c r="F525">
        <v>1</v>
      </c>
      <c r="G525">
        <v>0.1061130394301</v>
      </c>
      <c r="H525">
        <v>0.53056519715050099</v>
      </c>
      <c r="I525" t="s">
        <v>14556</v>
      </c>
    </row>
    <row r="526" spans="1:9" x14ac:dyDescent="0.25">
      <c r="A526" s="2" t="s">
        <v>14296</v>
      </c>
      <c r="C526" s="3" t="str">
        <f>HYPERLINK("http://amigo.geneontology.org/amigo/term/GO:0010506","GO:0010506")</f>
        <v>GO:0010506</v>
      </c>
      <c r="D526" t="s">
        <v>13227</v>
      </c>
      <c r="E526">
        <v>2</v>
      </c>
      <c r="F526">
        <v>1</v>
      </c>
      <c r="G526">
        <v>0.1061130394301</v>
      </c>
      <c r="H526">
        <v>0.53056519715050099</v>
      </c>
      <c r="I526" t="s">
        <v>14556</v>
      </c>
    </row>
    <row r="527" spans="1:9" x14ac:dyDescent="0.25">
      <c r="A527" s="2" t="s">
        <v>14557</v>
      </c>
      <c r="C527" s="3" t="str">
        <f>HYPERLINK("http://amigo.geneontology.org/amigo/term/GO:0009896","GO:0009896")</f>
        <v>GO:0009896</v>
      </c>
      <c r="D527" t="s">
        <v>9081</v>
      </c>
      <c r="E527">
        <v>2</v>
      </c>
      <c r="F527">
        <v>1</v>
      </c>
      <c r="G527">
        <v>0.1061130394301</v>
      </c>
      <c r="H527">
        <v>0.53056519715050099</v>
      </c>
      <c r="I527" t="s">
        <v>14556</v>
      </c>
    </row>
    <row r="528" spans="1:9" x14ac:dyDescent="0.25">
      <c r="A528" s="2" t="s">
        <v>14558</v>
      </c>
      <c r="C528" s="3" t="str">
        <f>HYPERLINK("http://amigo.geneontology.org/amigo/term/GO:0031331","GO:0031331")</f>
        <v>GO:0031331</v>
      </c>
      <c r="D528" t="s">
        <v>9060</v>
      </c>
      <c r="E528">
        <v>2</v>
      </c>
      <c r="F528">
        <v>1</v>
      </c>
      <c r="G528">
        <v>0.1061130394301</v>
      </c>
      <c r="H528">
        <v>0.53056519715050099</v>
      </c>
      <c r="I528" t="s">
        <v>14556</v>
      </c>
    </row>
    <row r="529" spans="1:9" x14ac:dyDescent="0.25">
      <c r="A529" s="2" t="s">
        <v>14559</v>
      </c>
      <c r="C529" s="3" t="str">
        <f>HYPERLINK("http://amigo.geneontology.org/amigo/term/GO:0010508","GO:0010508")</f>
        <v>GO:0010508</v>
      </c>
      <c r="D529" t="s">
        <v>13228</v>
      </c>
      <c r="E529">
        <v>2</v>
      </c>
      <c r="F529">
        <v>1</v>
      </c>
      <c r="G529">
        <v>0.1061130394301</v>
      </c>
      <c r="H529">
        <v>0.53056519715050099</v>
      </c>
      <c r="I529" t="s">
        <v>14556</v>
      </c>
    </row>
    <row r="530" spans="1:9" x14ac:dyDescent="0.25">
      <c r="A530" s="2" t="s">
        <v>14560</v>
      </c>
      <c r="C530" s="3" t="str">
        <f>HYPERLINK("http://amigo.geneontology.org/amigo/term/GO:0044249","GO:0044249")</f>
        <v>GO:0044249</v>
      </c>
      <c r="D530" t="s">
        <v>6857</v>
      </c>
      <c r="E530">
        <v>756</v>
      </c>
      <c r="F530">
        <v>49</v>
      </c>
      <c r="G530">
        <v>0.109366169715423</v>
      </c>
      <c r="H530">
        <v>0.43746467886169399</v>
      </c>
      <c r="I530" t="s">
        <v>14561</v>
      </c>
    </row>
    <row r="531" spans="1:9" x14ac:dyDescent="0.25">
      <c r="A531" s="2" t="s">
        <v>14562</v>
      </c>
      <c r="C531" s="3" t="str">
        <f>HYPERLINK("http://amigo.geneontology.org/amigo/term/GO:0016310","GO:0016310")</f>
        <v>GO:0016310</v>
      </c>
      <c r="D531" t="s">
        <v>1006</v>
      </c>
      <c r="E531">
        <v>104</v>
      </c>
      <c r="F531">
        <v>9</v>
      </c>
      <c r="G531">
        <v>0.113053485439622</v>
      </c>
      <c r="H531">
        <v>0.452213941758488</v>
      </c>
      <c r="I531" t="s">
        <v>14563</v>
      </c>
    </row>
    <row r="532" spans="1:9" x14ac:dyDescent="0.25">
      <c r="A532" s="2" t="s">
        <v>14564</v>
      </c>
      <c r="C532" s="3" t="str">
        <f>HYPERLINK("http://amigo.geneontology.org/amigo/term/GO:0004842","GO:0004842")</f>
        <v>GO:0004842</v>
      </c>
      <c r="D532" t="s">
        <v>14565</v>
      </c>
      <c r="E532">
        <v>22</v>
      </c>
      <c r="F532">
        <v>3</v>
      </c>
      <c r="G532">
        <v>0.11516407328396699</v>
      </c>
      <c r="H532">
        <v>0.46065629313586898</v>
      </c>
      <c r="I532" t="s">
        <v>14566</v>
      </c>
    </row>
    <row r="533" spans="1:9" x14ac:dyDescent="0.25">
      <c r="A533" s="2" t="s">
        <v>14301</v>
      </c>
      <c r="C533" s="3" t="str">
        <f>HYPERLINK("http://amigo.geneontology.org/amigo/term/GO:0071806","GO:0071806")</f>
        <v>GO:0071806</v>
      </c>
      <c r="D533" t="s">
        <v>14567</v>
      </c>
      <c r="E533">
        <v>11</v>
      </c>
      <c r="F533">
        <v>2</v>
      </c>
      <c r="G533">
        <v>0.11786357570537501</v>
      </c>
      <c r="H533">
        <v>0.47145430282150302</v>
      </c>
      <c r="I533" t="s">
        <v>13960</v>
      </c>
    </row>
    <row r="534" spans="1:9" x14ac:dyDescent="0.25">
      <c r="A534" s="2" t="s">
        <v>14568</v>
      </c>
      <c r="C534" s="3" t="str">
        <f>HYPERLINK("http://amigo.geneontology.org/amigo/term/GO:0065002","GO:0065002")</f>
        <v>GO:0065002</v>
      </c>
      <c r="D534" t="s">
        <v>14569</v>
      </c>
      <c r="E534">
        <v>11</v>
      </c>
      <c r="F534">
        <v>2</v>
      </c>
      <c r="G534">
        <v>0.11786357570537501</v>
      </c>
      <c r="H534">
        <v>0.47145430282150302</v>
      </c>
      <c r="I534" t="s">
        <v>13960</v>
      </c>
    </row>
    <row r="535" spans="1:9" x14ac:dyDescent="0.25">
      <c r="A535" s="2" t="s">
        <v>14570</v>
      </c>
      <c r="C535" s="3" t="str">
        <f>HYPERLINK("http://amigo.geneontology.org/amigo/term/GO:0061919","GO:0061919")</f>
        <v>GO:0061919</v>
      </c>
      <c r="D535" t="s">
        <v>14571</v>
      </c>
      <c r="E535">
        <v>11</v>
      </c>
      <c r="F535">
        <v>2</v>
      </c>
      <c r="G535">
        <v>0.11786357570537501</v>
      </c>
      <c r="H535">
        <v>0.47145430282150302</v>
      </c>
      <c r="I535" t="s">
        <v>14572</v>
      </c>
    </row>
    <row r="536" spans="1:9" x14ac:dyDescent="0.25">
      <c r="A536" s="2" t="s">
        <v>14573</v>
      </c>
      <c r="C536" s="3" t="str">
        <f>HYPERLINK("http://amigo.geneontology.org/amigo/term/GO:0006914","GO:0006914")</f>
        <v>GO:0006914</v>
      </c>
      <c r="D536" t="s">
        <v>14574</v>
      </c>
      <c r="E536">
        <v>11</v>
      </c>
      <c r="F536">
        <v>2</v>
      </c>
      <c r="G536">
        <v>0.11786357570537501</v>
      </c>
      <c r="H536">
        <v>0.47145430282150302</v>
      </c>
      <c r="I536" t="s">
        <v>14572</v>
      </c>
    </row>
    <row r="537" spans="1:9" x14ac:dyDescent="0.25">
      <c r="A537" s="2" t="s">
        <v>14306</v>
      </c>
      <c r="C537" s="3" t="str">
        <f>HYPERLINK("http://amigo.geneontology.org/amigo/term/GO:0090066","GO:0090066")</f>
        <v>GO:0090066</v>
      </c>
      <c r="D537" t="s">
        <v>14575</v>
      </c>
      <c r="E537">
        <v>11</v>
      </c>
      <c r="F537">
        <v>2</v>
      </c>
      <c r="G537">
        <v>0.11786357570537501</v>
      </c>
      <c r="H537">
        <v>0.47145430282150302</v>
      </c>
      <c r="I537" t="s">
        <v>13919</v>
      </c>
    </row>
    <row r="538" spans="1:9" x14ac:dyDescent="0.25">
      <c r="A538" s="2" t="s">
        <v>14576</v>
      </c>
      <c r="C538" s="3" t="str">
        <f>HYPERLINK("http://amigo.geneontology.org/amigo/term/GO:0032535","GO:0032535")</f>
        <v>GO:0032535</v>
      </c>
      <c r="D538" t="s">
        <v>14577</v>
      </c>
      <c r="E538">
        <v>11</v>
      </c>
      <c r="F538">
        <v>2</v>
      </c>
      <c r="G538">
        <v>0.11786357570537501</v>
      </c>
      <c r="H538">
        <v>0.47145430282150302</v>
      </c>
      <c r="I538" t="s">
        <v>13919</v>
      </c>
    </row>
    <row r="539" spans="1:9" x14ac:dyDescent="0.25">
      <c r="A539" s="2" t="s">
        <v>14578</v>
      </c>
      <c r="C539" s="3" t="str">
        <f>HYPERLINK("http://amigo.geneontology.org/amigo/term/GO:0030832","GO:0030832")</f>
        <v>GO:0030832</v>
      </c>
      <c r="D539" t="s">
        <v>14579</v>
      </c>
      <c r="E539">
        <v>11</v>
      </c>
      <c r="F539">
        <v>2</v>
      </c>
      <c r="G539">
        <v>0.11786357570537501</v>
      </c>
      <c r="H539">
        <v>0.47145430282150302</v>
      </c>
      <c r="I539" t="s">
        <v>13919</v>
      </c>
    </row>
    <row r="540" spans="1:9" x14ac:dyDescent="0.25">
      <c r="A540" s="2" t="s">
        <v>14316</v>
      </c>
      <c r="C540" s="3" t="str">
        <f>HYPERLINK("http://amigo.geneontology.org/amigo/term/GO:0008064","GO:0008064")</f>
        <v>GO:0008064</v>
      </c>
      <c r="D540" t="s">
        <v>14580</v>
      </c>
      <c r="E540">
        <v>11</v>
      </c>
      <c r="F540">
        <v>2</v>
      </c>
      <c r="G540">
        <v>0.11786357570537501</v>
      </c>
      <c r="H540">
        <v>0.47145430282150302</v>
      </c>
      <c r="I540" t="s">
        <v>13919</v>
      </c>
    </row>
    <row r="541" spans="1:9" x14ac:dyDescent="0.25">
      <c r="A541" s="2" t="s">
        <v>14581</v>
      </c>
      <c r="C541" s="3" t="str">
        <f>HYPERLINK("http://amigo.geneontology.org/amigo/term/GO:0051129","GO:0051129")</f>
        <v>GO:0051129</v>
      </c>
      <c r="D541" t="s">
        <v>14582</v>
      </c>
      <c r="E541">
        <v>11</v>
      </c>
      <c r="F541">
        <v>2</v>
      </c>
      <c r="G541">
        <v>0.11786357570537501</v>
      </c>
      <c r="H541">
        <v>0.47145430282150302</v>
      </c>
      <c r="I541" t="s">
        <v>13919</v>
      </c>
    </row>
    <row r="542" spans="1:9" x14ac:dyDescent="0.25">
      <c r="A542" s="2" t="s">
        <v>14583</v>
      </c>
      <c r="C542" s="3" t="str">
        <f>HYPERLINK("http://amigo.geneontology.org/amigo/term/GO:0010639","GO:0010639")</f>
        <v>GO:0010639</v>
      </c>
      <c r="D542" t="s">
        <v>14584</v>
      </c>
      <c r="E542">
        <v>11</v>
      </c>
      <c r="F542">
        <v>2</v>
      </c>
      <c r="G542">
        <v>0.11786357570537501</v>
      </c>
      <c r="H542">
        <v>0.47145430282150302</v>
      </c>
      <c r="I542" t="s">
        <v>13919</v>
      </c>
    </row>
    <row r="543" spans="1:9" x14ac:dyDescent="0.25">
      <c r="A543" s="2" t="s">
        <v>14585</v>
      </c>
      <c r="C543" s="3" t="str">
        <f>HYPERLINK("http://amigo.geneontology.org/amigo/term/GO:0032271","GO:0032271")</f>
        <v>GO:0032271</v>
      </c>
      <c r="D543" t="s">
        <v>14586</v>
      </c>
      <c r="E543">
        <v>11</v>
      </c>
      <c r="F543">
        <v>2</v>
      </c>
      <c r="G543">
        <v>0.11786357570537501</v>
      </c>
      <c r="H543">
        <v>0.47145430282150302</v>
      </c>
      <c r="I543" t="s">
        <v>13919</v>
      </c>
    </row>
    <row r="544" spans="1:9" x14ac:dyDescent="0.25">
      <c r="A544" s="2" t="s">
        <v>14587</v>
      </c>
      <c r="C544" s="3" t="str">
        <f>HYPERLINK("http://amigo.geneontology.org/amigo/term/GO:0030833","GO:0030833")</f>
        <v>GO:0030833</v>
      </c>
      <c r="D544" t="s">
        <v>14588</v>
      </c>
      <c r="E544">
        <v>11</v>
      </c>
      <c r="F544">
        <v>2</v>
      </c>
      <c r="G544">
        <v>0.11786357570537501</v>
      </c>
      <c r="H544">
        <v>0.47145430282150302</v>
      </c>
      <c r="I544" t="s">
        <v>13919</v>
      </c>
    </row>
    <row r="545" spans="1:9" x14ac:dyDescent="0.25">
      <c r="A545" s="2" t="s">
        <v>14589</v>
      </c>
      <c r="C545" s="3" t="str">
        <f>HYPERLINK("http://amigo.geneontology.org/amigo/term/GO:0006779","GO:0006779")</f>
        <v>GO:0006779</v>
      </c>
      <c r="D545" t="s">
        <v>14590</v>
      </c>
      <c r="E545">
        <v>11</v>
      </c>
      <c r="F545">
        <v>2</v>
      </c>
      <c r="G545">
        <v>0.11786357570537501</v>
      </c>
      <c r="H545">
        <v>0.47145430282150302</v>
      </c>
      <c r="I545" t="s">
        <v>14332</v>
      </c>
    </row>
    <row r="546" spans="1:9" x14ac:dyDescent="0.25">
      <c r="A546" s="2" t="s">
        <v>14591</v>
      </c>
      <c r="C546" s="3" t="str">
        <f>HYPERLINK("http://amigo.geneontology.org/amigo/term/GO:0098754","GO:0098754")</f>
        <v>GO:0098754</v>
      </c>
      <c r="D546" t="s">
        <v>14592</v>
      </c>
      <c r="E546">
        <v>11</v>
      </c>
      <c r="F546">
        <v>2</v>
      </c>
      <c r="G546">
        <v>0.11786357570537501</v>
      </c>
      <c r="H546">
        <v>0.47145430282150302</v>
      </c>
      <c r="I546" t="s">
        <v>14346</v>
      </c>
    </row>
    <row r="547" spans="1:9" x14ac:dyDescent="0.25">
      <c r="A547" s="2" t="s">
        <v>14593</v>
      </c>
      <c r="C547" s="3" t="str">
        <f>HYPERLINK("http://amigo.geneontology.org/amigo/term/GO:1990748","GO:1990748")</f>
        <v>GO:1990748</v>
      </c>
      <c r="D547" t="s">
        <v>14594</v>
      </c>
      <c r="E547">
        <v>11</v>
      </c>
      <c r="F547">
        <v>2</v>
      </c>
      <c r="G547">
        <v>0.11786357570537501</v>
      </c>
      <c r="H547">
        <v>0.47145430282150302</v>
      </c>
      <c r="I547" t="s">
        <v>14346</v>
      </c>
    </row>
    <row r="548" spans="1:9" x14ac:dyDescent="0.25">
      <c r="A548" s="2" t="s">
        <v>14595</v>
      </c>
      <c r="C548" s="3" t="str">
        <f>HYPERLINK("http://amigo.geneontology.org/amigo/term/GO:0016567","GO:0016567")</f>
        <v>GO:0016567</v>
      </c>
      <c r="D548" t="s">
        <v>14596</v>
      </c>
      <c r="E548">
        <v>11</v>
      </c>
      <c r="F548">
        <v>2</v>
      </c>
      <c r="G548">
        <v>0.11786357570537501</v>
      </c>
      <c r="H548">
        <v>0.47145430282150302</v>
      </c>
      <c r="I548" t="s">
        <v>14597</v>
      </c>
    </row>
    <row r="549" spans="1:9" x14ac:dyDescent="0.25">
      <c r="A549" s="2" t="s">
        <v>14598</v>
      </c>
      <c r="C549" s="3" t="str">
        <f>HYPERLINK("http://amigo.geneontology.org/amigo/term/GO:0009058","GO:0009058")</f>
        <v>GO:0009058</v>
      </c>
      <c r="D549" t="s">
        <v>5724</v>
      </c>
      <c r="E549">
        <v>813</v>
      </c>
      <c r="F549">
        <v>52</v>
      </c>
      <c r="G549">
        <v>0.11970906058397</v>
      </c>
      <c r="H549">
        <v>0.47883624233588201</v>
      </c>
      <c r="I549" t="s">
        <v>14599</v>
      </c>
    </row>
    <row r="550" spans="1:9" x14ac:dyDescent="0.25">
      <c r="A550" s="2" t="s">
        <v>14600</v>
      </c>
      <c r="C550" s="3" t="str">
        <f>HYPERLINK("http://amigo.geneontology.org/amigo/term/GO:0043632","GO:0043632")</f>
        <v>GO:0043632</v>
      </c>
      <c r="D550" t="s">
        <v>10549</v>
      </c>
      <c r="E550">
        <v>35</v>
      </c>
      <c r="F550">
        <v>4</v>
      </c>
      <c r="G550">
        <v>0.12091944252927</v>
      </c>
      <c r="H550">
        <v>0.48367777011708102</v>
      </c>
      <c r="I550" t="s">
        <v>14601</v>
      </c>
    </row>
    <row r="551" spans="1:9" x14ac:dyDescent="0.25">
      <c r="A551" s="2" t="s">
        <v>14602</v>
      </c>
      <c r="C551" s="3" t="str">
        <f>HYPERLINK("http://amigo.geneontology.org/amigo/term/GO:0019941","GO:0019941")</f>
        <v>GO:0019941</v>
      </c>
      <c r="D551" t="s">
        <v>10551</v>
      </c>
      <c r="E551">
        <v>35</v>
      </c>
      <c r="F551">
        <v>4</v>
      </c>
      <c r="G551">
        <v>0.12091944252927</v>
      </c>
      <c r="H551">
        <v>0.48367777011708102</v>
      </c>
      <c r="I551" t="s">
        <v>14601</v>
      </c>
    </row>
    <row r="552" spans="1:9" x14ac:dyDescent="0.25">
      <c r="A552" s="2" t="s">
        <v>14603</v>
      </c>
      <c r="C552" s="3" t="str">
        <f>HYPERLINK("http://amigo.geneontology.org/amigo/term/GO:0006511","GO:0006511")</f>
        <v>GO:0006511</v>
      </c>
      <c r="D552" t="s">
        <v>10545</v>
      </c>
      <c r="E552">
        <v>35</v>
      </c>
      <c r="F552">
        <v>4</v>
      </c>
      <c r="G552">
        <v>0.12091944252927</v>
      </c>
      <c r="H552">
        <v>0.48367777011708102</v>
      </c>
      <c r="I552" t="s">
        <v>14601</v>
      </c>
    </row>
    <row r="553" spans="1:9" x14ac:dyDescent="0.25">
      <c r="A553" s="2" t="s">
        <v>14604</v>
      </c>
      <c r="C553" s="3" t="str">
        <f>HYPERLINK("http://amigo.geneontology.org/amigo/term/GO:0016701","GO:0016701")</f>
        <v>GO:0016701</v>
      </c>
      <c r="D553" t="s">
        <v>14605</v>
      </c>
      <c r="E553">
        <v>23</v>
      </c>
      <c r="F553">
        <v>3</v>
      </c>
      <c r="G553">
        <v>0.12736562159222201</v>
      </c>
      <c r="H553">
        <v>0.50946248636889102</v>
      </c>
      <c r="I553" t="s">
        <v>14606</v>
      </c>
    </row>
    <row r="554" spans="1:9" x14ac:dyDescent="0.25">
      <c r="A554" s="2" t="s">
        <v>14556</v>
      </c>
      <c r="C554" s="3" t="str">
        <f>HYPERLINK("http://amigo.geneontology.org/amigo/term/GO:0005509","GO:0005509")</f>
        <v>GO:0005509</v>
      </c>
      <c r="D554" t="s">
        <v>323</v>
      </c>
      <c r="E554">
        <v>36</v>
      </c>
      <c r="F554">
        <v>4</v>
      </c>
      <c r="G554">
        <v>0.130536217833711</v>
      </c>
      <c r="H554">
        <v>0.522144871334845</v>
      </c>
      <c r="I554" t="s">
        <v>14607</v>
      </c>
    </row>
    <row r="555" spans="1:9" x14ac:dyDescent="0.25">
      <c r="A555" s="2" t="s">
        <v>14608</v>
      </c>
      <c r="C555" s="3" t="str">
        <f>HYPERLINK("http://amigo.geneontology.org/amigo/term/GO:1901576","GO:1901576")</f>
        <v>GO:1901576</v>
      </c>
      <c r="D555" t="s">
        <v>6860</v>
      </c>
      <c r="E555">
        <v>768</v>
      </c>
      <c r="F555">
        <v>49</v>
      </c>
      <c r="G555">
        <v>0.13227562518163</v>
      </c>
      <c r="H555">
        <v>0.52910250072652298</v>
      </c>
      <c r="I555" t="s">
        <v>14561</v>
      </c>
    </row>
    <row r="556" spans="1:9" x14ac:dyDescent="0.25">
      <c r="A556" s="2" t="s">
        <v>14609</v>
      </c>
      <c r="C556" s="3" t="str">
        <f>HYPERLINK("http://amigo.geneontology.org/amigo/term/GO:1902903","GO:1902903")</f>
        <v>GO:1902903</v>
      </c>
      <c r="D556" t="s">
        <v>14610</v>
      </c>
      <c r="E556">
        <v>12</v>
      </c>
      <c r="F556">
        <v>2</v>
      </c>
      <c r="G556">
        <v>0.13653839335276</v>
      </c>
      <c r="H556">
        <v>0.54615357341103998</v>
      </c>
      <c r="I556" t="s">
        <v>13919</v>
      </c>
    </row>
    <row r="557" spans="1:9" x14ac:dyDescent="0.25">
      <c r="A557" s="2" t="s">
        <v>14611</v>
      </c>
      <c r="C557" s="3" t="str">
        <f>HYPERLINK("http://amigo.geneontology.org/amigo/term/GO:0110053","GO:0110053")</f>
        <v>GO:0110053</v>
      </c>
      <c r="D557" t="s">
        <v>14612</v>
      </c>
      <c r="E557">
        <v>12</v>
      </c>
      <c r="F557">
        <v>2</v>
      </c>
      <c r="G557">
        <v>0.13653839335276</v>
      </c>
      <c r="H557">
        <v>0.54615357341103998</v>
      </c>
      <c r="I557" t="s">
        <v>13919</v>
      </c>
    </row>
    <row r="558" spans="1:9" x14ac:dyDescent="0.25">
      <c r="A558" s="2" t="s">
        <v>14613</v>
      </c>
      <c r="C558" s="3" t="str">
        <f>HYPERLINK("http://amigo.geneontology.org/amigo/term/GO:0033014","GO:0033014")</f>
        <v>GO:0033014</v>
      </c>
      <c r="D558" t="s">
        <v>14614</v>
      </c>
      <c r="E558">
        <v>12</v>
      </c>
      <c r="F558">
        <v>2</v>
      </c>
      <c r="G558">
        <v>0.13653839335276</v>
      </c>
      <c r="H558">
        <v>0.54615357341103998</v>
      </c>
      <c r="I558" t="s">
        <v>14332</v>
      </c>
    </row>
    <row r="559" spans="1:9" x14ac:dyDescent="0.25">
      <c r="A559" s="2" t="s">
        <v>14615</v>
      </c>
      <c r="C559" s="3" t="str">
        <f>HYPERLINK("http://amigo.geneontology.org/amigo/term/GO:0006760","GO:0006760")</f>
        <v>GO:0006760</v>
      </c>
      <c r="D559" t="s">
        <v>14616</v>
      </c>
      <c r="E559">
        <v>12</v>
      </c>
      <c r="F559">
        <v>2</v>
      </c>
      <c r="G559">
        <v>0.13653839335276</v>
      </c>
      <c r="H559">
        <v>0.54615357341103998</v>
      </c>
      <c r="I559" t="s">
        <v>14617</v>
      </c>
    </row>
    <row r="560" spans="1:9" x14ac:dyDescent="0.25">
      <c r="C560" s="3" t="str">
        <f>HYPERLINK("http://amigo.geneontology.org/amigo/term/GO:0003993","GO:0003993")</f>
        <v>GO:0003993</v>
      </c>
      <c r="D560" t="s">
        <v>1377</v>
      </c>
      <c r="E560">
        <v>12</v>
      </c>
      <c r="F560">
        <v>2</v>
      </c>
      <c r="G560">
        <v>0.13653839335276</v>
      </c>
      <c r="H560">
        <v>0.54615357341103998</v>
      </c>
      <c r="I560" t="s">
        <v>14618</v>
      </c>
    </row>
    <row r="561" spans="3:9" x14ac:dyDescent="0.25">
      <c r="C561" s="3" t="str">
        <f>HYPERLINK("http://amigo.geneontology.org/amigo/term/GO:0009074","GO:0009074")</f>
        <v>GO:0009074</v>
      </c>
      <c r="D561" t="s">
        <v>6930</v>
      </c>
      <c r="E561">
        <v>12</v>
      </c>
      <c r="F561">
        <v>2</v>
      </c>
      <c r="G561">
        <v>0.13653839335276</v>
      </c>
      <c r="H561">
        <v>0.54615357341103998</v>
      </c>
      <c r="I561" t="s">
        <v>14619</v>
      </c>
    </row>
    <row r="562" spans="3:9" x14ac:dyDescent="0.25">
      <c r="C562" s="3" t="str">
        <f>HYPERLINK("http://amigo.geneontology.org/amigo/term/GO:0009636","GO:0009636")</f>
        <v>GO:0009636</v>
      </c>
      <c r="D562" t="s">
        <v>14620</v>
      </c>
      <c r="E562">
        <v>12</v>
      </c>
      <c r="F562">
        <v>2</v>
      </c>
      <c r="G562">
        <v>0.13653839335276</v>
      </c>
      <c r="H562">
        <v>0.54615357341103998</v>
      </c>
      <c r="I562" t="s">
        <v>14346</v>
      </c>
    </row>
    <row r="563" spans="3:9" x14ac:dyDescent="0.25">
      <c r="C563" s="3" t="str">
        <f>HYPERLINK("http://amigo.geneontology.org/amigo/term/GO:0097237","GO:0097237")</f>
        <v>GO:0097237</v>
      </c>
      <c r="D563" t="s">
        <v>14621</v>
      </c>
      <c r="E563">
        <v>12</v>
      </c>
      <c r="F563">
        <v>2</v>
      </c>
      <c r="G563">
        <v>0.13653839335276</v>
      </c>
      <c r="H563">
        <v>0.54615357341103998</v>
      </c>
      <c r="I563" t="s">
        <v>14346</v>
      </c>
    </row>
    <row r="564" spans="3:9" x14ac:dyDescent="0.25">
      <c r="C564" s="3" t="str">
        <f>HYPERLINK("http://amigo.geneontology.org/amigo/term/GO:0009084","GO:0009084")</f>
        <v>GO:0009084</v>
      </c>
      <c r="D564" t="s">
        <v>10184</v>
      </c>
      <c r="E564">
        <v>12</v>
      </c>
      <c r="F564">
        <v>2</v>
      </c>
      <c r="G564">
        <v>0.13653839335276</v>
      </c>
      <c r="H564">
        <v>0.54615357341103998</v>
      </c>
      <c r="I564" t="s">
        <v>14016</v>
      </c>
    </row>
    <row r="565" spans="3:9" x14ac:dyDescent="0.25">
      <c r="C565" s="3" t="str">
        <f>HYPERLINK("http://amigo.geneontology.org/amigo/term/GO:0042430","GO:0042430")</f>
        <v>GO:0042430</v>
      </c>
      <c r="D565" t="s">
        <v>6167</v>
      </c>
      <c r="E565">
        <v>12</v>
      </c>
      <c r="F565">
        <v>2</v>
      </c>
      <c r="G565">
        <v>0.13653839335276</v>
      </c>
      <c r="H565">
        <v>0.54615357341103998</v>
      </c>
      <c r="I565" t="s">
        <v>14622</v>
      </c>
    </row>
    <row r="566" spans="3:9" x14ac:dyDescent="0.25">
      <c r="C566" s="3" t="str">
        <f>HYPERLINK("http://amigo.geneontology.org/amigo/term/GO:0006586","GO:0006586")</f>
        <v>GO:0006586</v>
      </c>
      <c r="D566" t="s">
        <v>6139</v>
      </c>
      <c r="E566">
        <v>12</v>
      </c>
      <c r="F566">
        <v>2</v>
      </c>
      <c r="G566">
        <v>0.13653839335276</v>
      </c>
      <c r="H566">
        <v>0.54615357341103998</v>
      </c>
      <c r="I566" t="s">
        <v>14622</v>
      </c>
    </row>
    <row r="567" spans="3:9" x14ac:dyDescent="0.25">
      <c r="C567" s="3" t="str">
        <f>HYPERLINK("http://amigo.geneontology.org/amigo/term/GO:0006568","GO:0006568")</f>
        <v>GO:0006568</v>
      </c>
      <c r="D567" t="s">
        <v>6142</v>
      </c>
      <c r="E567">
        <v>12</v>
      </c>
      <c r="F567">
        <v>2</v>
      </c>
      <c r="G567">
        <v>0.13653839335276</v>
      </c>
      <c r="H567">
        <v>0.54615357341103998</v>
      </c>
      <c r="I567" t="s">
        <v>14622</v>
      </c>
    </row>
    <row r="568" spans="3:9" x14ac:dyDescent="0.25">
      <c r="C568" s="3" t="str">
        <f>HYPERLINK("http://amigo.geneontology.org/amigo/term/GO:0006979","GO:0006979")</f>
        <v>GO:0006979</v>
      </c>
      <c r="D568" t="s">
        <v>985</v>
      </c>
      <c r="E568">
        <v>24</v>
      </c>
      <c r="F568">
        <v>3</v>
      </c>
      <c r="G568">
        <v>0.140004001068671</v>
      </c>
      <c r="H568">
        <v>0.56001600427468401</v>
      </c>
      <c r="I568" t="s">
        <v>14623</v>
      </c>
    </row>
    <row r="569" spans="3:9" x14ac:dyDescent="0.25">
      <c r="C569" s="3" t="str">
        <f>HYPERLINK("http://amigo.geneontology.org/amigo/term/GO:0048523","GO:0048523")</f>
        <v>GO:0048523</v>
      </c>
      <c r="D569" t="s">
        <v>7240</v>
      </c>
      <c r="E569">
        <v>38</v>
      </c>
      <c r="F569">
        <v>4</v>
      </c>
      <c r="G569">
        <v>0.15067049227955101</v>
      </c>
      <c r="H569">
        <v>0.60268196911820704</v>
      </c>
      <c r="I569" t="s">
        <v>14624</v>
      </c>
    </row>
    <row r="570" spans="3:9" x14ac:dyDescent="0.25">
      <c r="C570" s="3" t="str">
        <f>HYPERLINK("http://amigo.geneontology.org/amigo/term/GO:1901615","GO:1901615")</f>
        <v>GO:1901615</v>
      </c>
      <c r="D570" t="s">
        <v>147</v>
      </c>
      <c r="E570">
        <v>38</v>
      </c>
      <c r="F570">
        <v>4</v>
      </c>
      <c r="G570">
        <v>0.15067049227955101</v>
      </c>
      <c r="H570">
        <v>0.60268196911820704</v>
      </c>
      <c r="I570" t="s">
        <v>14625</v>
      </c>
    </row>
    <row r="571" spans="3:9" x14ac:dyDescent="0.25">
      <c r="C571" s="3" t="str">
        <f>HYPERLINK("http://amigo.geneontology.org/amigo/term/GO:0009064","GO:0009064")</f>
        <v>GO:0009064</v>
      </c>
      <c r="D571" t="s">
        <v>7427</v>
      </c>
      <c r="E571">
        <v>25</v>
      </c>
      <c r="F571">
        <v>3</v>
      </c>
      <c r="G571">
        <v>0.15304299198048099</v>
      </c>
      <c r="H571">
        <v>0.61217196792192496</v>
      </c>
      <c r="I571" t="s">
        <v>14626</v>
      </c>
    </row>
    <row r="572" spans="3:9" x14ac:dyDescent="0.25">
      <c r="C572" s="3" t="str">
        <f>HYPERLINK("http://amigo.geneontology.org/amigo/term/GO:0050790","GO:0050790")</f>
        <v>GO:0050790</v>
      </c>
      <c r="D572" t="s">
        <v>1064</v>
      </c>
      <c r="E572">
        <v>25</v>
      </c>
      <c r="F572">
        <v>3</v>
      </c>
      <c r="G572">
        <v>0.15304299198048099</v>
      </c>
      <c r="H572">
        <v>0.61217196792192496</v>
      </c>
      <c r="I572" t="s">
        <v>14627</v>
      </c>
    </row>
    <row r="573" spans="3:9" x14ac:dyDescent="0.25">
      <c r="C573" s="3" t="str">
        <f>HYPERLINK("http://amigo.geneontology.org/amigo/term/GO:0009066","GO:0009066")</f>
        <v>GO:0009066</v>
      </c>
      <c r="D573" t="s">
        <v>5136</v>
      </c>
      <c r="E573">
        <v>25</v>
      </c>
      <c r="F573">
        <v>3</v>
      </c>
      <c r="G573">
        <v>0.15304299198048099</v>
      </c>
      <c r="H573">
        <v>0.61217196792192496</v>
      </c>
      <c r="I573" t="s">
        <v>13989</v>
      </c>
    </row>
    <row r="574" spans="3:9" x14ac:dyDescent="0.25">
      <c r="C574" s="3" t="str">
        <f>HYPERLINK("http://amigo.geneontology.org/amigo/term/GO:0043562","GO:0043562")</f>
        <v>GO:0043562</v>
      </c>
      <c r="D574" t="s">
        <v>635</v>
      </c>
      <c r="E574">
        <v>3</v>
      </c>
      <c r="F574">
        <v>1</v>
      </c>
      <c r="G574">
        <v>0.15488058594531401</v>
      </c>
      <c r="H574">
        <v>0.46464175783594402</v>
      </c>
      <c r="I574" t="s">
        <v>13559</v>
      </c>
    </row>
    <row r="575" spans="3:9" x14ac:dyDescent="0.25">
      <c r="C575" s="3" t="str">
        <f>HYPERLINK("http://amigo.geneontology.org/amigo/term/GO:0006995","GO:0006995")</f>
        <v>GO:0006995</v>
      </c>
      <c r="D575" t="s">
        <v>14628</v>
      </c>
      <c r="E575">
        <v>3</v>
      </c>
      <c r="F575">
        <v>1</v>
      </c>
      <c r="G575">
        <v>0.15488058594531401</v>
      </c>
      <c r="H575">
        <v>0.46464175783594402</v>
      </c>
      <c r="I575" t="s">
        <v>13559</v>
      </c>
    </row>
    <row r="576" spans="3:9" x14ac:dyDescent="0.25">
      <c r="C576" s="3" t="str">
        <f>HYPERLINK("http://amigo.geneontology.org/amigo/term/GO:0043900","GO:0043900")</f>
        <v>GO:0043900</v>
      </c>
      <c r="D576" t="s">
        <v>6185</v>
      </c>
      <c r="E576">
        <v>3</v>
      </c>
      <c r="F576">
        <v>1</v>
      </c>
      <c r="G576">
        <v>0.15488058594531401</v>
      </c>
      <c r="H576">
        <v>0.46464175783594402</v>
      </c>
      <c r="I576" t="s">
        <v>13559</v>
      </c>
    </row>
    <row r="577" spans="3:9" x14ac:dyDescent="0.25">
      <c r="C577" s="3" t="str">
        <f>HYPERLINK("http://amigo.geneontology.org/amigo/term/GO:0016307","GO:0016307")</f>
        <v>GO:0016307</v>
      </c>
      <c r="D577" t="s">
        <v>370</v>
      </c>
      <c r="E577">
        <v>3</v>
      </c>
      <c r="F577">
        <v>1</v>
      </c>
      <c r="G577">
        <v>0.15488058594531401</v>
      </c>
      <c r="H577">
        <v>0.46464175783594402</v>
      </c>
      <c r="I577" t="s">
        <v>13559</v>
      </c>
    </row>
    <row r="578" spans="3:9" x14ac:dyDescent="0.25">
      <c r="C578" s="3" t="str">
        <f>HYPERLINK("http://amigo.geneontology.org/amigo/term/GO:0016560","GO:0016560")</f>
        <v>GO:0016560</v>
      </c>
      <c r="D578" t="s">
        <v>14629</v>
      </c>
      <c r="E578">
        <v>3</v>
      </c>
      <c r="F578">
        <v>1</v>
      </c>
      <c r="G578">
        <v>0.15488058594531401</v>
      </c>
      <c r="H578">
        <v>0.46464175783594402</v>
      </c>
      <c r="I578" t="s">
        <v>13592</v>
      </c>
    </row>
    <row r="579" spans="3:9" x14ac:dyDescent="0.25">
      <c r="C579" s="3" t="str">
        <f>HYPERLINK("http://amigo.geneontology.org/amigo/term/GO:0018208","GO:0018208")</f>
        <v>GO:0018208</v>
      </c>
      <c r="D579" t="s">
        <v>14630</v>
      </c>
      <c r="E579">
        <v>3</v>
      </c>
      <c r="F579">
        <v>1</v>
      </c>
      <c r="G579">
        <v>0.15488058594531401</v>
      </c>
      <c r="H579">
        <v>0.46464175783594402</v>
      </c>
      <c r="I579" t="s">
        <v>13610</v>
      </c>
    </row>
    <row r="580" spans="3:9" x14ac:dyDescent="0.25">
      <c r="C580" s="3" t="str">
        <f>HYPERLINK("http://amigo.geneontology.org/amigo/term/GO:0000413","GO:0000413")</f>
        <v>GO:0000413</v>
      </c>
      <c r="D580" t="s">
        <v>14631</v>
      </c>
      <c r="E580">
        <v>3</v>
      </c>
      <c r="F580">
        <v>1</v>
      </c>
      <c r="G580">
        <v>0.15488058594531401</v>
      </c>
      <c r="H580">
        <v>0.46464175783594402</v>
      </c>
      <c r="I580" t="s">
        <v>13610</v>
      </c>
    </row>
    <row r="581" spans="3:9" x14ac:dyDescent="0.25">
      <c r="C581" s="3" t="str">
        <f>HYPERLINK("http://amigo.geneontology.org/amigo/term/GO:0004128","GO:0004128")</f>
        <v>GO:0004128</v>
      </c>
      <c r="D581" t="s">
        <v>14632</v>
      </c>
      <c r="E581">
        <v>3</v>
      </c>
      <c r="F581">
        <v>1</v>
      </c>
      <c r="G581">
        <v>0.15488058594531401</v>
      </c>
      <c r="H581">
        <v>0.46464175783594402</v>
      </c>
      <c r="I581" t="s">
        <v>13626</v>
      </c>
    </row>
    <row r="582" spans="3:9" x14ac:dyDescent="0.25">
      <c r="C582" s="3" t="str">
        <f>HYPERLINK("http://amigo.geneontology.org/amigo/term/GO:0004826","GO:0004826")</f>
        <v>GO:0004826</v>
      </c>
      <c r="D582" t="s">
        <v>14633</v>
      </c>
      <c r="E582">
        <v>3</v>
      </c>
      <c r="F582">
        <v>1</v>
      </c>
      <c r="G582">
        <v>0.15488058594531401</v>
      </c>
      <c r="H582">
        <v>0.46464175783594402</v>
      </c>
      <c r="I582" t="s">
        <v>13649</v>
      </c>
    </row>
    <row r="583" spans="3:9" x14ac:dyDescent="0.25">
      <c r="C583" s="3" t="str">
        <f>HYPERLINK("http://amigo.geneontology.org/amigo/term/GO:0006432","GO:0006432")</f>
        <v>GO:0006432</v>
      </c>
      <c r="D583" t="s">
        <v>14634</v>
      </c>
      <c r="E583">
        <v>3</v>
      </c>
      <c r="F583">
        <v>1</v>
      </c>
      <c r="G583">
        <v>0.15488058594531401</v>
      </c>
      <c r="H583">
        <v>0.46464175783594402</v>
      </c>
      <c r="I583" t="s">
        <v>13649</v>
      </c>
    </row>
    <row r="584" spans="3:9" x14ac:dyDescent="0.25">
      <c r="C584" s="3" t="str">
        <f>HYPERLINK("http://amigo.geneontology.org/amigo/term/GO:0043244","GO:0043244")</f>
        <v>GO:0043244</v>
      </c>
      <c r="D584" t="s">
        <v>13171</v>
      </c>
      <c r="E584">
        <v>3</v>
      </c>
      <c r="F584">
        <v>1</v>
      </c>
      <c r="G584">
        <v>0.15488058594531401</v>
      </c>
      <c r="H584">
        <v>0.46464175783594402</v>
      </c>
      <c r="I584" t="s">
        <v>13671</v>
      </c>
    </row>
    <row r="585" spans="3:9" x14ac:dyDescent="0.25">
      <c r="C585" s="3" t="str">
        <f>HYPERLINK("http://amigo.geneontology.org/amigo/term/GO:0031333","GO:0031333")</f>
        <v>GO:0031333</v>
      </c>
      <c r="D585" t="s">
        <v>14635</v>
      </c>
      <c r="E585">
        <v>3</v>
      </c>
      <c r="F585">
        <v>1</v>
      </c>
      <c r="G585">
        <v>0.15488058594531401</v>
      </c>
      <c r="H585">
        <v>0.46464175783594402</v>
      </c>
      <c r="I585" t="s">
        <v>13671</v>
      </c>
    </row>
    <row r="586" spans="3:9" x14ac:dyDescent="0.25">
      <c r="C586" s="3" t="str">
        <f>HYPERLINK("http://amigo.geneontology.org/amigo/term/GO:0032272","GO:0032272")</f>
        <v>GO:0032272</v>
      </c>
      <c r="D586" t="s">
        <v>14636</v>
      </c>
      <c r="E586">
        <v>3</v>
      </c>
      <c r="F586">
        <v>1</v>
      </c>
      <c r="G586">
        <v>0.15488058594531401</v>
      </c>
      <c r="H586">
        <v>0.46464175783594402</v>
      </c>
      <c r="I586" t="s">
        <v>13671</v>
      </c>
    </row>
    <row r="587" spans="3:9" x14ac:dyDescent="0.25">
      <c r="C587" s="3" t="str">
        <f>HYPERLINK("http://amigo.geneontology.org/amigo/term/GO:0030837","GO:0030837")</f>
        <v>GO:0030837</v>
      </c>
      <c r="D587" t="s">
        <v>14637</v>
      </c>
      <c r="E587">
        <v>3</v>
      </c>
      <c r="F587">
        <v>1</v>
      </c>
      <c r="G587">
        <v>0.15488058594531401</v>
      </c>
      <c r="H587">
        <v>0.46464175783594402</v>
      </c>
      <c r="I587" t="s">
        <v>13671</v>
      </c>
    </row>
    <row r="588" spans="3:9" x14ac:dyDescent="0.25">
      <c r="C588" s="3" t="str">
        <f>HYPERLINK("http://amigo.geneontology.org/amigo/term/GO:0016774","GO:0016774")</f>
        <v>GO:0016774</v>
      </c>
      <c r="D588" t="s">
        <v>10125</v>
      </c>
      <c r="E588">
        <v>3</v>
      </c>
      <c r="F588">
        <v>1</v>
      </c>
      <c r="G588">
        <v>0.15488058594531401</v>
      </c>
      <c r="H588">
        <v>0.46464175783594402</v>
      </c>
      <c r="I588" t="s">
        <v>13692</v>
      </c>
    </row>
    <row r="589" spans="3:9" x14ac:dyDescent="0.25">
      <c r="C589" s="3" t="str">
        <f>HYPERLINK("http://amigo.geneontology.org/amigo/term/GO:1902410","GO:1902410")</f>
        <v>GO:1902410</v>
      </c>
      <c r="D589" t="s">
        <v>13041</v>
      </c>
      <c r="E589">
        <v>3</v>
      </c>
      <c r="F589">
        <v>1</v>
      </c>
      <c r="G589">
        <v>0.15488058594531401</v>
      </c>
      <c r="H589">
        <v>0.46464175783594402</v>
      </c>
      <c r="I589" t="s">
        <v>13779</v>
      </c>
    </row>
    <row r="590" spans="3:9" x14ac:dyDescent="0.25">
      <c r="C590" s="3" t="str">
        <f>HYPERLINK("http://amigo.geneontology.org/amigo/term/GO:0004488","GO:0004488")</f>
        <v>GO:0004488</v>
      </c>
      <c r="D590" t="s">
        <v>14638</v>
      </c>
      <c r="E590">
        <v>3</v>
      </c>
      <c r="F590">
        <v>1</v>
      </c>
      <c r="G590">
        <v>0.15488058594531401</v>
      </c>
      <c r="H590">
        <v>0.46464175783594402</v>
      </c>
      <c r="I590" t="s">
        <v>13898</v>
      </c>
    </row>
    <row r="591" spans="3:9" x14ac:dyDescent="0.25">
      <c r="C591" s="3" t="str">
        <f>HYPERLINK("http://amigo.geneontology.org/amigo/term/GO:0004372","GO:0004372")</f>
        <v>GO:0004372</v>
      </c>
      <c r="D591" t="s">
        <v>14639</v>
      </c>
      <c r="E591">
        <v>3</v>
      </c>
      <c r="F591">
        <v>1</v>
      </c>
      <c r="G591">
        <v>0.15488058594531401</v>
      </c>
      <c r="H591">
        <v>0.46464175783594402</v>
      </c>
      <c r="I591" t="s">
        <v>13954</v>
      </c>
    </row>
    <row r="592" spans="3:9" x14ac:dyDescent="0.25">
      <c r="C592" s="3" t="str">
        <f>HYPERLINK("http://amigo.geneontology.org/amigo/term/GO:0006570","GO:0006570")</f>
        <v>GO:0006570</v>
      </c>
      <c r="D592" t="s">
        <v>14640</v>
      </c>
      <c r="E592">
        <v>3</v>
      </c>
      <c r="F592">
        <v>1</v>
      </c>
      <c r="G592">
        <v>0.15488058594531401</v>
      </c>
      <c r="H592">
        <v>0.46464175783594402</v>
      </c>
      <c r="I592" t="s">
        <v>13963</v>
      </c>
    </row>
    <row r="593" spans="3:9" x14ac:dyDescent="0.25">
      <c r="C593" s="3" t="str">
        <f>HYPERLINK("http://amigo.geneontology.org/amigo/term/GO:0004411","GO:0004411")</f>
        <v>GO:0004411</v>
      </c>
      <c r="D593" t="s">
        <v>14641</v>
      </c>
      <c r="E593">
        <v>3</v>
      </c>
      <c r="F593">
        <v>1</v>
      </c>
      <c r="G593">
        <v>0.15488058594531401</v>
      </c>
      <c r="H593">
        <v>0.46464175783594402</v>
      </c>
      <c r="I593" t="s">
        <v>13963</v>
      </c>
    </row>
    <row r="594" spans="3:9" x14ac:dyDescent="0.25">
      <c r="C594" s="3" t="str">
        <f>HYPERLINK("http://amigo.geneontology.org/amigo/term/GO:0043174","GO:0043174")</f>
        <v>GO:0043174</v>
      </c>
      <c r="D594" t="s">
        <v>14642</v>
      </c>
      <c r="E594">
        <v>3</v>
      </c>
      <c r="F594">
        <v>1</v>
      </c>
      <c r="G594">
        <v>0.15488058594531401</v>
      </c>
      <c r="H594">
        <v>0.46464175783594402</v>
      </c>
      <c r="I594" t="s">
        <v>13980</v>
      </c>
    </row>
    <row r="595" spans="3:9" x14ac:dyDescent="0.25">
      <c r="C595" s="3" t="str">
        <f>HYPERLINK("http://amigo.geneontology.org/amigo/term/GO:0006166","GO:0006166")</f>
        <v>GO:0006166</v>
      </c>
      <c r="D595" t="s">
        <v>14643</v>
      </c>
      <c r="E595">
        <v>3</v>
      </c>
      <c r="F595">
        <v>1</v>
      </c>
      <c r="G595">
        <v>0.15488058594531401</v>
      </c>
      <c r="H595">
        <v>0.46464175783594402</v>
      </c>
      <c r="I595" t="s">
        <v>13980</v>
      </c>
    </row>
    <row r="596" spans="3:9" x14ac:dyDescent="0.25">
      <c r="C596" s="3" t="str">
        <f>HYPERLINK("http://amigo.geneontology.org/amigo/term/GO:0004075","GO:0004075")</f>
        <v>GO:0004075</v>
      </c>
      <c r="D596" t="s">
        <v>14644</v>
      </c>
      <c r="E596">
        <v>3</v>
      </c>
      <c r="F596">
        <v>1</v>
      </c>
      <c r="G596">
        <v>0.15488058594531401</v>
      </c>
      <c r="H596">
        <v>0.46464175783594402</v>
      </c>
      <c r="I596" t="s">
        <v>13998</v>
      </c>
    </row>
    <row r="597" spans="3:9" x14ac:dyDescent="0.25">
      <c r="C597" s="3" t="str">
        <f>HYPERLINK("http://amigo.geneontology.org/amigo/term/GO:0045239","GO:0045239")</f>
        <v>GO:0045239</v>
      </c>
      <c r="D597" t="s">
        <v>14645</v>
      </c>
      <c r="E597">
        <v>3</v>
      </c>
      <c r="F597">
        <v>1</v>
      </c>
      <c r="G597">
        <v>0.15488058594531401</v>
      </c>
      <c r="H597">
        <v>0.46464175783594402</v>
      </c>
      <c r="I597" t="s">
        <v>14004</v>
      </c>
    </row>
    <row r="598" spans="3:9" x14ac:dyDescent="0.25">
      <c r="C598" s="3" t="str">
        <f>HYPERLINK("http://amigo.geneontology.org/amigo/term/GO:0000305","GO:0000305")</f>
        <v>GO:0000305</v>
      </c>
      <c r="D598" t="s">
        <v>9806</v>
      </c>
      <c r="E598">
        <v>3</v>
      </c>
      <c r="F598">
        <v>1</v>
      </c>
      <c r="G598">
        <v>0.15488058594531401</v>
      </c>
      <c r="H598">
        <v>0.46464175783594402</v>
      </c>
      <c r="I598" t="s">
        <v>14006</v>
      </c>
    </row>
    <row r="599" spans="3:9" x14ac:dyDescent="0.25">
      <c r="C599" s="3" t="str">
        <f>HYPERLINK("http://amigo.geneontology.org/amigo/term/GO:0000303","GO:0000303")</f>
        <v>GO:0000303</v>
      </c>
      <c r="D599" t="s">
        <v>9807</v>
      </c>
      <c r="E599">
        <v>3</v>
      </c>
      <c r="F599">
        <v>1</v>
      </c>
      <c r="G599">
        <v>0.15488058594531401</v>
      </c>
      <c r="H599">
        <v>0.46464175783594402</v>
      </c>
      <c r="I599" t="s">
        <v>14006</v>
      </c>
    </row>
    <row r="600" spans="3:9" x14ac:dyDescent="0.25">
      <c r="C600" s="3" t="str">
        <f>HYPERLINK("http://amigo.geneontology.org/amigo/term/GO:0071450","GO:0071450")</f>
        <v>GO:0071450</v>
      </c>
      <c r="D600" t="s">
        <v>14646</v>
      </c>
      <c r="E600">
        <v>3</v>
      </c>
      <c r="F600">
        <v>1</v>
      </c>
      <c r="G600">
        <v>0.15488058594531401</v>
      </c>
      <c r="H600">
        <v>0.46464175783594402</v>
      </c>
      <c r="I600" t="s">
        <v>14006</v>
      </c>
    </row>
    <row r="601" spans="3:9" x14ac:dyDescent="0.25">
      <c r="C601" s="3" t="str">
        <f>HYPERLINK("http://amigo.geneontology.org/amigo/term/GO:0071451","GO:0071451")</f>
        <v>GO:0071451</v>
      </c>
      <c r="D601" t="s">
        <v>14647</v>
      </c>
      <c r="E601">
        <v>3</v>
      </c>
      <c r="F601">
        <v>1</v>
      </c>
      <c r="G601">
        <v>0.15488058594531401</v>
      </c>
      <c r="H601">
        <v>0.46464175783594402</v>
      </c>
      <c r="I601" t="s">
        <v>14006</v>
      </c>
    </row>
    <row r="602" spans="3:9" x14ac:dyDescent="0.25">
      <c r="C602" s="3" t="str">
        <f>HYPERLINK("http://amigo.geneontology.org/amigo/term/GO:0019430","GO:0019430")</f>
        <v>GO:0019430</v>
      </c>
      <c r="D602" t="s">
        <v>14648</v>
      </c>
      <c r="E602">
        <v>3</v>
      </c>
      <c r="F602">
        <v>1</v>
      </c>
      <c r="G602">
        <v>0.15488058594531401</v>
      </c>
      <c r="H602">
        <v>0.46464175783594402</v>
      </c>
      <c r="I602" t="s">
        <v>14006</v>
      </c>
    </row>
    <row r="603" spans="3:9" x14ac:dyDescent="0.25">
      <c r="C603" s="3" t="str">
        <f>HYPERLINK("http://amigo.geneontology.org/amigo/term/GO:0007568","GO:0007568")</f>
        <v>GO:0007568</v>
      </c>
      <c r="D603" t="s">
        <v>14649</v>
      </c>
      <c r="E603">
        <v>3</v>
      </c>
      <c r="F603">
        <v>1</v>
      </c>
      <c r="G603">
        <v>0.15488058594531401</v>
      </c>
      <c r="H603">
        <v>0.46464175783594402</v>
      </c>
      <c r="I603" t="s">
        <v>14006</v>
      </c>
    </row>
    <row r="604" spans="3:9" x14ac:dyDescent="0.25">
      <c r="C604" s="3" t="str">
        <f>HYPERLINK("http://amigo.geneontology.org/amigo/term/GO:0007569","GO:0007569")</f>
        <v>GO:0007569</v>
      </c>
      <c r="D604" t="s">
        <v>14650</v>
      </c>
      <c r="E604">
        <v>3</v>
      </c>
      <c r="F604">
        <v>1</v>
      </c>
      <c r="G604">
        <v>0.15488058594531401</v>
      </c>
      <c r="H604">
        <v>0.46464175783594402</v>
      </c>
      <c r="I604" t="s">
        <v>14006</v>
      </c>
    </row>
    <row r="605" spans="3:9" x14ac:dyDescent="0.25">
      <c r="C605" s="3" t="str">
        <f>HYPERLINK("http://amigo.geneontology.org/amigo/term/GO:0055076","GO:0055076")</f>
        <v>GO:0055076</v>
      </c>
      <c r="D605" t="s">
        <v>14651</v>
      </c>
      <c r="E605">
        <v>3</v>
      </c>
      <c r="F605">
        <v>1</v>
      </c>
      <c r="G605">
        <v>0.15488058594531401</v>
      </c>
      <c r="H605">
        <v>0.46464175783594402</v>
      </c>
      <c r="I605" t="s">
        <v>14006</v>
      </c>
    </row>
    <row r="606" spans="3:9" x14ac:dyDescent="0.25">
      <c r="C606" s="3" t="str">
        <f>HYPERLINK("http://amigo.geneontology.org/amigo/term/GO:0055070","GO:0055070")</f>
        <v>GO:0055070</v>
      </c>
      <c r="D606" t="s">
        <v>14652</v>
      </c>
      <c r="E606">
        <v>3</v>
      </c>
      <c r="F606">
        <v>1</v>
      </c>
      <c r="G606">
        <v>0.15488058594531401</v>
      </c>
      <c r="H606">
        <v>0.46464175783594402</v>
      </c>
      <c r="I606" t="s">
        <v>14006</v>
      </c>
    </row>
    <row r="607" spans="3:9" x14ac:dyDescent="0.25">
      <c r="C607" s="3" t="str">
        <f>HYPERLINK("http://amigo.geneontology.org/amigo/term/GO:0005544","GO:0005544")</f>
        <v>GO:0005544</v>
      </c>
      <c r="D607" t="s">
        <v>14653</v>
      </c>
      <c r="E607">
        <v>3</v>
      </c>
      <c r="F607">
        <v>1</v>
      </c>
      <c r="G607">
        <v>0.15488058594531401</v>
      </c>
      <c r="H607">
        <v>0.46464175783594402</v>
      </c>
      <c r="I607" t="s">
        <v>14017</v>
      </c>
    </row>
    <row r="608" spans="3:9" x14ac:dyDescent="0.25">
      <c r="C608" s="3" t="str">
        <f>HYPERLINK("http://amigo.geneontology.org/amigo/term/GO:0015368","GO:0015368")</f>
        <v>GO:0015368</v>
      </c>
      <c r="D608" t="s">
        <v>1102</v>
      </c>
      <c r="E608">
        <v>3</v>
      </c>
      <c r="F608">
        <v>1</v>
      </c>
      <c r="G608">
        <v>0.15488058594531401</v>
      </c>
      <c r="H608">
        <v>0.46464175783594402</v>
      </c>
      <c r="I608" t="s">
        <v>14022</v>
      </c>
    </row>
    <row r="609" spans="3:9" x14ac:dyDescent="0.25">
      <c r="C609" s="3" t="str">
        <f>HYPERLINK("http://amigo.geneontology.org/amigo/term/GO:0051139","GO:0051139")</f>
        <v>GO:0051139</v>
      </c>
      <c r="D609" t="s">
        <v>1105</v>
      </c>
      <c r="E609">
        <v>3</v>
      </c>
      <c r="F609">
        <v>1</v>
      </c>
      <c r="G609">
        <v>0.15488058594531401</v>
      </c>
      <c r="H609">
        <v>0.46464175783594402</v>
      </c>
      <c r="I609" t="s">
        <v>14022</v>
      </c>
    </row>
    <row r="610" spans="3:9" x14ac:dyDescent="0.25">
      <c r="C610" s="3" t="str">
        <f>HYPERLINK("http://amigo.geneontology.org/amigo/term/GO:0015369","GO:0015369")</f>
        <v>GO:0015369</v>
      </c>
      <c r="D610" t="s">
        <v>1107</v>
      </c>
      <c r="E610">
        <v>3</v>
      </c>
      <c r="F610">
        <v>1</v>
      </c>
      <c r="G610">
        <v>0.15488058594531401</v>
      </c>
      <c r="H610">
        <v>0.46464175783594402</v>
      </c>
      <c r="I610" t="s">
        <v>14022</v>
      </c>
    </row>
    <row r="611" spans="3:9" x14ac:dyDescent="0.25">
      <c r="C611" s="3" t="str">
        <f>HYPERLINK("http://amigo.geneontology.org/amigo/term/GO:0005451","GO:0005451")</f>
        <v>GO:0005451</v>
      </c>
      <c r="D611" t="s">
        <v>609</v>
      </c>
      <c r="E611">
        <v>3</v>
      </c>
      <c r="F611">
        <v>1</v>
      </c>
      <c r="G611">
        <v>0.15488058594531401</v>
      </c>
      <c r="H611">
        <v>0.46464175783594402</v>
      </c>
      <c r="I611" t="s">
        <v>14022</v>
      </c>
    </row>
    <row r="612" spans="3:9" x14ac:dyDescent="0.25">
      <c r="C612" s="3" t="str">
        <f>HYPERLINK("http://amigo.geneontology.org/amigo/term/GO:0047617","GO:0047617")</f>
        <v>GO:0047617</v>
      </c>
      <c r="D612" t="s">
        <v>14654</v>
      </c>
      <c r="E612">
        <v>3</v>
      </c>
      <c r="F612">
        <v>1</v>
      </c>
      <c r="G612">
        <v>0.15488058594531401</v>
      </c>
      <c r="H612">
        <v>0.46464175783594402</v>
      </c>
      <c r="I612" t="s">
        <v>14053</v>
      </c>
    </row>
    <row r="613" spans="3:9" x14ac:dyDescent="0.25">
      <c r="C613" s="3" t="str">
        <f>HYPERLINK("http://amigo.geneontology.org/amigo/term/GO:0006537","GO:0006537")</f>
        <v>GO:0006537</v>
      </c>
      <c r="D613" t="s">
        <v>14655</v>
      </c>
      <c r="E613">
        <v>3</v>
      </c>
      <c r="F613">
        <v>1</v>
      </c>
      <c r="G613">
        <v>0.15488058594531401</v>
      </c>
      <c r="H613">
        <v>0.46464175783594402</v>
      </c>
      <c r="I613" t="s">
        <v>14074</v>
      </c>
    </row>
    <row r="614" spans="3:9" x14ac:dyDescent="0.25">
      <c r="C614" s="3" t="str">
        <f>HYPERLINK("http://amigo.geneontology.org/amigo/term/GO:0042743","GO:0042743")</f>
        <v>GO:0042743</v>
      </c>
      <c r="D614" t="s">
        <v>1237</v>
      </c>
      <c r="E614">
        <v>3</v>
      </c>
      <c r="F614">
        <v>1</v>
      </c>
      <c r="G614">
        <v>0.15488058594531401</v>
      </c>
      <c r="H614">
        <v>0.46464175783594402</v>
      </c>
      <c r="I614" t="s">
        <v>14129</v>
      </c>
    </row>
    <row r="615" spans="3:9" x14ac:dyDescent="0.25">
      <c r="C615" s="3" t="str">
        <f>HYPERLINK("http://amigo.geneontology.org/amigo/term/GO:0006378","GO:0006378")</f>
        <v>GO:0006378</v>
      </c>
      <c r="D615" t="s">
        <v>14656</v>
      </c>
      <c r="E615">
        <v>3</v>
      </c>
      <c r="F615">
        <v>1</v>
      </c>
      <c r="G615">
        <v>0.15488058594531401</v>
      </c>
      <c r="H615">
        <v>0.46464175783594402</v>
      </c>
      <c r="I615" t="s">
        <v>14184</v>
      </c>
    </row>
    <row r="616" spans="3:9" x14ac:dyDescent="0.25">
      <c r="C616" s="3" t="str">
        <f>HYPERLINK("http://amigo.geneontology.org/amigo/term/GO:0006379","GO:0006379")</f>
        <v>GO:0006379</v>
      </c>
      <c r="D616" t="s">
        <v>14657</v>
      </c>
      <c r="E616">
        <v>3</v>
      </c>
      <c r="F616">
        <v>1</v>
      </c>
      <c r="G616">
        <v>0.15488058594531401</v>
      </c>
      <c r="H616">
        <v>0.46464175783594402</v>
      </c>
      <c r="I616" t="s">
        <v>14184</v>
      </c>
    </row>
    <row r="617" spans="3:9" x14ac:dyDescent="0.25">
      <c r="C617" s="3" t="str">
        <f>HYPERLINK("http://amigo.geneontology.org/amigo/term/GO:0043420","GO:0043420")</f>
        <v>GO:0043420</v>
      </c>
      <c r="D617" t="s">
        <v>14658</v>
      </c>
      <c r="E617">
        <v>3</v>
      </c>
      <c r="F617">
        <v>1</v>
      </c>
      <c r="G617">
        <v>0.15488058594531401</v>
      </c>
      <c r="H617">
        <v>0.46464175783594402</v>
      </c>
      <c r="I617" t="s">
        <v>14229</v>
      </c>
    </row>
    <row r="618" spans="3:9" x14ac:dyDescent="0.25">
      <c r="C618" s="3" t="str">
        <f>HYPERLINK("http://amigo.geneontology.org/amigo/term/GO:0046874","GO:0046874")</f>
        <v>GO:0046874</v>
      </c>
      <c r="D618" t="s">
        <v>14659</v>
      </c>
      <c r="E618">
        <v>3</v>
      </c>
      <c r="F618">
        <v>1</v>
      </c>
      <c r="G618">
        <v>0.15488058594531401</v>
      </c>
      <c r="H618">
        <v>0.46464175783594402</v>
      </c>
      <c r="I618" t="s">
        <v>14229</v>
      </c>
    </row>
    <row r="619" spans="3:9" x14ac:dyDescent="0.25">
      <c r="C619" s="3" t="str">
        <f>HYPERLINK("http://amigo.geneontology.org/amigo/term/GO:0019805","GO:0019805")</f>
        <v>GO:0019805</v>
      </c>
      <c r="D619" t="s">
        <v>14660</v>
      </c>
      <c r="E619">
        <v>3</v>
      </c>
      <c r="F619">
        <v>1</v>
      </c>
      <c r="G619">
        <v>0.15488058594531401</v>
      </c>
      <c r="H619">
        <v>0.46464175783594402</v>
      </c>
      <c r="I619" t="s">
        <v>14229</v>
      </c>
    </row>
    <row r="620" spans="3:9" x14ac:dyDescent="0.25">
      <c r="C620" s="3" t="str">
        <f>HYPERLINK("http://amigo.geneontology.org/amigo/term/GO:0042822","GO:0042822")</f>
        <v>GO:0042822</v>
      </c>
      <c r="D620" t="s">
        <v>14661</v>
      </c>
      <c r="E620">
        <v>3</v>
      </c>
      <c r="F620">
        <v>1</v>
      </c>
      <c r="G620">
        <v>0.15488058594531401</v>
      </c>
      <c r="H620">
        <v>0.61952234378125803</v>
      </c>
      <c r="I620" t="s">
        <v>14252</v>
      </c>
    </row>
    <row r="621" spans="3:9" x14ac:dyDescent="0.25">
      <c r="C621" s="3" t="str">
        <f>HYPERLINK("http://amigo.geneontology.org/amigo/term/GO:0046184","GO:0046184")</f>
        <v>GO:0046184</v>
      </c>
      <c r="D621" t="s">
        <v>14662</v>
      </c>
      <c r="E621">
        <v>3</v>
      </c>
      <c r="F621">
        <v>1</v>
      </c>
      <c r="G621">
        <v>0.15488058594531401</v>
      </c>
      <c r="H621">
        <v>0.61952234378125803</v>
      </c>
      <c r="I621" t="s">
        <v>14252</v>
      </c>
    </row>
    <row r="622" spans="3:9" x14ac:dyDescent="0.25">
      <c r="C622" s="3" t="str">
        <f>HYPERLINK("http://amigo.geneontology.org/amigo/term/GO:0042823","GO:0042823")</f>
        <v>GO:0042823</v>
      </c>
      <c r="D622" t="s">
        <v>14663</v>
      </c>
      <c r="E622">
        <v>3</v>
      </c>
      <c r="F622">
        <v>1</v>
      </c>
      <c r="G622">
        <v>0.15488058594531401</v>
      </c>
      <c r="H622">
        <v>0.61952234378125803</v>
      </c>
      <c r="I622" t="s">
        <v>14252</v>
      </c>
    </row>
    <row r="623" spans="3:9" x14ac:dyDescent="0.25">
      <c r="C623" s="3" t="str">
        <f>HYPERLINK("http://amigo.geneontology.org/amigo/term/GO:0016668","GO:0016668")</f>
        <v>GO:0016668</v>
      </c>
      <c r="D623" t="s">
        <v>4376</v>
      </c>
      <c r="E623">
        <v>3</v>
      </c>
      <c r="F623">
        <v>1</v>
      </c>
      <c r="G623">
        <v>0.15488058594531401</v>
      </c>
      <c r="H623">
        <v>0.61952234378125803</v>
      </c>
      <c r="I623" t="s">
        <v>14204</v>
      </c>
    </row>
    <row r="624" spans="3:9" x14ac:dyDescent="0.25">
      <c r="C624" s="3" t="str">
        <f>HYPERLINK("http://amigo.geneontology.org/amigo/term/GO:0019400","GO:0019400")</f>
        <v>GO:0019400</v>
      </c>
      <c r="D624" t="s">
        <v>958</v>
      </c>
      <c r="E624">
        <v>3</v>
      </c>
      <c r="F624">
        <v>1</v>
      </c>
      <c r="G624">
        <v>0.15488058594531401</v>
      </c>
      <c r="H624">
        <v>0.61952234378125803</v>
      </c>
      <c r="I624" t="s">
        <v>14226</v>
      </c>
    </row>
    <row r="625" spans="3:9" x14ac:dyDescent="0.25">
      <c r="C625" s="3" t="str">
        <f>HYPERLINK("http://amigo.geneontology.org/amigo/term/GO:0007023","GO:0007023")</f>
        <v>GO:0007023</v>
      </c>
      <c r="D625" t="s">
        <v>14664</v>
      </c>
      <c r="E625">
        <v>3</v>
      </c>
      <c r="F625">
        <v>1</v>
      </c>
      <c r="G625">
        <v>0.15488058594531401</v>
      </c>
      <c r="H625">
        <v>0.61952234378125803</v>
      </c>
      <c r="I625" t="s">
        <v>14354</v>
      </c>
    </row>
    <row r="626" spans="3:9" x14ac:dyDescent="0.25">
      <c r="C626" s="3" t="str">
        <f>HYPERLINK("http://amigo.geneontology.org/amigo/term/GO:0031932","GO:0031932")</f>
        <v>GO:0031932</v>
      </c>
      <c r="D626" t="s">
        <v>14665</v>
      </c>
      <c r="E626">
        <v>3</v>
      </c>
      <c r="F626">
        <v>1</v>
      </c>
      <c r="G626">
        <v>0.15488058594531401</v>
      </c>
      <c r="H626">
        <v>0.61952234378125803</v>
      </c>
      <c r="I626" t="s">
        <v>14244</v>
      </c>
    </row>
    <row r="627" spans="3:9" x14ac:dyDescent="0.25">
      <c r="C627" s="3" t="str">
        <f>HYPERLINK("http://amigo.geneontology.org/amigo/term/GO:0031929","GO:0031929")</f>
        <v>GO:0031929</v>
      </c>
      <c r="D627" t="s">
        <v>14666</v>
      </c>
      <c r="E627">
        <v>3</v>
      </c>
      <c r="F627">
        <v>1</v>
      </c>
      <c r="G627">
        <v>0.15488058594531401</v>
      </c>
      <c r="H627">
        <v>0.61952234378125803</v>
      </c>
      <c r="I627" t="s">
        <v>14244</v>
      </c>
    </row>
    <row r="628" spans="3:9" x14ac:dyDescent="0.25">
      <c r="C628" s="3" t="str">
        <f>HYPERLINK("http://amigo.geneontology.org/amigo/term/GO:0008172","GO:0008172")</f>
        <v>GO:0008172</v>
      </c>
      <c r="D628" t="s">
        <v>7337</v>
      </c>
      <c r="E628">
        <v>3</v>
      </c>
      <c r="F628">
        <v>1</v>
      </c>
      <c r="G628">
        <v>0.15488058594531401</v>
      </c>
      <c r="H628">
        <v>0.61952234378125803</v>
      </c>
      <c r="I628" t="s">
        <v>14392</v>
      </c>
    </row>
    <row r="629" spans="3:9" x14ac:dyDescent="0.25">
      <c r="C629" s="3" t="str">
        <f>HYPERLINK("http://amigo.geneontology.org/amigo/term/GO:0015928","GO:0015928")</f>
        <v>GO:0015928</v>
      </c>
      <c r="D629" t="s">
        <v>9593</v>
      </c>
      <c r="E629">
        <v>3</v>
      </c>
      <c r="F629">
        <v>1</v>
      </c>
      <c r="G629">
        <v>0.15488058594531401</v>
      </c>
      <c r="H629">
        <v>0.61952234378125803</v>
      </c>
      <c r="I629" t="s">
        <v>14251</v>
      </c>
    </row>
    <row r="630" spans="3:9" x14ac:dyDescent="0.25">
      <c r="C630" s="3" t="str">
        <f>HYPERLINK("http://amigo.geneontology.org/amigo/term/GO:0004560","GO:0004560")</f>
        <v>GO:0004560</v>
      </c>
      <c r="D630" t="s">
        <v>9596</v>
      </c>
      <c r="E630">
        <v>3</v>
      </c>
      <c r="F630">
        <v>1</v>
      </c>
      <c r="G630">
        <v>0.15488058594531401</v>
      </c>
      <c r="H630">
        <v>0.61952234378125803</v>
      </c>
      <c r="I630" t="s">
        <v>14251</v>
      </c>
    </row>
    <row r="631" spans="3:9" x14ac:dyDescent="0.25">
      <c r="C631" s="3" t="str">
        <f>HYPERLINK("http://amigo.geneontology.org/amigo/term/GO:0044092","GO:0044092")</f>
        <v>GO:0044092</v>
      </c>
      <c r="D631" t="s">
        <v>552</v>
      </c>
      <c r="E631">
        <v>3</v>
      </c>
      <c r="F631">
        <v>1</v>
      </c>
      <c r="G631">
        <v>0.15488058594531401</v>
      </c>
      <c r="H631">
        <v>0.61952234378125803</v>
      </c>
      <c r="I631" t="s">
        <v>14264</v>
      </c>
    </row>
    <row r="632" spans="3:9" x14ac:dyDescent="0.25">
      <c r="C632" s="3" t="str">
        <f>HYPERLINK("http://amigo.geneontology.org/amigo/term/GO:0043086","GO:0043086")</f>
        <v>GO:0043086</v>
      </c>
      <c r="D632" t="s">
        <v>510</v>
      </c>
      <c r="E632">
        <v>3</v>
      </c>
      <c r="F632">
        <v>1</v>
      </c>
      <c r="G632">
        <v>0.15488058594531401</v>
      </c>
      <c r="H632">
        <v>0.61952234378125803</v>
      </c>
      <c r="I632" t="s">
        <v>14264</v>
      </c>
    </row>
    <row r="633" spans="3:9" x14ac:dyDescent="0.25">
      <c r="C633" s="3" t="str">
        <f>HYPERLINK("http://amigo.geneontology.org/amigo/term/GO:0045261","GO:0045261")</f>
        <v>GO:0045261</v>
      </c>
      <c r="D633" t="s">
        <v>14667</v>
      </c>
      <c r="E633">
        <v>3</v>
      </c>
      <c r="F633">
        <v>1</v>
      </c>
      <c r="G633">
        <v>0.15488058594531401</v>
      </c>
      <c r="H633">
        <v>0.61952234378125803</v>
      </c>
      <c r="I633" t="s">
        <v>14477</v>
      </c>
    </row>
    <row r="634" spans="3:9" x14ac:dyDescent="0.25">
      <c r="C634" s="3" t="str">
        <f>HYPERLINK("http://amigo.geneontology.org/amigo/term/GO:0004735","GO:0004735")</f>
        <v>GO:0004735</v>
      </c>
      <c r="D634" t="s">
        <v>14668</v>
      </c>
      <c r="E634">
        <v>3</v>
      </c>
      <c r="F634">
        <v>1</v>
      </c>
      <c r="G634">
        <v>0.15488058594531401</v>
      </c>
      <c r="H634">
        <v>0.61952234378125803</v>
      </c>
      <c r="I634" t="s">
        <v>14281</v>
      </c>
    </row>
    <row r="635" spans="3:9" x14ac:dyDescent="0.25">
      <c r="C635" s="3" t="str">
        <f>HYPERLINK("http://amigo.geneontology.org/amigo/term/GO:0004176","GO:0004176")</f>
        <v>GO:0004176</v>
      </c>
      <c r="D635" t="s">
        <v>14669</v>
      </c>
      <c r="E635">
        <v>3</v>
      </c>
      <c r="F635">
        <v>1</v>
      </c>
      <c r="G635">
        <v>0.15488058594531401</v>
      </c>
      <c r="H635">
        <v>0.61952234378125803</v>
      </c>
      <c r="I635" t="s">
        <v>14296</v>
      </c>
    </row>
    <row r="636" spans="3:9" x14ac:dyDescent="0.25">
      <c r="C636" s="3" t="str">
        <f>HYPERLINK("http://amigo.geneontology.org/amigo/term/GO:0030904","GO:0030904")</f>
        <v>GO:0030904</v>
      </c>
      <c r="D636" t="s">
        <v>14670</v>
      </c>
      <c r="E636">
        <v>3</v>
      </c>
      <c r="F636">
        <v>1</v>
      </c>
      <c r="G636">
        <v>0.15488058594531401</v>
      </c>
      <c r="H636">
        <v>0.61952234378125803</v>
      </c>
      <c r="I636" t="s">
        <v>14564</v>
      </c>
    </row>
    <row r="637" spans="3:9" x14ac:dyDescent="0.25">
      <c r="C637" s="3" t="str">
        <f>HYPERLINK("http://amigo.geneontology.org/amigo/term/GO:0005839","GO:0005839")</f>
        <v>GO:0005839</v>
      </c>
      <c r="D637" t="s">
        <v>14671</v>
      </c>
      <c r="E637">
        <v>13</v>
      </c>
      <c r="F637">
        <v>2</v>
      </c>
      <c r="G637">
        <v>0.155804062812332</v>
      </c>
      <c r="H637">
        <v>0.467412188436997</v>
      </c>
      <c r="I637" t="s">
        <v>14672</v>
      </c>
    </row>
    <row r="638" spans="3:9" x14ac:dyDescent="0.25">
      <c r="C638" s="3" t="str">
        <f>HYPERLINK("http://amigo.geneontology.org/amigo/term/GO:0070003","GO:0070003")</f>
        <v>GO:0070003</v>
      </c>
      <c r="D638" t="s">
        <v>14673</v>
      </c>
      <c r="E638">
        <v>13</v>
      </c>
      <c r="F638">
        <v>2</v>
      </c>
      <c r="G638">
        <v>0.155804062812332</v>
      </c>
      <c r="H638">
        <v>0.467412188436997</v>
      </c>
      <c r="I638" t="s">
        <v>14672</v>
      </c>
    </row>
    <row r="639" spans="3:9" x14ac:dyDescent="0.25">
      <c r="C639" s="3" t="str">
        <f>HYPERLINK("http://amigo.geneontology.org/amigo/term/GO:0004298","GO:0004298")</f>
        <v>GO:0004298</v>
      </c>
      <c r="D639" t="s">
        <v>14674</v>
      </c>
      <c r="E639">
        <v>13</v>
      </c>
      <c r="F639">
        <v>2</v>
      </c>
      <c r="G639">
        <v>0.155804062812332</v>
      </c>
      <c r="H639">
        <v>0.467412188436997</v>
      </c>
      <c r="I639" t="s">
        <v>14672</v>
      </c>
    </row>
    <row r="640" spans="3:9" x14ac:dyDescent="0.25">
      <c r="C640" s="3" t="str">
        <f>HYPERLINK("http://amigo.geneontology.org/amigo/term/GO:0007031","GO:0007031")</f>
        <v>GO:0007031</v>
      </c>
      <c r="D640" t="s">
        <v>14675</v>
      </c>
      <c r="E640">
        <v>13</v>
      </c>
      <c r="F640">
        <v>2</v>
      </c>
      <c r="G640">
        <v>0.155804062812332</v>
      </c>
      <c r="H640">
        <v>0.467412188436997</v>
      </c>
      <c r="I640" t="s">
        <v>13960</v>
      </c>
    </row>
    <row r="641" spans="3:9" x14ac:dyDescent="0.25">
      <c r="C641" s="3" t="str">
        <f>HYPERLINK("http://amigo.geneontology.org/amigo/term/GO:0043254","GO:0043254")</f>
        <v>GO:0043254</v>
      </c>
      <c r="D641" t="s">
        <v>14676</v>
      </c>
      <c r="E641">
        <v>13</v>
      </c>
      <c r="F641">
        <v>2</v>
      </c>
      <c r="G641">
        <v>0.155804062812332</v>
      </c>
      <c r="H641">
        <v>0.467412188436997</v>
      </c>
      <c r="I641" t="s">
        <v>13919</v>
      </c>
    </row>
    <row r="642" spans="3:9" x14ac:dyDescent="0.25">
      <c r="C642" s="3" t="str">
        <f>HYPERLINK("http://amigo.geneontology.org/amigo/term/GO:0006778","GO:0006778")</f>
        <v>GO:0006778</v>
      </c>
      <c r="D642" t="s">
        <v>14677</v>
      </c>
      <c r="E642">
        <v>13</v>
      </c>
      <c r="F642">
        <v>2</v>
      </c>
      <c r="G642">
        <v>0.155804062812332</v>
      </c>
      <c r="H642">
        <v>0.467412188436997</v>
      </c>
      <c r="I642" t="s">
        <v>14332</v>
      </c>
    </row>
    <row r="643" spans="3:9" x14ac:dyDescent="0.25">
      <c r="C643" s="3" t="str">
        <f>HYPERLINK("http://amigo.geneontology.org/amigo/term/GO:0044275","GO:0044275")</f>
        <v>GO:0044275</v>
      </c>
      <c r="D643" t="s">
        <v>606</v>
      </c>
      <c r="E643">
        <v>13</v>
      </c>
      <c r="F643">
        <v>2</v>
      </c>
      <c r="G643">
        <v>0.155804062812332</v>
      </c>
      <c r="H643">
        <v>0.467412188436997</v>
      </c>
      <c r="I643" t="s">
        <v>14678</v>
      </c>
    </row>
    <row r="644" spans="3:9" x14ac:dyDescent="0.25">
      <c r="C644" s="3" t="str">
        <f>HYPERLINK("http://amigo.geneontology.org/amigo/term/GO:0042558","GO:0042558")</f>
        <v>GO:0042558</v>
      </c>
      <c r="D644" t="s">
        <v>14679</v>
      </c>
      <c r="E644">
        <v>13</v>
      </c>
      <c r="F644">
        <v>2</v>
      </c>
      <c r="G644">
        <v>0.155804062812332</v>
      </c>
      <c r="H644">
        <v>0.467412188436997</v>
      </c>
      <c r="I644" t="s">
        <v>14617</v>
      </c>
    </row>
    <row r="645" spans="3:9" x14ac:dyDescent="0.25">
      <c r="C645" s="3" t="str">
        <f>HYPERLINK("http://amigo.geneontology.org/amigo/term/GO:0015923","GO:0015923")</f>
        <v>GO:0015923</v>
      </c>
      <c r="D645" t="s">
        <v>14680</v>
      </c>
      <c r="E645">
        <v>13</v>
      </c>
      <c r="F645">
        <v>2</v>
      </c>
      <c r="G645">
        <v>0.155804062812332</v>
      </c>
      <c r="H645">
        <v>0.467412188436997</v>
      </c>
      <c r="I645" t="s">
        <v>14681</v>
      </c>
    </row>
    <row r="646" spans="3:9" x14ac:dyDescent="0.25">
      <c r="C646" s="3" t="str">
        <f>HYPERLINK("http://amigo.geneontology.org/amigo/term/GO:0004559","GO:0004559")</f>
        <v>GO:0004559</v>
      </c>
      <c r="D646" t="s">
        <v>14682</v>
      </c>
      <c r="E646">
        <v>13</v>
      </c>
      <c r="F646">
        <v>2</v>
      </c>
      <c r="G646">
        <v>0.155804062812332</v>
      </c>
      <c r="H646">
        <v>0.467412188436997</v>
      </c>
      <c r="I646" t="s">
        <v>14681</v>
      </c>
    </row>
    <row r="647" spans="3:9" x14ac:dyDescent="0.25">
      <c r="C647" s="3" t="str">
        <f>HYPERLINK("http://amigo.geneontology.org/amigo/term/GO:0019200","GO:0019200")</f>
        <v>GO:0019200</v>
      </c>
      <c r="D647" t="s">
        <v>994</v>
      </c>
      <c r="E647">
        <v>13</v>
      </c>
      <c r="F647">
        <v>2</v>
      </c>
      <c r="G647">
        <v>0.155804062812332</v>
      </c>
      <c r="H647">
        <v>0.467412188436997</v>
      </c>
      <c r="I647" t="s">
        <v>14683</v>
      </c>
    </row>
    <row r="648" spans="3:9" x14ac:dyDescent="0.25">
      <c r="C648" s="3" t="str">
        <f>HYPERLINK("http://amigo.geneontology.org/amigo/term/GO:0005829","GO:0005829")</f>
        <v>GO:0005829</v>
      </c>
      <c r="D648" t="s">
        <v>13502</v>
      </c>
      <c r="E648">
        <v>112</v>
      </c>
      <c r="F648">
        <v>9</v>
      </c>
      <c r="G648">
        <v>0.156581909607032</v>
      </c>
      <c r="H648">
        <v>0.469745728821098</v>
      </c>
      <c r="I648" t="s">
        <v>14684</v>
      </c>
    </row>
    <row r="649" spans="3:9" x14ac:dyDescent="0.25">
      <c r="C649" s="3" t="str">
        <f>HYPERLINK("http://amigo.geneontology.org/amigo/term/GO:0016746","GO:0016746")</f>
        <v>GO:0016746</v>
      </c>
      <c r="D649" t="s">
        <v>742</v>
      </c>
      <c r="E649">
        <v>129</v>
      </c>
      <c r="F649">
        <v>10</v>
      </c>
      <c r="G649">
        <v>0.16531230361443799</v>
      </c>
      <c r="H649">
        <v>0.49593691084331398</v>
      </c>
      <c r="I649" t="s">
        <v>14685</v>
      </c>
    </row>
    <row r="650" spans="3:9" x14ac:dyDescent="0.25">
      <c r="C650" s="3" t="str">
        <f>HYPERLINK("http://amigo.geneontology.org/amigo/term/GO:0019438","GO:0019438")</f>
        <v>GO:0019438</v>
      </c>
      <c r="D650" t="s">
        <v>6820</v>
      </c>
      <c r="E650">
        <v>357</v>
      </c>
      <c r="F650">
        <v>24</v>
      </c>
      <c r="G650">
        <v>0.16612726587412999</v>
      </c>
      <c r="H650">
        <v>0.49838179762239199</v>
      </c>
      <c r="I650" t="s">
        <v>14686</v>
      </c>
    </row>
    <row r="651" spans="3:9" x14ac:dyDescent="0.25">
      <c r="C651" s="3" t="str">
        <f>HYPERLINK("http://amigo.geneontology.org/amigo/term/GO:1905368","GO:1905368")</f>
        <v>GO:1905368</v>
      </c>
      <c r="D651" t="s">
        <v>14687</v>
      </c>
      <c r="E651">
        <v>26</v>
      </c>
      <c r="F651">
        <v>3</v>
      </c>
      <c r="G651">
        <v>0.16644643303568099</v>
      </c>
      <c r="H651">
        <v>0.499339299107043</v>
      </c>
      <c r="I651" t="s">
        <v>14387</v>
      </c>
    </row>
    <row r="652" spans="3:9" x14ac:dyDescent="0.25">
      <c r="C652" s="3" t="str">
        <f>HYPERLINK("http://amigo.geneontology.org/amigo/term/GO:0019787","GO:0019787")</f>
        <v>GO:0019787</v>
      </c>
      <c r="D652" t="s">
        <v>14688</v>
      </c>
      <c r="E652">
        <v>26</v>
      </c>
      <c r="F652">
        <v>3</v>
      </c>
      <c r="G652">
        <v>0.16644643303568099</v>
      </c>
      <c r="H652">
        <v>0.499339299107043</v>
      </c>
      <c r="I652" t="s">
        <v>14566</v>
      </c>
    </row>
    <row r="653" spans="3:9" x14ac:dyDescent="0.25">
      <c r="C653" s="3" t="str">
        <f>HYPERLINK("http://amigo.geneontology.org/amigo/term/GO:0016628","GO:0016628")</f>
        <v>GO:0016628</v>
      </c>
      <c r="D653" t="s">
        <v>8752</v>
      </c>
      <c r="E653">
        <v>14</v>
      </c>
      <c r="F653">
        <v>2</v>
      </c>
      <c r="G653">
        <v>0.17554107964270299</v>
      </c>
      <c r="H653">
        <v>0.52662323892811103</v>
      </c>
      <c r="I653" t="s">
        <v>14689</v>
      </c>
    </row>
    <row r="654" spans="3:9" x14ac:dyDescent="0.25">
      <c r="C654" s="3" t="str">
        <f>HYPERLINK("http://amigo.geneontology.org/amigo/term/GO:0032970","GO:0032970")</f>
        <v>GO:0032970</v>
      </c>
      <c r="D654" t="s">
        <v>14690</v>
      </c>
      <c r="E654">
        <v>14</v>
      </c>
      <c r="F654">
        <v>2</v>
      </c>
      <c r="G654">
        <v>0.17554107964270299</v>
      </c>
      <c r="H654">
        <v>0.52662323892811103</v>
      </c>
      <c r="I654" t="s">
        <v>13919</v>
      </c>
    </row>
    <row r="655" spans="3:9" x14ac:dyDescent="0.25">
      <c r="C655" s="3" t="str">
        <f>HYPERLINK("http://amigo.geneontology.org/amigo/term/GO:0032956","GO:0032956")</f>
        <v>GO:0032956</v>
      </c>
      <c r="D655" t="s">
        <v>14691</v>
      </c>
      <c r="E655">
        <v>14</v>
      </c>
      <c r="F655">
        <v>2</v>
      </c>
      <c r="G655">
        <v>0.17554107964270299</v>
      </c>
      <c r="H655">
        <v>0.52662323892811103</v>
      </c>
      <c r="I655" t="s">
        <v>13919</v>
      </c>
    </row>
    <row r="656" spans="3:9" x14ac:dyDescent="0.25">
      <c r="C656" s="3" t="str">
        <f>HYPERLINK("http://amigo.geneontology.org/amigo/term/GO:0033013","GO:0033013")</f>
        <v>GO:0033013</v>
      </c>
      <c r="D656" t="s">
        <v>14692</v>
      </c>
      <c r="E656">
        <v>14</v>
      </c>
      <c r="F656">
        <v>2</v>
      </c>
      <c r="G656">
        <v>0.17554107964270299</v>
      </c>
      <c r="H656">
        <v>0.52662323892811103</v>
      </c>
      <c r="I656" t="s">
        <v>14332</v>
      </c>
    </row>
    <row r="657" spans="3:9" x14ac:dyDescent="0.25">
      <c r="C657" s="3" t="str">
        <f>HYPERLINK("http://amigo.geneontology.org/amigo/term/GO:0046148","GO:0046148")</f>
        <v>GO:0046148</v>
      </c>
      <c r="D657" t="s">
        <v>13318</v>
      </c>
      <c r="E657">
        <v>14</v>
      </c>
      <c r="F657">
        <v>2</v>
      </c>
      <c r="G657">
        <v>0.17554107964270299</v>
      </c>
      <c r="H657">
        <v>0.52662323892811103</v>
      </c>
      <c r="I657" t="s">
        <v>14332</v>
      </c>
    </row>
    <row r="658" spans="3:9" x14ac:dyDescent="0.25">
      <c r="C658" s="3" t="str">
        <f>HYPERLINK("http://amigo.geneontology.org/amigo/term/GO:0006066","GO:0006066")</f>
        <v>GO:0006066</v>
      </c>
      <c r="D658" t="s">
        <v>87</v>
      </c>
      <c r="E658">
        <v>14</v>
      </c>
      <c r="F658">
        <v>2</v>
      </c>
      <c r="G658">
        <v>0.17554107964270299</v>
      </c>
      <c r="H658">
        <v>0.52662323892811103</v>
      </c>
      <c r="I658" t="s">
        <v>14009</v>
      </c>
    </row>
    <row r="659" spans="3:9" x14ac:dyDescent="0.25">
      <c r="C659" s="3" t="str">
        <f>HYPERLINK("http://amigo.geneontology.org/amigo/term/GO:0070647","GO:0070647")</f>
        <v>GO:0070647</v>
      </c>
      <c r="D659" t="s">
        <v>14693</v>
      </c>
      <c r="E659">
        <v>27</v>
      </c>
      <c r="F659">
        <v>3</v>
      </c>
      <c r="G659">
        <v>0.18017846135233101</v>
      </c>
      <c r="H659">
        <v>0.54053538405699297</v>
      </c>
      <c r="I659" t="s">
        <v>14694</v>
      </c>
    </row>
    <row r="660" spans="3:9" x14ac:dyDescent="0.25">
      <c r="C660" s="3" t="str">
        <f>HYPERLINK("http://amigo.geneontology.org/amigo/term/GO:0071554","GO:0071554")</f>
        <v>GO:0071554</v>
      </c>
      <c r="D660" t="s">
        <v>206</v>
      </c>
      <c r="E660">
        <v>27</v>
      </c>
      <c r="F660">
        <v>3</v>
      </c>
      <c r="G660">
        <v>0.18017846135233101</v>
      </c>
      <c r="H660">
        <v>0.54053538405699297</v>
      </c>
      <c r="I660" t="s">
        <v>14695</v>
      </c>
    </row>
    <row r="661" spans="3:9" x14ac:dyDescent="0.25">
      <c r="C661" s="3" t="str">
        <f>HYPERLINK("http://amigo.geneontology.org/amigo/term/GO:0006807","GO:0006807")</f>
        <v>GO:0006807</v>
      </c>
      <c r="D661" t="s">
        <v>6871</v>
      </c>
      <c r="E661">
        <v>1352</v>
      </c>
      <c r="F661">
        <v>81</v>
      </c>
      <c r="G661">
        <v>0.18062925239008301</v>
      </c>
      <c r="H661">
        <v>0.54188775717025195</v>
      </c>
      <c r="I661" t="s">
        <v>14696</v>
      </c>
    </row>
    <row r="662" spans="3:9" x14ac:dyDescent="0.25">
      <c r="C662" s="3" t="str">
        <f>HYPERLINK("http://amigo.geneontology.org/amigo/term/GO:0050661","GO:0050661")</f>
        <v>GO:0050661</v>
      </c>
      <c r="D662" t="s">
        <v>14697</v>
      </c>
      <c r="E662">
        <v>41</v>
      </c>
      <c r="F662">
        <v>4</v>
      </c>
      <c r="G662">
        <v>0.18288473284310799</v>
      </c>
      <c r="H662">
        <v>0.54865419852932495</v>
      </c>
      <c r="I662" t="s">
        <v>14698</v>
      </c>
    </row>
    <row r="663" spans="3:9" x14ac:dyDescent="0.25">
      <c r="C663" s="3" t="str">
        <f>HYPERLINK("http://amigo.geneontology.org/amigo/term/GO:0042578","GO:0042578")</f>
        <v>GO:0042578</v>
      </c>
      <c r="D663" t="s">
        <v>430</v>
      </c>
      <c r="E663">
        <v>86</v>
      </c>
      <c r="F663">
        <v>7</v>
      </c>
      <c r="G663">
        <v>0.187750131119475</v>
      </c>
      <c r="H663">
        <v>0.56325039335842497</v>
      </c>
      <c r="I663" t="s">
        <v>14032</v>
      </c>
    </row>
    <row r="664" spans="3:9" x14ac:dyDescent="0.25">
      <c r="C664" s="3" t="str">
        <f>HYPERLINK("http://amigo.geneontology.org/amigo/term/GO:0017038","GO:0017038")</f>
        <v>GO:0017038</v>
      </c>
      <c r="D664" t="s">
        <v>14699</v>
      </c>
      <c r="E664">
        <v>15</v>
      </c>
      <c r="F664">
        <v>2</v>
      </c>
      <c r="G664">
        <v>0.19564115196715501</v>
      </c>
      <c r="H664">
        <v>0.586923455901465</v>
      </c>
      <c r="I664" t="s">
        <v>13960</v>
      </c>
    </row>
    <row r="665" spans="3:9" x14ac:dyDescent="0.25">
      <c r="C665" s="3" t="str">
        <f>HYPERLINK("http://amigo.geneontology.org/amigo/term/GO:0016775","GO:0016775")</f>
        <v>GO:0016775</v>
      </c>
      <c r="D665" t="s">
        <v>14700</v>
      </c>
      <c r="E665">
        <v>15</v>
      </c>
      <c r="F665">
        <v>2</v>
      </c>
      <c r="G665">
        <v>0.19564115196715501</v>
      </c>
      <c r="H665">
        <v>0.586923455901465</v>
      </c>
      <c r="I665" t="s">
        <v>14701</v>
      </c>
    </row>
    <row r="666" spans="3:9" x14ac:dyDescent="0.25">
      <c r="C666" s="3" t="str">
        <f>HYPERLINK("http://amigo.geneontology.org/amigo/term/GO:0004673","GO:0004673")</f>
        <v>GO:0004673</v>
      </c>
      <c r="D666" t="s">
        <v>14702</v>
      </c>
      <c r="E666">
        <v>15</v>
      </c>
      <c r="F666">
        <v>2</v>
      </c>
      <c r="G666">
        <v>0.19564115196715501</v>
      </c>
      <c r="H666">
        <v>0.586923455901465</v>
      </c>
      <c r="I666" t="s">
        <v>14701</v>
      </c>
    </row>
    <row r="667" spans="3:9" x14ac:dyDescent="0.25">
      <c r="C667" s="3" t="str">
        <f>HYPERLINK("http://amigo.geneontology.org/amigo/term/GO:0000155","GO:0000155")</f>
        <v>GO:0000155</v>
      </c>
      <c r="D667" t="s">
        <v>14703</v>
      </c>
      <c r="E667">
        <v>15</v>
      </c>
      <c r="F667">
        <v>2</v>
      </c>
      <c r="G667">
        <v>0.19564115196715501</v>
      </c>
      <c r="H667">
        <v>0.586923455901465</v>
      </c>
      <c r="I667" t="s">
        <v>14701</v>
      </c>
    </row>
    <row r="668" spans="3:9" x14ac:dyDescent="0.25">
      <c r="C668" s="3" t="str">
        <f>HYPERLINK("http://amigo.geneontology.org/amigo/term/GO:0005774","GO:0005774")</f>
        <v>GO:0005774</v>
      </c>
      <c r="D668" t="s">
        <v>14704</v>
      </c>
      <c r="E668">
        <v>15</v>
      </c>
      <c r="F668">
        <v>2</v>
      </c>
      <c r="G668">
        <v>0.19564115196715501</v>
      </c>
      <c r="H668">
        <v>0.586923455901465</v>
      </c>
      <c r="I668" t="s">
        <v>14572</v>
      </c>
    </row>
    <row r="669" spans="3:9" x14ac:dyDescent="0.25">
      <c r="C669" s="3" t="str">
        <f>HYPERLINK("http://amigo.geneontology.org/amigo/term/GO:0051493","GO:0051493")</f>
        <v>GO:0051493</v>
      </c>
      <c r="D669" t="s">
        <v>14705</v>
      </c>
      <c r="E669">
        <v>15</v>
      </c>
      <c r="F669">
        <v>2</v>
      </c>
      <c r="G669">
        <v>0.19564115196715501</v>
      </c>
      <c r="H669">
        <v>0.586923455901465</v>
      </c>
      <c r="I669" t="s">
        <v>13919</v>
      </c>
    </row>
    <row r="670" spans="3:9" x14ac:dyDescent="0.25">
      <c r="C670" s="3" t="str">
        <f>HYPERLINK("http://amigo.geneontology.org/amigo/term/GO:0010383","GO:0010383")</f>
        <v>GO:0010383</v>
      </c>
      <c r="D670" t="s">
        <v>638</v>
      </c>
      <c r="E670">
        <v>15</v>
      </c>
      <c r="F670">
        <v>2</v>
      </c>
      <c r="G670">
        <v>0.19564115196715501</v>
      </c>
      <c r="H670">
        <v>0.586923455901465</v>
      </c>
      <c r="I670" t="s">
        <v>14706</v>
      </c>
    </row>
    <row r="671" spans="3:9" x14ac:dyDescent="0.25">
      <c r="C671" s="3" t="str">
        <f>HYPERLINK("http://amigo.geneontology.org/amigo/term/GO:0010410","GO:0010410")</f>
        <v>GO:0010410</v>
      </c>
      <c r="D671" t="s">
        <v>624</v>
      </c>
      <c r="E671">
        <v>15</v>
      </c>
      <c r="F671">
        <v>2</v>
      </c>
      <c r="G671">
        <v>0.19564115196715501</v>
      </c>
      <c r="H671">
        <v>0.586923455901465</v>
      </c>
      <c r="I671" t="s">
        <v>14706</v>
      </c>
    </row>
    <row r="672" spans="3:9" x14ac:dyDescent="0.25">
      <c r="C672" s="3" t="str">
        <f>HYPERLINK("http://amigo.geneontology.org/amigo/term/GO:0045491","GO:0045491")</f>
        <v>GO:0045491</v>
      </c>
      <c r="D672" t="s">
        <v>4259</v>
      </c>
      <c r="E672">
        <v>15</v>
      </c>
      <c r="F672">
        <v>2</v>
      </c>
      <c r="G672">
        <v>0.19564115196715501</v>
      </c>
      <c r="H672">
        <v>0.586923455901465</v>
      </c>
      <c r="I672" t="s">
        <v>14706</v>
      </c>
    </row>
    <row r="673" spans="3:9" x14ac:dyDescent="0.25">
      <c r="C673" s="3" t="str">
        <f>HYPERLINK("http://amigo.geneontology.org/amigo/term/GO:0045493","GO:0045493")</f>
        <v>GO:0045493</v>
      </c>
      <c r="D673" t="s">
        <v>7309</v>
      </c>
      <c r="E673">
        <v>15</v>
      </c>
      <c r="F673">
        <v>2</v>
      </c>
      <c r="G673">
        <v>0.19564115196715501</v>
      </c>
      <c r="H673">
        <v>0.586923455901465</v>
      </c>
      <c r="I673" t="s">
        <v>14706</v>
      </c>
    </row>
    <row r="674" spans="3:9" x14ac:dyDescent="0.25">
      <c r="C674" s="3" t="str">
        <f>HYPERLINK("http://amigo.geneontology.org/amigo/term/GO:0008194","GO:0008194")</f>
        <v>GO:0008194</v>
      </c>
      <c r="D674" t="s">
        <v>825</v>
      </c>
      <c r="E674">
        <v>15</v>
      </c>
      <c r="F674">
        <v>2</v>
      </c>
      <c r="G674">
        <v>0.19564115196715501</v>
      </c>
      <c r="H674">
        <v>0.586923455901465</v>
      </c>
      <c r="I674" t="s">
        <v>13974</v>
      </c>
    </row>
    <row r="675" spans="3:9" x14ac:dyDescent="0.25">
      <c r="C675" s="3" t="str">
        <f>HYPERLINK("http://amigo.geneontology.org/amigo/term/GO:0004084","GO:0004084")</f>
        <v>GO:0004084</v>
      </c>
      <c r="D675" t="s">
        <v>1025</v>
      </c>
      <c r="E675">
        <v>4</v>
      </c>
      <c r="F675">
        <v>1</v>
      </c>
      <c r="G675">
        <v>0.200994682015291</v>
      </c>
      <c r="H675">
        <v>0.60298404604587497</v>
      </c>
      <c r="I675" t="s">
        <v>13456</v>
      </c>
    </row>
    <row r="676" spans="3:9" x14ac:dyDescent="0.25">
      <c r="C676" s="3" t="str">
        <f>HYPERLINK("http://amigo.geneontology.org/amigo/term/GO:2000241","GO:2000241")</f>
        <v>GO:2000241</v>
      </c>
      <c r="D676" t="s">
        <v>14707</v>
      </c>
      <c r="E676">
        <v>4</v>
      </c>
      <c r="F676">
        <v>1</v>
      </c>
      <c r="G676">
        <v>0.200994682015291</v>
      </c>
      <c r="H676">
        <v>0.60298404604587497</v>
      </c>
      <c r="I676" t="s">
        <v>13559</v>
      </c>
    </row>
    <row r="677" spans="3:9" x14ac:dyDescent="0.25">
      <c r="C677" s="3" t="str">
        <f>HYPERLINK("http://amigo.geneontology.org/amigo/term/GO:0032506","GO:0032506")</f>
        <v>GO:0032506</v>
      </c>
      <c r="D677" t="s">
        <v>13040</v>
      </c>
      <c r="E677">
        <v>4</v>
      </c>
      <c r="F677">
        <v>1</v>
      </c>
      <c r="G677">
        <v>0.200994682015291</v>
      </c>
      <c r="H677">
        <v>0.60298404604587497</v>
      </c>
      <c r="I677" t="s">
        <v>13779</v>
      </c>
    </row>
    <row r="678" spans="3:9" x14ac:dyDescent="0.25">
      <c r="C678" s="3" t="str">
        <f>HYPERLINK("http://amigo.geneontology.org/amigo/term/GO:0061640","GO:0061640")</f>
        <v>GO:0061640</v>
      </c>
      <c r="D678" t="s">
        <v>13045</v>
      </c>
      <c r="E678">
        <v>4</v>
      </c>
      <c r="F678">
        <v>1</v>
      </c>
      <c r="G678">
        <v>0.200994682015291</v>
      </c>
      <c r="H678">
        <v>0.60298404604587497</v>
      </c>
      <c r="I678" t="s">
        <v>13779</v>
      </c>
    </row>
    <row r="679" spans="3:9" x14ac:dyDescent="0.25">
      <c r="C679" s="3" t="str">
        <f>HYPERLINK("http://amigo.geneontology.org/amigo/term/GO:0000281","GO:0000281")</f>
        <v>GO:0000281</v>
      </c>
      <c r="D679" t="s">
        <v>13044</v>
      </c>
      <c r="E679">
        <v>4</v>
      </c>
      <c r="F679">
        <v>1</v>
      </c>
      <c r="G679">
        <v>0.200994682015291</v>
      </c>
      <c r="H679">
        <v>0.60298404604587497</v>
      </c>
      <c r="I679" t="s">
        <v>13779</v>
      </c>
    </row>
    <row r="680" spans="3:9" x14ac:dyDescent="0.25">
      <c r="C680" s="3" t="str">
        <f>HYPERLINK("http://amigo.geneontology.org/amigo/term/GO:0006108","GO:0006108")</f>
        <v>GO:0006108</v>
      </c>
      <c r="D680" t="s">
        <v>14708</v>
      </c>
      <c r="E680">
        <v>4</v>
      </c>
      <c r="F680">
        <v>1</v>
      </c>
      <c r="G680">
        <v>0.200994682015291</v>
      </c>
      <c r="H680">
        <v>0.60298404604587497</v>
      </c>
      <c r="I680" t="s">
        <v>13803</v>
      </c>
    </row>
    <row r="681" spans="3:9" x14ac:dyDescent="0.25">
      <c r="C681" s="3" t="str">
        <f>HYPERLINK("http://amigo.geneontology.org/amigo/term/GO:0016615","GO:0016615")</f>
        <v>GO:0016615</v>
      </c>
      <c r="D681" t="s">
        <v>14709</v>
      </c>
      <c r="E681">
        <v>4</v>
      </c>
      <c r="F681">
        <v>1</v>
      </c>
      <c r="G681">
        <v>0.200994682015291</v>
      </c>
      <c r="H681">
        <v>0.60298404604587497</v>
      </c>
      <c r="I681" t="s">
        <v>13803</v>
      </c>
    </row>
    <row r="682" spans="3:9" x14ac:dyDescent="0.25">
      <c r="C682" s="3" t="str">
        <f>HYPERLINK("http://amigo.geneontology.org/amigo/term/GO:0015693","GO:0015693")</f>
        <v>GO:0015693</v>
      </c>
      <c r="D682" t="s">
        <v>9822</v>
      </c>
      <c r="E682">
        <v>4</v>
      </c>
      <c r="F682">
        <v>1</v>
      </c>
      <c r="G682">
        <v>0.200994682015291</v>
      </c>
      <c r="H682">
        <v>0.60298404604587497</v>
      </c>
      <c r="I682" t="s">
        <v>13805</v>
      </c>
    </row>
    <row r="683" spans="3:9" x14ac:dyDescent="0.25">
      <c r="C683" s="3" t="str">
        <f>HYPERLINK("http://amigo.geneontology.org/amigo/term/GO:0015095","GO:0015095")</f>
        <v>GO:0015095</v>
      </c>
      <c r="D683" t="s">
        <v>9818</v>
      </c>
      <c r="E683">
        <v>4</v>
      </c>
      <c r="F683">
        <v>1</v>
      </c>
      <c r="G683">
        <v>0.200994682015291</v>
      </c>
      <c r="H683">
        <v>0.60298404604587497</v>
      </c>
      <c r="I683" t="s">
        <v>13805</v>
      </c>
    </row>
    <row r="684" spans="3:9" x14ac:dyDescent="0.25">
      <c r="C684" s="3" t="str">
        <f>HYPERLINK("http://amigo.geneontology.org/amigo/term/GO:0008496","GO:0008496")</f>
        <v>GO:0008496</v>
      </c>
      <c r="D684" t="s">
        <v>14710</v>
      </c>
      <c r="E684">
        <v>4</v>
      </c>
      <c r="F684">
        <v>1</v>
      </c>
      <c r="G684">
        <v>0.200994682015291</v>
      </c>
      <c r="H684">
        <v>0.60298404604587497</v>
      </c>
      <c r="I684" t="s">
        <v>13910</v>
      </c>
    </row>
    <row r="685" spans="3:9" x14ac:dyDescent="0.25">
      <c r="C685" s="3" t="str">
        <f>HYPERLINK("http://amigo.geneontology.org/amigo/term/GO:0035999","GO:0035999")</f>
        <v>GO:0035999</v>
      </c>
      <c r="D685" t="s">
        <v>14711</v>
      </c>
      <c r="E685">
        <v>4</v>
      </c>
      <c r="F685">
        <v>1</v>
      </c>
      <c r="G685">
        <v>0.200994682015291</v>
      </c>
      <c r="H685">
        <v>0.60298404604587497</v>
      </c>
      <c r="I685" t="s">
        <v>13954</v>
      </c>
    </row>
    <row r="686" spans="3:9" x14ac:dyDescent="0.25">
      <c r="C686" s="3" t="str">
        <f>HYPERLINK("http://amigo.geneontology.org/amigo/term/GO:1902222","GO:1902222")</f>
        <v>GO:1902222</v>
      </c>
      <c r="D686" t="s">
        <v>6903</v>
      </c>
      <c r="E686">
        <v>4</v>
      </c>
      <c r="F686">
        <v>1</v>
      </c>
      <c r="G686">
        <v>0.200994682015291</v>
      </c>
      <c r="H686">
        <v>0.60298404604587497</v>
      </c>
      <c r="I686" t="s">
        <v>13963</v>
      </c>
    </row>
    <row r="687" spans="3:9" x14ac:dyDescent="0.25">
      <c r="C687" s="3" t="str">
        <f>HYPERLINK("http://amigo.geneontology.org/amigo/term/GO:0006559","GO:0006559")</f>
        <v>GO:0006559</v>
      </c>
      <c r="D687" t="s">
        <v>6906</v>
      </c>
      <c r="E687">
        <v>4</v>
      </c>
      <c r="F687">
        <v>1</v>
      </c>
      <c r="G687">
        <v>0.200994682015291</v>
      </c>
      <c r="H687">
        <v>0.60298404604587497</v>
      </c>
      <c r="I687" t="s">
        <v>13963</v>
      </c>
    </row>
    <row r="688" spans="3:9" x14ac:dyDescent="0.25">
      <c r="C688" s="3" t="str">
        <f>HYPERLINK("http://amigo.geneontology.org/amigo/term/GO:0043102","GO:0043102")</f>
        <v>GO:0043102</v>
      </c>
      <c r="D688" t="s">
        <v>14712</v>
      </c>
      <c r="E688">
        <v>4</v>
      </c>
      <c r="F688">
        <v>1</v>
      </c>
      <c r="G688">
        <v>0.200994682015291</v>
      </c>
      <c r="H688">
        <v>0.60298404604587497</v>
      </c>
      <c r="I688" t="s">
        <v>13980</v>
      </c>
    </row>
    <row r="689" spans="3:9" x14ac:dyDescent="0.25">
      <c r="C689" s="3" t="str">
        <f>HYPERLINK("http://amigo.geneontology.org/amigo/term/GO:0071267","GO:0071267")</f>
        <v>GO:0071267</v>
      </c>
      <c r="D689" t="s">
        <v>14713</v>
      </c>
      <c r="E689">
        <v>4</v>
      </c>
      <c r="F689">
        <v>1</v>
      </c>
      <c r="G689">
        <v>0.200994682015291</v>
      </c>
      <c r="H689">
        <v>0.60298404604587497</v>
      </c>
      <c r="I689" t="s">
        <v>13980</v>
      </c>
    </row>
    <row r="690" spans="3:9" x14ac:dyDescent="0.25">
      <c r="C690" s="3" t="str">
        <f>HYPERLINK("http://amigo.geneontology.org/amigo/term/GO:0019509","GO:0019509")</f>
        <v>GO:0019509</v>
      </c>
      <c r="D690" t="s">
        <v>14714</v>
      </c>
      <c r="E690">
        <v>4</v>
      </c>
      <c r="F690">
        <v>1</v>
      </c>
      <c r="G690">
        <v>0.200994682015291</v>
      </c>
      <c r="H690">
        <v>0.60298404604587497</v>
      </c>
      <c r="I690" t="s">
        <v>13980</v>
      </c>
    </row>
    <row r="691" spans="3:9" x14ac:dyDescent="0.25">
      <c r="C691" s="3" t="str">
        <f>HYPERLINK("http://amigo.geneontology.org/amigo/term/GO:0016721","GO:0016721")</f>
        <v>GO:0016721</v>
      </c>
      <c r="D691" t="s">
        <v>14715</v>
      </c>
      <c r="E691">
        <v>4</v>
      </c>
      <c r="F691">
        <v>1</v>
      </c>
      <c r="G691">
        <v>0.200994682015291</v>
      </c>
      <c r="H691">
        <v>0.60298404604587497</v>
      </c>
      <c r="I691" t="s">
        <v>14006</v>
      </c>
    </row>
    <row r="692" spans="3:9" x14ac:dyDescent="0.25">
      <c r="C692" s="3" t="str">
        <f>HYPERLINK("http://amigo.geneontology.org/amigo/term/GO:0004784","GO:0004784")</f>
        <v>GO:0004784</v>
      </c>
      <c r="D692" t="s">
        <v>14716</v>
      </c>
      <c r="E692">
        <v>4</v>
      </c>
      <c r="F692">
        <v>1</v>
      </c>
      <c r="G692">
        <v>0.200994682015291</v>
      </c>
      <c r="H692">
        <v>0.60298404604587497</v>
      </c>
      <c r="I692" t="s">
        <v>14006</v>
      </c>
    </row>
    <row r="693" spans="3:9" x14ac:dyDescent="0.25">
      <c r="C693" s="3" t="str">
        <f>HYPERLINK("http://amigo.geneontology.org/amigo/term/GO:0000302","GO:0000302")</f>
        <v>GO:0000302</v>
      </c>
      <c r="D693" t="s">
        <v>13389</v>
      </c>
      <c r="E693">
        <v>4</v>
      </c>
      <c r="F693">
        <v>1</v>
      </c>
      <c r="G693">
        <v>0.200994682015291</v>
      </c>
      <c r="H693">
        <v>0.60298404604587497</v>
      </c>
      <c r="I693" t="s">
        <v>14006</v>
      </c>
    </row>
    <row r="694" spans="3:9" x14ac:dyDescent="0.25">
      <c r="C694" s="3" t="str">
        <f>HYPERLINK("http://amigo.geneontology.org/amigo/term/GO:0034614","GO:0034614")</f>
        <v>GO:0034614</v>
      </c>
      <c r="D694" t="s">
        <v>14717</v>
      </c>
      <c r="E694">
        <v>4</v>
      </c>
      <c r="F694">
        <v>1</v>
      </c>
      <c r="G694">
        <v>0.200994682015291</v>
      </c>
      <c r="H694">
        <v>0.60298404604587497</v>
      </c>
      <c r="I694" t="s">
        <v>14006</v>
      </c>
    </row>
    <row r="695" spans="3:9" x14ac:dyDescent="0.25">
      <c r="C695" s="3" t="str">
        <f>HYPERLINK("http://amigo.geneontology.org/amigo/term/GO:0045944","GO:0045944")</f>
        <v>GO:0045944</v>
      </c>
      <c r="D695" t="s">
        <v>14718</v>
      </c>
      <c r="E695">
        <v>4</v>
      </c>
      <c r="F695">
        <v>1</v>
      </c>
      <c r="G695">
        <v>0.200994682015291</v>
      </c>
      <c r="H695">
        <v>0.60298404604587497</v>
      </c>
      <c r="I695" t="s">
        <v>14006</v>
      </c>
    </row>
    <row r="696" spans="3:9" x14ac:dyDescent="0.25">
      <c r="C696" s="3" t="str">
        <f>HYPERLINK("http://amigo.geneontology.org/amigo/term/GO:0000103","GO:0000103")</f>
        <v>GO:0000103</v>
      </c>
      <c r="D696" t="s">
        <v>14719</v>
      </c>
      <c r="E696">
        <v>4</v>
      </c>
      <c r="F696">
        <v>1</v>
      </c>
      <c r="G696">
        <v>0.200994682015291</v>
      </c>
      <c r="H696">
        <v>0.60298404604587497</v>
      </c>
      <c r="I696" t="s">
        <v>14033</v>
      </c>
    </row>
    <row r="697" spans="3:9" x14ac:dyDescent="0.25">
      <c r="C697" s="3" t="str">
        <f>HYPERLINK("http://amigo.geneontology.org/amigo/term/GO:0019344","GO:0019344")</f>
        <v>GO:0019344</v>
      </c>
      <c r="D697" t="s">
        <v>14720</v>
      </c>
      <c r="E697">
        <v>4</v>
      </c>
      <c r="F697">
        <v>1</v>
      </c>
      <c r="G697">
        <v>0.200994682015291</v>
      </c>
      <c r="H697">
        <v>0.60298404604587497</v>
      </c>
      <c r="I697" t="s">
        <v>14033</v>
      </c>
    </row>
    <row r="698" spans="3:9" x14ac:dyDescent="0.25">
      <c r="C698" s="3" t="str">
        <f>HYPERLINK("http://amigo.geneontology.org/amigo/term/GO:0031418","GO:0031418")</f>
        <v>GO:0031418</v>
      </c>
      <c r="D698" t="s">
        <v>10591</v>
      </c>
      <c r="E698">
        <v>4</v>
      </c>
      <c r="F698">
        <v>1</v>
      </c>
      <c r="G698">
        <v>0.200994682015291</v>
      </c>
      <c r="H698">
        <v>0.60298404604587497</v>
      </c>
      <c r="I698" t="s">
        <v>14123</v>
      </c>
    </row>
    <row r="699" spans="3:9" x14ac:dyDescent="0.25">
      <c r="C699" s="3" t="str">
        <f>HYPERLINK("http://amigo.geneontology.org/amigo/term/GO:0016236","GO:0016236")</f>
        <v>GO:0016236</v>
      </c>
      <c r="D699" t="s">
        <v>14721</v>
      </c>
      <c r="E699">
        <v>4</v>
      </c>
      <c r="F699">
        <v>1</v>
      </c>
      <c r="G699">
        <v>0.200994682015291</v>
      </c>
      <c r="H699">
        <v>0.60298404604587497</v>
      </c>
      <c r="I699" t="s">
        <v>14178</v>
      </c>
    </row>
    <row r="700" spans="3:9" x14ac:dyDescent="0.25">
      <c r="C700" s="3" t="str">
        <f>HYPERLINK("http://amigo.geneontology.org/amigo/term/GO:0000407","GO:0000407")</f>
        <v>GO:0000407</v>
      </c>
      <c r="D700" t="s">
        <v>14722</v>
      </c>
      <c r="E700">
        <v>4</v>
      </c>
      <c r="F700">
        <v>1</v>
      </c>
      <c r="G700">
        <v>0.200994682015291</v>
      </c>
      <c r="H700">
        <v>0.60298404604587497</v>
      </c>
      <c r="I700" t="s">
        <v>14178</v>
      </c>
    </row>
    <row r="701" spans="3:9" x14ac:dyDescent="0.25">
      <c r="C701" s="3" t="str">
        <f>HYPERLINK("http://amigo.geneontology.org/amigo/term/GO:0005768","GO:0005768")</f>
        <v>GO:0005768</v>
      </c>
      <c r="D701" t="s">
        <v>14723</v>
      </c>
      <c r="E701">
        <v>4</v>
      </c>
      <c r="F701">
        <v>1</v>
      </c>
      <c r="G701">
        <v>0.200994682015291</v>
      </c>
      <c r="H701">
        <v>0.60298404604587497</v>
      </c>
      <c r="I701" t="s">
        <v>14178</v>
      </c>
    </row>
    <row r="702" spans="3:9" x14ac:dyDescent="0.25">
      <c r="C702" s="3" t="str">
        <f>HYPERLINK("http://amigo.geneontology.org/amigo/term/GO:0009226","GO:0009226")</f>
        <v>GO:0009226</v>
      </c>
      <c r="D702" t="s">
        <v>14724</v>
      </c>
      <c r="E702">
        <v>4</v>
      </c>
      <c r="F702">
        <v>1</v>
      </c>
      <c r="G702">
        <v>0.200994682015291</v>
      </c>
      <c r="H702">
        <v>0.60298404604587497</v>
      </c>
      <c r="I702" t="s">
        <v>14185</v>
      </c>
    </row>
    <row r="703" spans="3:9" x14ac:dyDescent="0.25">
      <c r="C703" s="3" t="str">
        <f>HYPERLINK("http://amigo.geneontology.org/amigo/term/GO:0019673","GO:0019673")</f>
        <v>GO:0019673</v>
      </c>
      <c r="D703" t="s">
        <v>14725</v>
      </c>
      <c r="E703">
        <v>4</v>
      </c>
      <c r="F703">
        <v>1</v>
      </c>
      <c r="G703">
        <v>0.200994682015291</v>
      </c>
      <c r="H703">
        <v>0.60298404604587497</v>
      </c>
      <c r="I703" t="s">
        <v>14185</v>
      </c>
    </row>
    <row r="704" spans="3:9" x14ac:dyDescent="0.25">
      <c r="C704" s="3" t="str">
        <f>HYPERLINK("http://amigo.geneontology.org/amigo/term/GO:0009298","GO:0009298")</f>
        <v>GO:0009298</v>
      </c>
      <c r="D704" t="s">
        <v>14726</v>
      </c>
      <c r="E704">
        <v>4</v>
      </c>
      <c r="F704">
        <v>1</v>
      </c>
      <c r="G704">
        <v>0.200994682015291</v>
      </c>
      <c r="H704">
        <v>0.60298404604587497</v>
      </c>
      <c r="I704" t="s">
        <v>14185</v>
      </c>
    </row>
    <row r="705" spans="3:9" x14ac:dyDescent="0.25">
      <c r="C705" s="3" t="str">
        <f>HYPERLINK("http://amigo.geneontology.org/amigo/term/GO:0034627","GO:0034627")</f>
        <v>GO:0034627</v>
      </c>
      <c r="D705" t="s">
        <v>14727</v>
      </c>
      <c r="E705">
        <v>4</v>
      </c>
      <c r="F705">
        <v>1</v>
      </c>
      <c r="G705">
        <v>0.200994682015291</v>
      </c>
      <c r="H705">
        <v>0.60298404604587497</v>
      </c>
      <c r="I705" t="s">
        <v>14229</v>
      </c>
    </row>
    <row r="706" spans="3:9" x14ac:dyDescent="0.25">
      <c r="C706" s="3" t="str">
        <f>HYPERLINK("http://amigo.geneontology.org/amigo/term/GO:0034354","GO:0034354")</f>
        <v>GO:0034354</v>
      </c>
      <c r="D706" t="s">
        <v>14728</v>
      </c>
      <c r="E706">
        <v>4</v>
      </c>
      <c r="F706">
        <v>1</v>
      </c>
      <c r="G706">
        <v>0.200994682015291</v>
      </c>
      <c r="H706">
        <v>0.60298404604587497</v>
      </c>
      <c r="I706" t="s">
        <v>14229</v>
      </c>
    </row>
    <row r="707" spans="3:9" x14ac:dyDescent="0.25">
      <c r="C707" s="3" t="str">
        <f>HYPERLINK("http://amigo.geneontology.org/amigo/term/GO:0006207","GO:0006207")</f>
        <v>GO:0006207</v>
      </c>
      <c r="D707" t="s">
        <v>9021</v>
      </c>
      <c r="E707">
        <v>4</v>
      </c>
      <c r="F707">
        <v>1</v>
      </c>
      <c r="G707">
        <v>0.200994682015291</v>
      </c>
      <c r="H707">
        <v>0.60298404604587497</v>
      </c>
      <c r="I707" t="s">
        <v>14201</v>
      </c>
    </row>
    <row r="708" spans="3:9" x14ac:dyDescent="0.25">
      <c r="C708" s="3" t="str">
        <f>HYPERLINK("http://amigo.geneontology.org/amigo/term/GO:0009448","GO:0009448")</f>
        <v>GO:0009448</v>
      </c>
      <c r="D708" t="s">
        <v>14729</v>
      </c>
      <c r="E708">
        <v>4</v>
      </c>
      <c r="F708">
        <v>1</v>
      </c>
      <c r="G708">
        <v>0.200994682015291</v>
      </c>
      <c r="H708">
        <v>0.60298404604587497</v>
      </c>
      <c r="I708" t="s">
        <v>14307</v>
      </c>
    </row>
    <row r="709" spans="3:9" x14ac:dyDescent="0.25">
      <c r="C709" s="3" t="str">
        <f>HYPERLINK("http://amigo.geneontology.org/amigo/term/GO:0038201","GO:0038201")</f>
        <v>GO:0038201</v>
      </c>
      <c r="D709" t="s">
        <v>14730</v>
      </c>
      <c r="E709">
        <v>4</v>
      </c>
      <c r="F709">
        <v>1</v>
      </c>
      <c r="G709">
        <v>0.200994682015291</v>
      </c>
      <c r="H709">
        <v>0.60298404604587497</v>
      </c>
      <c r="I709" t="s">
        <v>14244</v>
      </c>
    </row>
    <row r="710" spans="3:9" x14ac:dyDescent="0.25">
      <c r="C710" s="3" t="str">
        <f>HYPERLINK("http://amigo.geneontology.org/amigo/term/GO:0060590","GO:0060590")</f>
        <v>GO:0060590</v>
      </c>
      <c r="D710" t="s">
        <v>14731</v>
      </c>
      <c r="E710">
        <v>4</v>
      </c>
      <c r="F710">
        <v>1</v>
      </c>
      <c r="G710">
        <v>0.200994682015291</v>
      </c>
      <c r="H710">
        <v>0.60298404604587497</v>
      </c>
      <c r="I710" t="s">
        <v>14264</v>
      </c>
    </row>
    <row r="711" spans="3:9" x14ac:dyDescent="0.25">
      <c r="C711" s="3" t="str">
        <f>HYPERLINK("http://amigo.geneontology.org/amigo/term/GO:0046933","GO:0046933")</f>
        <v>GO:0046933</v>
      </c>
      <c r="D711" t="s">
        <v>14732</v>
      </c>
      <c r="E711">
        <v>4</v>
      </c>
      <c r="F711">
        <v>1</v>
      </c>
      <c r="G711">
        <v>0.200994682015291</v>
      </c>
      <c r="H711">
        <v>0.60298404604587497</v>
      </c>
      <c r="I711" t="s">
        <v>14477</v>
      </c>
    </row>
    <row r="712" spans="3:9" x14ac:dyDescent="0.25">
      <c r="C712" s="3" t="str">
        <f>HYPERLINK("http://amigo.geneontology.org/amigo/term/GO:0090734","GO:0090734")</f>
        <v>GO:0090734</v>
      </c>
      <c r="D712" t="s">
        <v>14733</v>
      </c>
      <c r="E712">
        <v>4</v>
      </c>
      <c r="F712">
        <v>1</v>
      </c>
      <c r="G712">
        <v>0.200994682015291</v>
      </c>
      <c r="H712">
        <v>0.60298404604587497</v>
      </c>
      <c r="I712" t="s">
        <v>14484</v>
      </c>
    </row>
    <row r="713" spans="3:9" x14ac:dyDescent="0.25">
      <c r="C713" s="3" t="str">
        <f>HYPERLINK("http://amigo.geneontology.org/amigo/term/GO:0035861","GO:0035861")</f>
        <v>GO:0035861</v>
      </c>
      <c r="D713" t="s">
        <v>14734</v>
      </c>
      <c r="E713">
        <v>4</v>
      </c>
      <c r="F713">
        <v>1</v>
      </c>
      <c r="G713">
        <v>0.200994682015291</v>
      </c>
      <c r="H713">
        <v>0.60298404604587497</v>
      </c>
      <c r="I713" t="s">
        <v>14484</v>
      </c>
    </row>
    <row r="714" spans="3:9" x14ac:dyDescent="0.25">
      <c r="C714" s="3" t="str">
        <f>HYPERLINK("http://amigo.geneontology.org/amigo/term/GO:0008318","GO:0008318")</f>
        <v>GO:0008318</v>
      </c>
      <c r="D714" t="s">
        <v>14735</v>
      </c>
      <c r="E714">
        <v>4</v>
      </c>
      <c r="F714">
        <v>1</v>
      </c>
      <c r="G714">
        <v>0.200994682015291</v>
      </c>
      <c r="H714">
        <v>0.60298404604587497</v>
      </c>
      <c r="I714" t="s">
        <v>14277</v>
      </c>
    </row>
    <row r="715" spans="3:9" x14ac:dyDescent="0.25">
      <c r="C715" s="3" t="str">
        <f>HYPERLINK("http://amigo.geneontology.org/amigo/term/GO:0097354","GO:0097354")</f>
        <v>GO:0097354</v>
      </c>
      <c r="D715" t="s">
        <v>14736</v>
      </c>
      <c r="E715">
        <v>4</v>
      </c>
      <c r="F715">
        <v>1</v>
      </c>
      <c r="G715">
        <v>0.200994682015291</v>
      </c>
      <c r="H715">
        <v>0.60298404604587497</v>
      </c>
      <c r="I715" t="s">
        <v>14277</v>
      </c>
    </row>
    <row r="716" spans="3:9" x14ac:dyDescent="0.25">
      <c r="C716" s="3" t="str">
        <f>HYPERLINK("http://amigo.geneontology.org/amigo/term/GO:0018342","GO:0018342")</f>
        <v>GO:0018342</v>
      </c>
      <c r="D716" t="s">
        <v>14737</v>
      </c>
      <c r="E716">
        <v>4</v>
      </c>
      <c r="F716">
        <v>1</v>
      </c>
      <c r="G716">
        <v>0.200994682015291</v>
      </c>
      <c r="H716">
        <v>0.60298404604587497</v>
      </c>
      <c r="I716" t="s">
        <v>14277</v>
      </c>
    </row>
    <row r="717" spans="3:9" x14ac:dyDescent="0.25">
      <c r="C717" s="3" t="str">
        <f>HYPERLINK("http://amigo.geneontology.org/amigo/term/GO:0006515","GO:0006515")</f>
        <v>GO:0006515</v>
      </c>
      <c r="D717" t="s">
        <v>14738</v>
      </c>
      <c r="E717">
        <v>4</v>
      </c>
      <c r="F717">
        <v>1</v>
      </c>
      <c r="G717">
        <v>0.200994682015291</v>
      </c>
      <c r="H717">
        <v>0.60298404604587497</v>
      </c>
      <c r="I717" t="s">
        <v>14296</v>
      </c>
    </row>
    <row r="718" spans="3:9" x14ac:dyDescent="0.25">
      <c r="C718" s="3" t="str">
        <f>HYPERLINK("http://amigo.geneontology.org/amigo/term/GO:0046185","GO:0046185")</f>
        <v>GO:0046185</v>
      </c>
      <c r="D718" t="s">
        <v>14739</v>
      </c>
      <c r="E718">
        <v>4</v>
      </c>
      <c r="F718">
        <v>1</v>
      </c>
      <c r="G718">
        <v>0.200994682015291</v>
      </c>
      <c r="H718">
        <v>0.60298404604587497</v>
      </c>
      <c r="I718" t="s">
        <v>14306</v>
      </c>
    </row>
    <row r="719" spans="3:9" x14ac:dyDescent="0.25">
      <c r="C719" s="3" t="str">
        <f>HYPERLINK("http://amigo.geneontology.org/amigo/term/GO:0006813","GO:0006813")</f>
        <v>GO:0006813</v>
      </c>
      <c r="D719" t="s">
        <v>212</v>
      </c>
      <c r="E719">
        <v>4</v>
      </c>
      <c r="F719">
        <v>1</v>
      </c>
      <c r="G719">
        <v>0.200994682015291</v>
      </c>
      <c r="H719">
        <v>0.60298404604587497</v>
      </c>
      <c r="I719" t="s">
        <v>14576</v>
      </c>
    </row>
    <row r="720" spans="3:9" x14ac:dyDescent="0.25">
      <c r="C720" s="3" t="str">
        <f>HYPERLINK("http://amigo.geneontology.org/amigo/term/GO:0071804","GO:0071804")</f>
        <v>GO:0071804</v>
      </c>
      <c r="D720" t="s">
        <v>305</v>
      </c>
      <c r="E720">
        <v>4</v>
      </c>
      <c r="F720">
        <v>1</v>
      </c>
      <c r="G720">
        <v>0.200994682015291</v>
      </c>
      <c r="H720">
        <v>0.60298404604587497</v>
      </c>
      <c r="I720" t="s">
        <v>14576</v>
      </c>
    </row>
    <row r="721" spans="3:9" x14ac:dyDescent="0.25">
      <c r="C721" s="3" t="str">
        <f>HYPERLINK("http://amigo.geneontology.org/amigo/term/GO:0071805","GO:0071805")</f>
        <v>GO:0071805</v>
      </c>
      <c r="D721" t="s">
        <v>308</v>
      </c>
      <c r="E721">
        <v>4</v>
      </c>
      <c r="F721">
        <v>1</v>
      </c>
      <c r="G721">
        <v>0.200994682015291</v>
      </c>
      <c r="H721">
        <v>0.60298404604587497</v>
      </c>
      <c r="I721" t="s">
        <v>14576</v>
      </c>
    </row>
    <row r="722" spans="3:9" x14ac:dyDescent="0.25">
      <c r="C722" s="3" t="str">
        <f>HYPERLINK("http://amigo.geneontology.org/amigo/term/GO:0008443","GO:0008443")</f>
        <v>GO:0008443</v>
      </c>
      <c r="D722" t="s">
        <v>4473</v>
      </c>
      <c r="E722">
        <v>4</v>
      </c>
      <c r="F722">
        <v>1</v>
      </c>
      <c r="G722">
        <v>0.200994682015291</v>
      </c>
      <c r="H722">
        <v>0.60298404604587497</v>
      </c>
      <c r="I722" t="s">
        <v>14316</v>
      </c>
    </row>
    <row r="723" spans="3:9" x14ac:dyDescent="0.25">
      <c r="C723" s="3" t="str">
        <f>HYPERLINK("http://amigo.geneontology.org/amigo/term/GO:0044437","GO:0044437")</f>
        <v>GO:0044437</v>
      </c>
      <c r="D723" t="s">
        <v>14740</v>
      </c>
      <c r="E723">
        <v>16</v>
      </c>
      <c r="F723">
        <v>2</v>
      </c>
      <c r="G723">
        <v>0.21600633850519499</v>
      </c>
      <c r="H723">
        <v>0.64801901551558705</v>
      </c>
      <c r="I723" t="s">
        <v>14572</v>
      </c>
    </row>
    <row r="724" spans="3:9" x14ac:dyDescent="0.25">
      <c r="C724" s="3" t="str">
        <f>HYPERLINK("http://amigo.geneontology.org/amigo/term/GO:0033865","GO:0033865")</f>
        <v>GO:0033865</v>
      </c>
      <c r="D724" t="s">
        <v>5328</v>
      </c>
      <c r="E724">
        <v>16</v>
      </c>
      <c r="F724">
        <v>2</v>
      </c>
      <c r="G724">
        <v>0.21600633850519499</v>
      </c>
      <c r="H724">
        <v>0.64801901551558705</v>
      </c>
      <c r="I724" t="s">
        <v>14370</v>
      </c>
    </row>
    <row r="725" spans="3:9" x14ac:dyDescent="0.25">
      <c r="C725" s="3" t="str">
        <f>HYPERLINK("http://amigo.geneontology.org/amigo/term/GO:0033875","GO:0033875")</f>
        <v>GO:0033875</v>
      </c>
      <c r="D725" t="s">
        <v>5331</v>
      </c>
      <c r="E725">
        <v>16</v>
      </c>
      <c r="F725">
        <v>2</v>
      </c>
      <c r="G725">
        <v>0.21600633850519499</v>
      </c>
      <c r="H725">
        <v>0.64801901551558705</v>
      </c>
      <c r="I725" t="s">
        <v>14370</v>
      </c>
    </row>
    <row r="726" spans="3:9" x14ac:dyDescent="0.25">
      <c r="C726" s="3" t="str">
        <f>HYPERLINK("http://amigo.geneontology.org/amigo/term/GO:0034032","GO:0034032")</f>
        <v>GO:0034032</v>
      </c>
      <c r="D726" t="s">
        <v>5333</v>
      </c>
      <c r="E726">
        <v>16</v>
      </c>
      <c r="F726">
        <v>2</v>
      </c>
      <c r="G726">
        <v>0.21600633850519499</v>
      </c>
      <c r="H726">
        <v>0.64801901551558705</v>
      </c>
      <c r="I726" t="s">
        <v>14370</v>
      </c>
    </row>
    <row r="727" spans="3:9" x14ac:dyDescent="0.25">
      <c r="C727" s="3" t="str">
        <f>HYPERLINK("http://amigo.geneontology.org/amigo/term/GO:0042440","GO:0042440")</f>
        <v>GO:0042440</v>
      </c>
      <c r="D727" t="s">
        <v>13350</v>
      </c>
      <c r="E727">
        <v>16</v>
      </c>
      <c r="F727">
        <v>2</v>
      </c>
      <c r="G727">
        <v>0.21600633850519499</v>
      </c>
      <c r="H727">
        <v>0.64801901551558705</v>
      </c>
      <c r="I727" t="s">
        <v>14332</v>
      </c>
    </row>
    <row r="728" spans="3:9" x14ac:dyDescent="0.25">
      <c r="C728" s="3" t="str">
        <f>HYPERLINK("http://amigo.geneontology.org/amigo/term/GO:0016702","GO:0016702")</f>
        <v>GO:0016702</v>
      </c>
      <c r="D728" t="s">
        <v>14741</v>
      </c>
      <c r="E728">
        <v>16</v>
      </c>
      <c r="F728">
        <v>2</v>
      </c>
      <c r="G728">
        <v>0.21600633850519499</v>
      </c>
      <c r="H728">
        <v>0.64801901551558705</v>
      </c>
      <c r="I728" t="s">
        <v>14742</v>
      </c>
    </row>
    <row r="729" spans="3:9" x14ac:dyDescent="0.25">
      <c r="C729" s="3" t="str">
        <f>HYPERLINK("http://amigo.geneontology.org/amigo/term/GO:0007010","GO:0007010")</f>
        <v>GO:0007010</v>
      </c>
      <c r="D729" t="s">
        <v>5945</v>
      </c>
      <c r="E729">
        <v>30</v>
      </c>
      <c r="F729">
        <v>3</v>
      </c>
      <c r="G729">
        <v>0.22299604111486199</v>
      </c>
      <c r="H729">
        <v>0.66898812334458801</v>
      </c>
      <c r="I729" t="s">
        <v>14391</v>
      </c>
    </row>
    <row r="730" spans="3:9" x14ac:dyDescent="0.25">
      <c r="C730" s="3" t="str">
        <f>HYPERLINK("http://amigo.geneontology.org/amigo/term/GO:0015672","GO:0015672")</f>
        <v>GO:0015672</v>
      </c>
      <c r="D730" t="s">
        <v>427</v>
      </c>
      <c r="E730">
        <v>30</v>
      </c>
      <c r="F730">
        <v>3</v>
      </c>
      <c r="G730">
        <v>0.22299604111486199</v>
      </c>
      <c r="H730">
        <v>0.66898812334458801</v>
      </c>
      <c r="I730" t="s">
        <v>14743</v>
      </c>
    </row>
    <row r="731" spans="3:9" x14ac:dyDescent="0.25">
      <c r="C731" s="3" t="str">
        <f>HYPERLINK("http://amigo.geneontology.org/amigo/term/GO:0009893","GO:0009893")</f>
        <v>GO:0009893</v>
      </c>
      <c r="D731" t="s">
        <v>140</v>
      </c>
      <c r="E731">
        <v>17</v>
      </c>
      <c r="F731">
        <v>2</v>
      </c>
      <c r="G731">
        <v>0.23654824686651499</v>
      </c>
      <c r="H731">
        <v>0.70964474059954497</v>
      </c>
      <c r="I731" t="s">
        <v>14744</v>
      </c>
    </row>
    <row r="732" spans="3:9" x14ac:dyDescent="0.25">
      <c r="C732" s="3" t="str">
        <f>HYPERLINK("http://amigo.geneontology.org/amigo/term/GO:0031325","GO:0031325")</f>
        <v>GO:0031325</v>
      </c>
      <c r="D732" t="s">
        <v>136</v>
      </c>
      <c r="E732">
        <v>17</v>
      </c>
      <c r="F732">
        <v>2</v>
      </c>
      <c r="G732">
        <v>0.23654824686651499</v>
      </c>
      <c r="H732">
        <v>0.70964474059954497</v>
      </c>
      <c r="I732" t="s">
        <v>14744</v>
      </c>
    </row>
    <row r="733" spans="3:9" x14ac:dyDescent="0.25">
      <c r="C733" s="3" t="str">
        <f>HYPERLINK("http://amigo.geneontology.org/amigo/term/GO:0098660","GO:0098660")</f>
        <v>GO:0098660</v>
      </c>
      <c r="D733" t="s">
        <v>350</v>
      </c>
      <c r="E733">
        <v>31</v>
      </c>
      <c r="F733">
        <v>3</v>
      </c>
      <c r="G733">
        <v>0.23769636422150001</v>
      </c>
      <c r="H733">
        <v>0.71308909266450204</v>
      </c>
      <c r="I733" t="s">
        <v>14743</v>
      </c>
    </row>
    <row r="734" spans="3:9" x14ac:dyDescent="0.25">
      <c r="C734" s="3" t="str">
        <f>HYPERLINK("http://amigo.geneontology.org/amigo/term/GO:0098662","GO:0098662")</f>
        <v>GO:0098662</v>
      </c>
      <c r="D734" t="s">
        <v>381</v>
      </c>
      <c r="E734">
        <v>31</v>
      </c>
      <c r="F734">
        <v>3</v>
      </c>
      <c r="G734">
        <v>0.23769636422150001</v>
      </c>
      <c r="H734">
        <v>0.71308909266450204</v>
      </c>
      <c r="I734" t="s">
        <v>14743</v>
      </c>
    </row>
    <row r="735" spans="3:9" x14ac:dyDescent="0.25">
      <c r="C735" s="3" t="str">
        <f>HYPERLINK("http://amigo.geneontology.org/amigo/term/GO:0009991","GO:0009991")</f>
        <v>GO:0009991</v>
      </c>
      <c r="D735" t="s">
        <v>6669</v>
      </c>
      <c r="E735">
        <v>5</v>
      </c>
      <c r="F735">
        <v>1</v>
      </c>
      <c r="G735">
        <v>0.244599313322241</v>
      </c>
      <c r="H735">
        <v>0.48919862664448299</v>
      </c>
      <c r="I735" t="s">
        <v>13559</v>
      </c>
    </row>
    <row r="736" spans="3:9" x14ac:dyDescent="0.25">
      <c r="C736" s="3" t="str">
        <f>HYPERLINK("http://amigo.geneontology.org/amigo/term/GO:0031667","GO:0031667")</f>
        <v>GO:0031667</v>
      </c>
      <c r="D736" t="s">
        <v>6665</v>
      </c>
      <c r="E736">
        <v>5</v>
      </c>
      <c r="F736">
        <v>1</v>
      </c>
      <c r="G736">
        <v>0.244599313322241</v>
      </c>
      <c r="H736">
        <v>0.48919862664448299</v>
      </c>
      <c r="I736" t="s">
        <v>13559</v>
      </c>
    </row>
    <row r="737" spans="3:9" x14ac:dyDescent="0.25">
      <c r="C737" s="3" t="str">
        <f>HYPERLINK("http://amigo.geneontology.org/amigo/term/GO:0071496","GO:0071496")</f>
        <v>GO:0071496</v>
      </c>
      <c r="D737" t="s">
        <v>1563</v>
      </c>
      <c r="E737">
        <v>5</v>
      </c>
      <c r="F737">
        <v>1</v>
      </c>
      <c r="G737">
        <v>0.244599313322241</v>
      </c>
      <c r="H737">
        <v>0.48919862664448299</v>
      </c>
      <c r="I737" t="s">
        <v>13559</v>
      </c>
    </row>
    <row r="738" spans="3:9" x14ac:dyDescent="0.25">
      <c r="C738" s="3" t="str">
        <f>HYPERLINK("http://amigo.geneontology.org/amigo/term/GO:0031668","GO:0031668")</f>
        <v>GO:0031668</v>
      </c>
      <c r="D738" t="s">
        <v>1566</v>
      </c>
      <c r="E738">
        <v>5</v>
      </c>
      <c r="F738">
        <v>1</v>
      </c>
      <c r="G738">
        <v>0.244599313322241</v>
      </c>
      <c r="H738">
        <v>0.48919862664448299</v>
      </c>
      <c r="I738" t="s">
        <v>13559</v>
      </c>
    </row>
    <row r="739" spans="3:9" x14ac:dyDescent="0.25">
      <c r="C739" s="3" t="str">
        <f>HYPERLINK("http://amigo.geneontology.org/amigo/term/GO:0031669","GO:0031669")</f>
        <v>GO:0031669</v>
      </c>
      <c r="D739" t="s">
        <v>6664</v>
      </c>
      <c r="E739">
        <v>5</v>
      </c>
      <c r="F739">
        <v>1</v>
      </c>
      <c r="G739">
        <v>0.244599313322241</v>
      </c>
      <c r="H739">
        <v>0.48919862664448299</v>
      </c>
      <c r="I739" t="s">
        <v>13559</v>
      </c>
    </row>
    <row r="740" spans="3:9" x14ac:dyDescent="0.25">
      <c r="C740" s="3" t="str">
        <f>HYPERLINK("http://amigo.geneontology.org/amigo/term/GO:0042594","GO:0042594")</f>
        <v>GO:0042594</v>
      </c>
      <c r="D740" t="s">
        <v>14745</v>
      </c>
      <c r="E740">
        <v>5</v>
      </c>
      <c r="F740">
        <v>1</v>
      </c>
      <c r="G740">
        <v>0.244599313322241</v>
      </c>
      <c r="H740">
        <v>0.48919862664448299</v>
      </c>
      <c r="I740" t="s">
        <v>13559</v>
      </c>
    </row>
    <row r="741" spans="3:9" x14ac:dyDescent="0.25">
      <c r="C741" s="3" t="str">
        <f>HYPERLINK("http://amigo.geneontology.org/amigo/term/GO:0009267","GO:0009267")</f>
        <v>GO:0009267</v>
      </c>
      <c r="D741" t="s">
        <v>14746</v>
      </c>
      <c r="E741">
        <v>5</v>
      </c>
      <c r="F741">
        <v>1</v>
      </c>
      <c r="G741">
        <v>0.244599313322241</v>
      </c>
      <c r="H741">
        <v>0.48919862664448299</v>
      </c>
      <c r="I741" t="s">
        <v>13559</v>
      </c>
    </row>
    <row r="742" spans="3:9" x14ac:dyDescent="0.25">
      <c r="C742" s="3" t="str">
        <f>HYPERLINK("http://amigo.geneontology.org/amigo/term/GO:0003729","GO:0003729")</f>
        <v>GO:0003729</v>
      </c>
      <c r="D742" t="s">
        <v>14747</v>
      </c>
      <c r="E742">
        <v>5</v>
      </c>
      <c r="F742">
        <v>1</v>
      </c>
      <c r="G742">
        <v>0.244599313322241</v>
      </c>
      <c r="H742">
        <v>0.73379793996672504</v>
      </c>
      <c r="I742" t="s">
        <v>13579</v>
      </c>
    </row>
    <row r="743" spans="3:9" x14ac:dyDescent="0.25">
      <c r="C743" s="3" t="str">
        <f>HYPERLINK("http://amigo.geneontology.org/amigo/term/GO:0008239","GO:0008239")</f>
        <v>GO:0008239</v>
      </c>
      <c r="D743" t="s">
        <v>14748</v>
      </c>
      <c r="E743">
        <v>5</v>
      </c>
      <c r="F743">
        <v>1</v>
      </c>
      <c r="G743">
        <v>0.244599313322241</v>
      </c>
      <c r="H743">
        <v>0.73379793996672504</v>
      </c>
      <c r="I743" t="s">
        <v>13631</v>
      </c>
    </row>
    <row r="744" spans="3:9" x14ac:dyDescent="0.25">
      <c r="C744" s="3" t="str">
        <f>HYPERLINK("http://amigo.geneontology.org/amigo/term/GO:0022624","GO:0022624")</f>
        <v>GO:0022624</v>
      </c>
      <c r="D744" t="s">
        <v>14749</v>
      </c>
      <c r="E744">
        <v>5</v>
      </c>
      <c r="F744">
        <v>1</v>
      </c>
      <c r="G744">
        <v>0.244599313322241</v>
      </c>
      <c r="H744">
        <v>0.73379793996672504</v>
      </c>
      <c r="I744" t="s">
        <v>13654</v>
      </c>
    </row>
    <row r="745" spans="3:9" x14ac:dyDescent="0.25">
      <c r="C745" s="3" t="str">
        <f>HYPERLINK("http://amigo.geneontology.org/amigo/term/GO:0005838","GO:0005838")</f>
        <v>GO:0005838</v>
      </c>
      <c r="D745" t="s">
        <v>14750</v>
      </c>
      <c r="E745">
        <v>5</v>
      </c>
      <c r="F745">
        <v>1</v>
      </c>
      <c r="G745">
        <v>0.244599313322241</v>
      </c>
      <c r="H745">
        <v>0.73379793996672504</v>
      </c>
      <c r="I745" t="s">
        <v>13654</v>
      </c>
    </row>
    <row r="746" spans="3:9" x14ac:dyDescent="0.25">
      <c r="C746" s="3" t="str">
        <f>HYPERLINK("http://amigo.geneontology.org/amigo/term/GO:0035384","GO:0035384")</f>
        <v>GO:0035384</v>
      </c>
      <c r="D746" t="s">
        <v>14751</v>
      </c>
      <c r="E746">
        <v>5</v>
      </c>
      <c r="F746">
        <v>1</v>
      </c>
      <c r="G746">
        <v>0.244599313322241</v>
      </c>
      <c r="H746">
        <v>0.73379793996672504</v>
      </c>
      <c r="I746" t="s">
        <v>13692</v>
      </c>
    </row>
    <row r="747" spans="3:9" x14ac:dyDescent="0.25">
      <c r="C747" s="3" t="str">
        <f>HYPERLINK("http://amigo.geneontology.org/amigo/term/GO:0071616","GO:0071616")</f>
        <v>GO:0071616</v>
      </c>
      <c r="D747" t="s">
        <v>13393</v>
      </c>
      <c r="E747">
        <v>5</v>
      </c>
      <c r="F747">
        <v>1</v>
      </c>
      <c r="G747">
        <v>0.244599313322241</v>
      </c>
      <c r="H747">
        <v>0.73379793996672504</v>
      </c>
      <c r="I747" t="s">
        <v>13692</v>
      </c>
    </row>
    <row r="748" spans="3:9" x14ac:dyDescent="0.25">
      <c r="C748" s="3" t="str">
        <f>HYPERLINK("http://amigo.geneontology.org/amigo/term/GO:0006085","GO:0006085")</f>
        <v>GO:0006085</v>
      </c>
      <c r="D748" t="s">
        <v>13392</v>
      </c>
      <c r="E748">
        <v>5</v>
      </c>
      <c r="F748">
        <v>1</v>
      </c>
      <c r="G748">
        <v>0.244599313322241</v>
      </c>
      <c r="H748">
        <v>0.73379793996672504</v>
      </c>
      <c r="I748" t="s">
        <v>13692</v>
      </c>
    </row>
    <row r="749" spans="3:9" x14ac:dyDescent="0.25">
      <c r="C749" s="3" t="str">
        <f>HYPERLINK("http://amigo.geneontology.org/amigo/term/GO:0051345","GO:0051345")</f>
        <v>GO:0051345</v>
      </c>
      <c r="D749" t="s">
        <v>14752</v>
      </c>
      <c r="E749">
        <v>5</v>
      </c>
      <c r="F749">
        <v>1</v>
      </c>
      <c r="G749">
        <v>0.244599313322241</v>
      </c>
      <c r="H749">
        <v>0.73379793996672504</v>
      </c>
      <c r="I749" t="s">
        <v>13779</v>
      </c>
    </row>
    <row r="750" spans="3:9" x14ac:dyDescent="0.25">
      <c r="C750" s="3" t="str">
        <f>HYPERLINK("http://amigo.geneontology.org/amigo/term/GO:0043547","GO:0043547")</f>
        <v>GO:0043547</v>
      </c>
      <c r="D750" t="s">
        <v>14753</v>
      </c>
      <c r="E750">
        <v>5</v>
      </c>
      <c r="F750">
        <v>1</v>
      </c>
      <c r="G750">
        <v>0.244599313322241</v>
      </c>
      <c r="H750">
        <v>0.73379793996672504</v>
      </c>
      <c r="I750" t="s">
        <v>13779</v>
      </c>
    </row>
    <row r="751" spans="3:9" x14ac:dyDescent="0.25">
      <c r="C751" s="3" t="str">
        <f>HYPERLINK("http://amigo.geneontology.org/amigo/term/GO:0046653","GO:0046653")</f>
        <v>GO:0046653</v>
      </c>
      <c r="D751" t="s">
        <v>14754</v>
      </c>
      <c r="E751">
        <v>5</v>
      </c>
      <c r="F751">
        <v>1</v>
      </c>
      <c r="G751">
        <v>0.244599313322241</v>
      </c>
      <c r="H751">
        <v>0.73379793996672504</v>
      </c>
      <c r="I751" t="s">
        <v>13954</v>
      </c>
    </row>
    <row r="752" spans="3:9" x14ac:dyDescent="0.25">
      <c r="C752" s="3" t="str">
        <f>HYPERLINK("http://amigo.geneontology.org/amigo/term/GO:1902221","GO:1902221")</f>
        <v>GO:1902221</v>
      </c>
      <c r="D752" t="s">
        <v>6913</v>
      </c>
      <c r="E752">
        <v>5</v>
      </c>
      <c r="F752">
        <v>1</v>
      </c>
      <c r="G752">
        <v>0.244599313322241</v>
      </c>
      <c r="H752">
        <v>0.73379793996672504</v>
      </c>
      <c r="I752" t="s">
        <v>13963</v>
      </c>
    </row>
    <row r="753" spans="3:9" x14ac:dyDescent="0.25">
      <c r="C753" s="3" t="str">
        <f>HYPERLINK("http://amigo.geneontology.org/amigo/term/GO:0006558","GO:0006558")</f>
        <v>GO:0006558</v>
      </c>
      <c r="D753" t="s">
        <v>6916</v>
      </c>
      <c r="E753">
        <v>5</v>
      </c>
      <c r="F753">
        <v>1</v>
      </c>
      <c r="G753">
        <v>0.244599313322241</v>
      </c>
      <c r="H753">
        <v>0.73379793996672504</v>
      </c>
      <c r="I753" t="s">
        <v>13963</v>
      </c>
    </row>
    <row r="754" spans="3:9" x14ac:dyDescent="0.25">
      <c r="C754" s="3" t="str">
        <f>HYPERLINK("http://amigo.geneontology.org/amigo/term/GO:0016703","GO:0016703")</f>
        <v>GO:0016703</v>
      </c>
      <c r="D754" t="s">
        <v>9987</v>
      </c>
      <c r="E754">
        <v>5</v>
      </c>
      <c r="F754">
        <v>1</v>
      </c>
      <c r="G754">
        <v>0.244599313322241</v>
      </c>
      <c r="H754">
        <v>0.73379793996672504</v>
      </c>
      <c r="I754" t="s">
        <v>13976</v>
      </c>
    </row>
    <row r="755" spans="3:9" x14ac:dyDescent="0.25">
      <c r="C755" s="3" t="str">
        <f>HYPERLINK("http://amigo.geneontology.org/amigo/term/GO:0018580","GO:0018580")</f>
        <v>GO:0018580</v>
      </c>
      <c r="D755" t="s">
        <v>14755</v>
      </c>
      <c r="E755">
        <v>5</v>
      </c>
      <c r="F755">
        <v>1</v>
      </c>
      <c r="G755">
        <v>0.244599313322241</v>
      </c>
      <c r="H755">
        <v>0.73379793996672504</v>
      </c>
      <c r="I755" t="s">
        <v>13976</v>
      </c>
    </row>
    <row r="756" spans="3:9" x14ac:dyDescent="0.25">
      <c r="C756" s="3" t="str">
        <f>HYPERLINK("http://amigo.geneontology.org/amigo/term/GO:0042451","GO:0042451")</f>
        <v>GO:0042451</v>
      </c>
      <c r="D756" t="s">
        <v>4459</v>
      </c>
      <c r="E756">
        <v>5</v>
      </c>
      <c r="F756">
        <v>1</v>
      </c>
      <c r="G756">
        <v>0.244599313322241</v>
      </c>
      <c r="H756">
        <v>0.73379793996672504</v>
      </c>
      <c r="I756" t="s">
        <v>13980</v>
      </c>
    </row>
    <row r="757" spans="3:9" x14ac:dyDescent="0.25">
      <c r="C757" s="3" t="str">
        <f>HYPERLINK("http://amigo.geneontology.org/amigo/term/GO:0046129","GO:0046129")</f>
        <v>GO:0046129</v>
      </c>
      <c r="D757" t="s">
        <v>4460</v>
      </c>
      <c r="E757">
        <v>5</v>
      </c>
      <c r="F757">
        <v>1</v>
      </c>
      <c r="G757">
        <v>0.244599313322241</v>
      </c>
      <c r="H757">
        <v>0.73379793996672504</v>
      </c>
      <c r="I757" t="s">
        <v>13980</v>
      </c>
    </row>
    <row r="758" spans="3:9" x14ac:dyDescent="0.25">
      <c r="C758" s="3" t="str">
        <f>HYPERLINK("http://amigo.geneontology.org/amigo/term/GO:0071265","GO:0071265")</f>
        <v>GO:0071265</v>
      </c>
      <c r="D758" t="s">
        <v>14756</v>
      </c>
      <c r="E758">
        <v>5</v>
      </c>
      <c r="F758">
        <v>1</v>
      </c>
      <c r="G758">
        <v>0.244599313322241</v>
      </c>
      <c r="H758">
        <v>0.73379793996672504</v>
      </c>
      <c r="I758" t="s">
        <v>13980</v>
      </c>
    </row>
    <row r="759" spans="3:9" x14ac:dyDescent="0.25">
      <c r="C759" s="3" t="str">
        <f>HYPERLINK("http://amigo.geneontology.org/amigo/term/GO:0006801","GO:0006801")</f>
        <v>GO:0006801</v>
      </c>
      <c r="D759" t="s">
        <v>14757</v>
      </c>
      <c r="E759">
        <v>5</v>
      </c>
      <c r="F759">
        <v>1</v>
      </c>
      <c r="G759">
        <v>0.244599313322241</v>
      </c>
      <c r="H759">
        <v>0.73379793996672504</v>
      </c>
      <c r="I759" t="s">
        <v>14006</v>
      </c>
    </row>
    <row r="760" spans="3:9" x14ac:dyDescent="0.25">
      <c r="C760" s="3" t="str">
        <f>HYPERLINK("http://amigo.geneontology.org/amigo/term/GO:0010035","GO:0010035")</f>
        <v>GO:0010035</v>
      </c>
      <c r="D760" t="s">
        <v>144</v>
      </c>
      <c r="E760">
        <v>5</v>
      </c>
      <c r="F760">
        <v>1</v>
      </c>
      <c r="G760">
        <v>0.244599313322241</v>
      </c>
      <c r="H760">
        <v>0.73379793996672504</v>
      </c>
      <c r="I760" t="s">
        <v>14006</v>
      </c>
    </row>
    <row r="761" spans="3:9" x14ac:dyDescent="0.25">
      <c r="C761" s="3" t="str">
        <f>HYPERLINK("http://amigo.geneontology.org/amigo/term/GO:0006875","GO:0006875")</f>
        <v>GO:0006875</v>
      </c>
      <c r="D761" t="s">
        <v>14758</v>
      </c>
      <c r="E761">
        <v>5</v>
      </c>
      <c r="F761">
        <v>1</v>
      </c>
      <c r="G761">
        <v>0.244599313322241</v>
      </c>
      <c r="H761">
        <v>0.73379793996672504</v>
      </c>
      <c r="I761" t="s">
        <v>14006</v>
      </c>
    </row>
    <row r="762" spans="3:9" x14ac:dyDescent="0.25">
      <c r="C762" s="3" t="str">
        <f>HYPERLINK("http://amigo.geneontology.org/amigo/term/GO:0031970","GO:0031970")</f>
        <v>GO:0031970</v>
      </c>
      <c r="D762" t="s">
        <v>14759</v>
      </c>
      <c r="E762">
        <v>5</v>
      </c>
      <c r="F762">
        <v>1</v>
      </c>
      <c r="G762">
        <v>0.244599313322241</v>
      </c>
      <c r="H762">
        <v>0.73379793996672504</v>
      </c>
      <c r="I762" t="s">
        <v>14006</v>
      </c>
    </row>
    <row r="763" spans="3:9" x14ac:dyDescent="0.25">
      <c r="C763" s="3" t="str">
        <f>HYPERLINK("http://amigo.geneontology.org/amigo/term/GO:0005758","GO:0005758")</f>
        <v>GO:0005758</v>
      </c>
      <c r="D763" t="s">
        <v>14760</v>
      </c>
      <c r="E763">
        <v>5</v>
      </c>
      <c r="F763">
        <v>1</v>
      </c>
      <c r="G763">
        <v>0.244599313322241</v>
      </c>
      <c r="H763">
        <v>0.73379793996672504</v>
      </c>
      <c r="I763" t="s">
        <v>14006</v>
      </c>
    </row>
    <row r="764" spans="3:9" x14ac:dyDescent="0.25">
      <c r="C764" s="3" t="str">
        <f>HYPERLINK("http://amigo.geneontology.org/amigo/term/GO:0099516","GO:0099516")</f>
        <v>GO:0099516</v>
      </c>
      <c r="D764" t="s">
        <v>579</v>
      </c>
      <c r="E764">
        <v>5</v>
      </c>
      <c r="F764">
        <v>1</v>
      </c>
      <c r="G764">
        <v>0.244599313322241</v>
      </c>
      <c r="H764">
        <v>0.73379793996672504</v>
      </c>
      <c r="I764" t="s">
        <v>14022</v>
      </c>
    </row>
    <row r="765" spans="3:9" x14ac:dyDescent="0.25">
      <c r="C765" s="3" t="str">
        <f>HYPERLINK("http://amigo.geneontology.org/amigo/term/GO:0015491","GO:0015491")</f>
        <v>GO:0015491</v>
      </c>
      <c r="D765" t="s">
        <v>478</v>
      </c>
      <c r="E765">
        <v>5</v>
      </c>
      <c r="F765">
        <v>1</v>
      </c>
      <c r="G765">
        <v>0.244599313322241</v>
      </c>
      <c r="H765">
        <v>0.73379793996672504</v>
      </c>
      <c r="I765" t="s">
        <v>14022</v>
      </c>
    </row>
    <row r="766" spans="3:9" x14ac:dyDescent="0.25">
      <c r="C766" s="3" t="str">
        <f>HYPERLINK("http://amigo.geneontology.org/amigo/term/GO:0006534","GO:0006534")</f>
        <v>GO:0006534</v>
      </c>
      <c r="D766" t="s">
        <v>14761</v>
      </c>
      <c r="E766">
        <v>5</v>
      </c>
      <c r="F766">
        <v>1</v>
      </c>
      <c r="G766">
        <v>0.244599313322241</v>
      </c>
      <c r="H766">
        <v>0.73379793996672504</v>
      </c>
      <c r="I766" t="s">
        <v>14033</v>
      </c>
    </row>
    <row r="767" spans="3:9" x14ac:dyDescent="0.25">
      <c r="C767" s="3" t="str">
        <f>HYPERLINK("http://amigo.geneontology.org/amigo/term/GO:0051187","GO:0051187")</f>
        <v>GO:0051187</v>
      </c>
      <c r="D767" t="s">
        <v>4229</v>
      </c>
      <c r="E767">
        <v>5</v>
      </c>
      <c r="F767">
        <v>1</v>
      </c>
      <c r="G767">
        <v>0.244599313322241</v>
      </c>
      <c r="H767">
        <v>0.73379793996672504</v>
      </c>
      <c r="I767" t="s">
        <v>14129</v>
      </c>
    </row>
    <row r="768" spans="3:9" x14ac:dyDescent="0.25">
      <c r="C768" s="3" t="str">
        <f>HYPERLINK("http://amigo.geneontology.org/amigo/term/GO:0005849","GO:0005849")</f>
        <v>GO:0005849</v>
      </c>
      <c r="D768" t="s">
        <v>14762</v>
      </c>
      <c r="E768">
        <v>5</v>
      </c>
      <c r="F768">
        <v>1</v>
      </c>
      <c r="G768">
        <v>0.244599313322241</v>
      </c>
      <c r="H768">
        <v>0.73379793996672504</v>
      </c>
      <c r="I768" t="s">
        <v>14184</v>
      </c>
    </row>
    <row r="769" spans="3:9" x14ac:dyDescent="0.25">
      <c r="C769" s="3" t="str">
        <f>HYPERLINK("http://amigo.geneontology.org/amigo/term/GO:0031124","GO:0031124")</f>
        <v>GO:0031124</v>
      </c>
      <c r="D769" t="s">
        <v>14763</v>
      </c>
      <c r="E769">
        <v>5</v>
      </c>
      <c r="F769">
        <v>1</v>
      </c>
      <c r="G769">
        <v>0.244599313322241</v>
      </c>
      <c r="H769">
        <v>0.73379793996672504</v>
      </c>
      <c r="I769" t="s">
        <v>14184</v>
      </c>
    </row>
    <row r="770" spans="3:9" x14ac:dyDescent="0.25">
      <c r="C770" s="3" t="str">
        <f>HYPERLINK("http://amigo.geneontology.org/amigo/term/GO:0043631","GO:0043631")</f>
        <v>GO:0043631</v>
      </c>
      <c r="D770" t="s">
        <v>14764</v>
      </c>
      <c r="E770">
        <v>5</v>
      </c>
      <c r="F770">
        <v>1</v>
      </c>
      <c r="G770">
        <v>0.244599313322241</v>
      </c>
      <c r="H770">
        <v>0.73379793996672504</v>
      </c>
      <c r="I770" t="s">
        <v>14184</v>
      </c>
    </row>
    <row r="771" spans="3:9" x14ac:dyDescent="0.25">
      <c r="C771" s="3" t="str">
        <f>HYPERLINK("http://amigo.geneontology.org/amigo/term/GO:0090501","GO:0090501")</f>
        <v>GO:0090501</v>
      </c>
      <c r="D771" t="s">
        <v>9661</v>
      </c>
      <c r="E771">
        <v>5</v>
      </c>
      <c r="F771">
        <v>1</v>
      </c>
      <c r="G771">
        <v>0.244599313322241</v>
      </c>
      <c r="H771">
        <v>0.73379793996672504</v>
      </c>
      <c r="I771" t="s">
        <v>14184</v>
      </c>
    </row>
    <row r="772" spans="3:9" x14ac:dyDescent="0.25">
      <c r="C772" s="3" t="str">
        <f>HYPERLINK("http://amigo.geneontology.org/amigo/term/GO:0009225","GO:0009225")</f>
        <v>GO:0009225</v>
      </c>
      <c r="D772" t="s">
        <v>14765</v>
      </c>
      <c r="E772">
        <v>5</v>
      </c>
      <c r="F772">
        <v>1</v>
      </c>
      <c r="G772">
        <v>0.244599313322241</v>
      </c>
      <c r="H772">
        <v>0.73379793996672504</v>
      </c>
      <c r="I772" t="s">
        <v>14185</v>
      </c>
    </row>
    <row r="773" spans="3:9" x14ac:dyDescent="0.25">
      <c r="C773" s="3" t="str">
        <f>HYPERLINK("http://amigo.geneontology.org/amigo/term/GO:0016822","GO:0016822")</f>
        <v>GO:0016822</v>
      </c>
      <c r="D773" t="s">
        <v>14766</v>
      </c>
      <c r="E773">
        <v>5</v>
      </c>
      <c r="F773">
        <v>1</v>
      </c>
      <c r="G773">
        <v>0.244599313322241</v>
      </c>
      <c r="H773">
        <v>0.73379793996672504</v>
      </c>
      <c r="I773" t="s">
        <v>14229</v>
      </c>
    </row>
    <row r="774" spans="3:9" x14ac:dyDescent="0.25">
      <c r="C774" s="3" t="str">
        <f>HYPERLINK("http://amigo.geneontology.org/amigo/term/GO:0016823","GO:0016823")</f>
        <v>GO:0016823</v>
      </c>
      <c r="D774" t="s">
        <v>14767</v>
      </c>
      <c r="E774">
        <v>5</v>
      </c>
      <c r="F774">
        <v>1</v>
      </c>
      <c r="G774">
        <v>0.244599313322241</v>
      </c>
      <c r="H774">
        <v>0.73379793996672504</v>
      </c>
      <c r="I774" t="s">
        <v>14229</v>
      </c>
    </row>
    <row r="775" spans="3:9" x14ac:dyDescent="0.25">
      <c r="C775" s="3" t="str">
        <f>HYPERLINK("http://amigo.geneontology.org/amigo/term/GO:0042816","GO:0042816")</f>
        <v>GO:0042816</v>
      </c>
      <c r="D775" t="s">
        <v>14768</v>
      </c>
      <c r="E775">
        <v>5</v>
      </c>
      <c r="F775">
        <v>1</v>
      </c>
      <c r="G775">
        <v>0.244599313322241</v>
      </c>
      <c r="H775">
        <v>0.73379793996672504</v>
      </c>
      <c r="I775" t="s">
        <v>14252</v>
      </c>
    </row>
    <row r="776" spans="3:9" x14ac:dyDescent="0.25">
      <c r="C776" s="3" t="str">
        <f>HYPERLINK("http://amigo.geneontology.org/amigo/term/GO:0042819","GO:0042819")</f>
        <v>GO:0042819</v>
      </c>
      <c r="D776" t="s">
        <v>14769</v>
      </c>
      <c r="E776">
        <v>5</v>
      </c>
      <c r="F776">
        <v>1</v>
      </c>
      <c r="G776">
        <v>0.244599313322241</v>
      </c>
      <c r="H776">
        <v>0.73379793996672504</v>
      </c>
      <c r="I776" t="s">
        <v>14252</v>
      </c>
    </row>
    <row r="777" spans="3:9" x14ac:dyDescent="0.25">
      <c r="C777" s="3" t="str">
        <f>HYPERLINK("http://amigo.geneontology.org/amigo/term/GO:0006206","GO:0006206")</f>
        <v>GO:0006206</v>
      </c>
      <c r="D777" t="s">
        <v>9093</v>
      </c>
      <c r="E777">
        <v>5</v>
      </c>
      <c r="F777">
        <v>1</v>
      </c>
      <c r="G777">
        <v>0.244599313322241</v>
      </c>
      <c r="H777">
        <v>0.73379793996672504</v>
      </c>
      <c r="I777" t="s">
        <v>14201</v>
      </c>
    </row>
    <row r="778" spans="3:9" x14ac:dyDescent="0.25">
      <c r="C778" s="3" t="str">
        <f>HYPERLINK("http://amigo.geneontology.org/amigo/term/GO:0019856","GO:0019856")</f>
        <v>GO:0019856</v>
      </c>
      <c r="D778" t="s">
        <v>9045</v>
      </c>
      <c r="E778">
        <v>5</v>
      </c>
      <c r="F778">
        <v>1</v>
      </c>
      <c r="G778">
        <v>0.244599313322241</v>
      </c>
      <c r="H778">
        <v>0.73379793996672504</v>
      </c>
      <c r="I778" t="s">
        <v>14201</v>
      </c>
    </row>
    <row r="779" spans="3:9" x14ac:dyDescent="0.25">
      <c r="C779" s="3" t="str">
        <f>HYPERLINK("http://amigo.geneontology.org/amigo/term/GO:0009309","GO:0009309")</f>
        <v>GO:0009309</v>
      </c>
      <c r="D779" t="s">
        <v>10164</v>
      </c>
      <c r="E779">
        <v>5</v>
      </c>
      <c r="F779">
        <v>1</v>
      </c>
      <c r="G779">
        <v>0.244599313322241</v>
      </c>
      <c r="H779">
        <v>0.73379793996672504</v>
      </c>
      <c r="I779" t="s">
        <v>14343</v>
      </c>
    </row>
    <row r="780" spans="3:9" x14ac:dyDescent="0.25">
      <c r="C780" s="3" t="str">
        <f>HYPERLINK("http://amigo.geneontology.org/amigo/term/GO:0042401","GO:0042401")</f>
        <v>GO:0042401</v>
      </c>
      <c r="D780" t="s">
        <v>10166</v>
      </c>
      <c r="E780">
        <v>5</v>
      </c>
      <c r="F780">
        <v>1</v>
      </c>
      <c r="G780">
        <v>0.244599313322241</v>
      </c>
      <c r="H780">
        <v>0.73379793996672504</v>
      </c>
      <c r="I780" t="s">
        <v>14343</v>
      </c>
    </row>
    <row r="781" spans="3:9" x14ac:dyDescent="0.25">
      <c r="C781" s="3" t="str">
        <f>HYPERLINK("http://amigo.geneontology.org/amigo/term/GO:0004857","GO:0004857")</f>
        <v>GO:0004857</v>
      </c>
      <c r="D781" t="s">
        <v>347</v>
      </c>
      <c r="E781">
        <v>5</v>
      </c>
      <c r="F781">
        <v>1</v>
      </c>
      <c r="G781">
        <v>0.244599313322241</v>
      </c>
      <c r="H781">
        <v>0.73379793996672504</v>
      </c>
      <c r="I781" t="s">
        <v>14264</v>
      </c>
    </row>
    <row r="782" spans="3:9" x14ac:dyDescent="0.25">
      <c r="C782" s="3" t="str">
        <f>HYPERLINK("http://amigo.geneontology.org/amigo/term/GO:0033180","GO:0033180")</f>
        <v>GO:0033180</v>
      </c>
      <c r="D782" t="s">
        <v>14770</v>
      </c>
      <c r="E782">
        <v>5</v>
      </c>
      <c r="F782">
        <v>1</v>
      </c>
      <c r="G782">
        <v>0.244599313322241</v>
      </c>
      <c r="H782">
        <v>0.73379793996672504</v>
      </c>
      <c r="I782" t="s">
        <v>14479</v>
      </c>
    </row>
    <row r="783" spans="3:9" x14ac:dyDescent="0.25">
      <c r="C783" s="3" t="str">
        <f>HYPERLINK("http://amigo.geneontology.org/amigo/term/GO:0061982","GO:0061982")</f>
        <v>GO:0061982</v>
      </c>
      <c r="D783" t="s">
        <v>14771</v>
      </c>
      <c r="E783">
        <v>5</v>
      </c>
      <c r="F783">
        <v>1</v>
      </c>
      <c r="G783">
        <v>0.244599313322241</v>
      </c>
      <c r="H783">
        <v>0.73379793996672504</v>
      </c>
      <c r="I783" t="s">
        <v>14484</v>
      </c>
    </row>
    <row r="784" spans="3:9" x14ac:dyDescent="0.25">
      <c r="C784" s="3" t="str">
        <f>HYPERLINK("http://amigo.geneontology.org/amigo/term/GO:0007127","GO:0007127")</f>
        <v>GO:0007127</v>
      </c>
      <c r="D784" t="s">
        <v>14772</v>
      </c>
      <c r="E784">
        <v>5</v>
      </c>
      <c r="F784">
        <v>1</v>
      </c>
      <c r="G784">
        <v>0.244599313322241</v>
      </c>
      <c r="H784">
        <v>0.73379793996672504</v>
      </c>
      <c r="I784" t="s">
        <v>14484</v>
      </c>
    </row>
    <row r="785" spans="3:9" x14ac:dyDescent="0.25">
      <c r="C785" s="3" t="str">
        <f>HYPERLINK("http://amigo.geneontology.org/amigo/term/GO:0009405","GO:0009405")</f>
        <v>GO:0009405</v>
      </c>
      <c r="D785" t="s">
        <v>5633</v>
      </c>
      <c r="E785">
        <v>5</v>
      </c>
      <c r="F785">
        <v>1</v>
      </c>
      <c r="G785">
        <v>0.244599313322241</v>
      </c>
      <c r="H785">
        <v>0.73379793996672504</v>
      </c>
      <c r="I785" t="s">
        <v>14531</v>
      </c>
    </row>
    <row r="786" spans="3:9" x14ac:dyDescent="0.25">
      <c r="C786" s="3" t="str">
        <f>HYPERLINK("http://amigo.geneontology.org/amigo/term/GO:0016482","GO:0016482")</f>
        <v>GO:0016482</v>
      </c>
      <c r="D786" t="s">
        <v>14773</v>
      </c>
      <c r="E786">
        <v>5</v>
      </c>
      <c r="F786">
        <v>1</v>
      </c>
      <c r="G786">
        <v>0.244599313322241</v>
      </c>
      <c r="H786">
        <v>0.73379793996672504</v>
      </c>
      <c r="I786" t="s">
        <v>14564</v>
      </c>
    </row>
    <row r="787" spans="3:9" x14ac:dyDescent="0.25">
      <c r="C787" s="3" t="str">
        <f>HYPERLINK("http://amigo.geneontology.org/amigo/term/GO:0042147","GO:0042147")</f>
        <v>GO:0042147</v>
      </c>
      <c r="D787" t="s">
        <v>14774</v>
      </c>
      <c r="E787">
        <v>5</v>
      </c>
      <c r="F787">
        <v>1</v>
      </c>
      <c r="G787">
        <v>0.244599313322241</v>
      </c>
      <c r="H787">
        <v>0.73379793996672504</v>
      </c>
      <c r="I787" t="s">
        <v>14564</v>
      </c>
    </row>
    <row r="788" spans="3:9" x14ac:dyDescent="0.25">
      <c r="C788" s="3" t="str">
        <f>HYPERLINK("http://amigo.geneontology.org/amigo/term/GO:0005887","GO:0005887")</f>
        <v>GO:0005887</v>
      </c>
      <c r="D788" t="s">
        <v>861</v>
      </c>
      <c r="E788">
        <v>5</v>
      </c>
      <c r="F788">
        <v>1</v>
      </c>
      <c r="G788">
        <v>0.244599313322241</v>
      </c>
      <c r="H788">
        <v>0.73379793996672504</v>
      </c>
      <c r="I788" t="s">
        <v>14576</v>
      </c>
    </row>
    <row r="789" spans="3:9" x14ac:dyDescent="0.25">
      <c r="C789" s="3" t="str">
        <f>HYPERLINK("http://amigo.geneontology.org/amigo/term/GO:0016624","GO:0016624")</f>
        <v>GO:0016624</v>
      </c>
      <c r="D789" t="s">
        <v>14775</v>
      </c>
      <c r="E789">
        <v>5</v>
      </c>
      <c r="F789">
        <v>1</v>
      </c>
      <c r="G789">
        <v>0.244599313322241</v>
      </c>
      <c r="H789">
        <v>0.73379793996672504</v>
      </c>
      <c r="I789" t="s">
        <v>14600</v>
      </c>
    </row>
    <row r="790" spans="3:9" x14ac:dyDescent="0.25">
      <c r="C790" s="3" t="str">
        <f>HYPERLINK("http://amigo.geneontology.org/amigo/term/GO:0009894","GO:0009894")</f>
        <v>GO:0009894</v>
      </c>
      <c r="D790" t="s">
        <v>14776</v>
      </c>
      <c r="E790">
        <v>5</v>
      </c>
      <c r="F790">
        <v>1</v>
      </c>
      <c r="G790">
        <v>0.244599313322241</v>
      </c>
      <c r="H790">
        <v>0.73379793996672504</v>
      </c>
      <c r="I790" t="s">
        <v>14556</v>
      </c>
    </row>
    <row r="791" spans="3:9" x14ac:dyDescent="0.25">
      <c r="C791" s="3" t="str">
        <f>HYPERLINK("http://amigo.geneontology.org/amigo/term/GO:0140096","GO:0140096")</f>
        <v>GO:0140096</v>
      </c>
      <c r="D791" t="s">
        <v>6920</v>
      </c>
      <c r="E791">
        <v>430</v>
      </c>
      <c r="F791">
        <v>27</v>
      </c>
      <c r="G791">
        <v>0.24647660421991699</v>
      </c>
      <c r="H791">
        <v>0.49295320843983398</v>
      </c>
      <c r="I791" t="s">
        <v>14777</v>
      </c>
    </row>
    <row r="792" spans="3:9" x14ac:dyDescent="0.25">
      <c r="C792" s="3" t="str">
        <f>HYPERLINK("http://amigo.geneontology.org/amigo/term/GO:0016747","GO:0016747")</f>
        <v>GO:0016747</v>
      </c>
      <c r="D792" t="s">
        <v>708</v>
      </c>
      <c r="E792">
        <v>110</v>
      </c>
      <c r="F792">
        <v>8</v>
      </c>
      <c r="G792">
        <v>0.25070182311505501</v>
      </c>
      <c r="H792">
        <v>0.50140364623011002</v>
      </c>
      <c r="I792" t="s">
        <v>14778</v>
      </c>
    </row>
    <row r="793" spans="3:9" x14ac:dyDescent="0.25">
      <c r="C793" s="3" t="str">
        <f>HYPERLINK("http://amigo.geneontology.org/amigo/term/GO:0043168","GO:0043168")</f>
        <v>GO:0043168</v>
      </c>
      <c r="D793" t="s">
        <v>7011</v>
      </c>
      <c r="E793">
        <v>922</v>
      </c>
      <c r="F793">
        <v>55</v>
      </c>
      <c r="G793">
        <v>0.25158887797175</v>
      </c>
      <c r="H793">
        <v>0.5031777559435</v>
      </c>
      <c r="I793" t="s">
        <v>14779</v>
      </c>
    </row>
    <row r="794" spans="3:9" x14ac:dyDescent="0.25">
      <c r="C794" s="3" t="str">
        <f>HYPERLINK("http://amigo.geneontology.org/amigo/term/GO:0042579","GO:0042579")</f>
        <v>GO:0042579</v>
      </c>
      <c r="D794" t="s">
        <v>14780</v>
      </c>
      <c r="E794">
        <v>18</v>
      </c>
      <c r="F794">
        <v>2</v>
      </c>
      <c r="G794">
        <v>0.25718728810535701</v>
      </c>
      <c r="H794">
        <v>0.51437457621071503</v>
      </c>
      <c r="I794" t="s">
        <v>13960</v>
      </c>
    </row>
    <row r="795" spans="3:9" x14ac:dyDescent="0.25">
      <c r="C795" s="3" t="str">
        <f>HYPERLINK("http://amigo.geneontology.org/amigo/term/GO:0005777","GO:0005777")</f>
        <v>GO:0005777</v>
      </c>
      <c r="D795" t="s">
        <v>14781</v>
      </c>
      <c r="E795">
        <v>18</v>
      </c>
      <c r="F795">
        <v>2</v>
      </c>
      <c r="G795">
        <v>0.25718728810535701</v>
      </c>
      <c r="H795">
        <v>0.51437457621071503</v>
      </c>
      <c r="I795" t="s">
        <v>13960</v>
      </c>
    </row>
    <row r="796" spans="3:9" x14ac:dyDescent="0.25">
      <c r="C796" s="3" t="str">
        <f>HYPERLINK("http://amigo.geneontology.org/amigo/term/GO:0044087","GO:0044087")</f>
        <v>GO:0044087</v>
      </c>
      <c r="D796" t="s">
        <v>14782</v>
      </c>
      <c r="E796">
        <v>18</v>
      </c>
      <c r="F796">
        <v>2</v>
      </c>
      <c r="G796">
        <v>0.25718728810535701</v>
      </c>
      <c r="H796">
        <v>0.51437457621071503</v>
      </c>
      <c r="I796" t="s">
        <v>13919</v>
      </c>
    </row>
    <row r="797" spans="3:9" x14ac:dyDescent="0.25">
      <c r="C797" s="3" t="str">
        <f>HYPERLINK("http://amigo.geneontology.org/amigo/term/GO:0031324","GO:0031324")</f>
        <v>GO:0031324</v>
      </c>
      <c r="D797" t="s">
        <v>7179</v>
      </c>
      <c r="E797">
        <v>18</v>
      </c>
      <c r="F797">
        <v>2</v>
      </c>
      <c r="G797">
        <v>0.25718728810535701</v>
      </c>
      <c r="H797">
        <v>0.51437457621071503</v>
      </c>
      <c r="I797" t="s">
        <v>14783</v>
      </c>
    </row>
    <row r="798" spans="3:9" x14ac:dyDescent="0.25">
      <c r="C798" s="3" t="str">
        <f>HYPERLINK("http://amigo.geneontology.org/amigo/term/GO:1901617","GO:1901617")</f>
        <v>GO:1901617</v>
      </c>
      <c r="D798" t="s">
        <v>126</v>
      </c>
      <c r="E798">
        <v>18</v>
      </c>
      <c r="F798">
        <v>2</v>
      </c>
      <c r="G798">
        <v>0.25718728810535701</v>
      </c>
      <c r="H798">
        <v>0.51437457621071503</v>
      </c>
      <c r="I798" t="s">
        <v>14784</v>
      </c>
    </row>
    <row r="799" spans="3:9" x14ac:dyDescent="0.25">
      <c r="C799" s="3" t="str">
        <f>HYPERLINK("http://amigo.geneontology.org/amigo/term/GO:0044036","GO:0044036")</f>
        <v>GO:0044036</v>
      </c>
      <c r="D799" t="s">
        <v>828</v>
      </c>
      <c r="E799">
        <v>18</v>
      </c>
      <c r="F799">
        <v>2</v>
      </c>
      <c r="G799">
        <v>0.25718728810535701</v>
      </c>
      <c r="H799">
        <v>0.51437457621071503</v>
      </c>
      <c r="I799" t="s">
        <v>14706</v>
      </c>
    </row>
    <row r="800" spans="3:9" x14ac:dyDescent="0.25">
      <c r="C800" s="3" t="str">
        <f>HYPERLINK("http://amigo.geneontology.org/amigo/term/GO:0042180","GO:0042180")</f>
        <v>GO:0042180</v>
      </c>
      <c r="D800" t="s">
        <v>14785</v>
      </c>
      <c r="E800">
        <v>18</v>
      </c>
      <c r="F800">
        <v>2</v>
      </c>
      <c r="G800">
        <v>0.25718728810535701</v>
      </c>
      <c r="H800">
        <v>0.51437457621071503</v>
      </c>
      <c r="I800" t="s">
        <v>13868</v>
      </c>
    </row>
    <row r="801" spans="3:9" x14ac:dyDescent="0.25">
      <c r="C801" s="3" t="str">
        <f>HYPERLINK("http://amigo.geneontology.org/amigo/term/GO:0032446","GO:0032446")</f>
        <v>GO:0032446</v>
      </c>
      <c r="D801" t="s">
        <v>14786</v>
      </c>
      <c r="E801">
        <v>18</v>
      </c>
      <c r="F801">
        <v>2</v>
      </c>
      <c r="G801">
        <v>0.25718728810535701</v>
      </c>
      <c r="H801">
        <v>0.51437457621071503</v>
      </c>
      <c r="I801" t="s">
        <v>14597</v>
      </c>
    </row>
    <row r="802" spans="3:9" x14ac:dyDescent="0.25">
      <c r="C802" s="3" t="str">
        <f>HYPERLINK("http://amigo.geneontology.org/amigo/term/GO:0016192","GO:0016192")</f>
        <v>GO:0016192</v>
      </c>
      <c r="D802" t="s">
        <v>1149</v>
      </c>
      <c r="E802">
        <v>79</v>
      </c>
      <c r="F802">
        <v>6</v>
      </c>
      <c r="G802">
        <v>0.26067037517133801</v>
      </c>
      <c r="H802">
        <v>0.52134075034267702</v>
      </c>
      <c r="I802" t="s">
        <v>14787</v>
      </c>
    </row>
    <row r="803" spans="3:9" x14ac:dyDescent="0.25">
      <c r="C803" s="3" t="str">
        <f>HYPERLINK("http://amigo.geneontology.org/amigo/term/GO:0051540","GO:0051540")</f>
        <v>GO:0051540</v>
      </c>
      <c r="D803" t="s">
        <v>14788</v>
      </c>
      <c r="E803">
        <v>48</v>
      </c>
      <c r="F803">
        <v>4</v>
      </c>
      <c r="G803">
        <v>0.26509947810645901</v>
      </c>
      <c r="H803">
        <v>0.53019895621291901</v>
      </c>
      <c r="I803" t="s">
        <v>14789</v>
      </c>
    </row>
    <row r="804" spans="3:9" x14ac:dyDescent="0.25">
      <c r="C804" s="3" t="str">
        <f>HYPERLINK("http://amigo.geneontology.org/amigo/term/GO:0051536","GO:0051536")</f>
        <v>GO:0051536</v>
      </c>
      <c r="D804" t="s">
        <v>14790</v>
      </c>
      <c r="E804">
        <v>48</v>
      </c>
      <c r="F804">
        <v>4</v>
      </c>
      <c r="G804">
        <v>0.26509947810645901</v>
      </c>
      <c r="H804">
        <v>0.53019895621291901</v>
      </c>
      <c r="I804" t="s">
        <v>14789</v>
      </c>
    </row>
    <row r="805" spans="3:9" x14ac:dyDescent="0.25">
      <c r="C805" s="3" t="str">
        <f>HYPERLINK("http://amigo.geneontology.org/amigo/term/GO:0015077","GO:0015077")</f>
        <v>GO:0015077</v>
      </c>
      <c r="D805" t="s">
        <v>249</v>
      </c>
      <c r="E805">
        <v>48</v>
      </c>
      <c r="F805">
        <v>4</v>
      </c>
      <c r="G805">
        <v>0.26509947810645901</v>
      </c>
      <c r="H805">
        <v>0.53019895621291901</v>
      </c>
      <c r="I805" t="s">
        <v>14791</v>
      </c>
    </row>
    <row r="806" spans="3:9" x14ac:dyDescent="0.25">
      <c r="C806" s="3" t="str">
        <f>HYPERLINK("http://amigo.geneontology.org/amigo/term/GO:0048522","GO:0048522")</f>
        <v>GO:0048522</v>
      </c>
      <c r="D806" t="s">
        <v>153</v>
      </c>
      <c r="E806">
        <v>33</v>
      </c>
      <c r="F806">
        <v>3</v>
      </c>
      <c r="G806">
        <v>0.267546228593116</v>
      </c>
      <c r="H806">
        <v>0.535092457186232</v>
      </c>
      <c r="I806" t="s">
        <v>14792</v>
      </c>
    </row>
    <row r="807" spans="3:9" x14ac:dyDescent="0.25">
      <c r="C807" s="3" t="str">
        <f>HYPERLINK("http://amigo.geneontology.org/amigo/term/GO:0005886","GO:0005886")</f>
        <v>GO:0005886</v>
      </c>
      <c r="D807" t="s">
        <v>5734</v>
      </c>
      <c r="E807">
        <v>33</v>
      </c>
      <c r="F807">
        <v>3</v>
      </c>
      <c r="G807">
        <v>0.267546228593116</v>
      </c>
      <c r="H807">
        <v>0.535092457186232</v>
      </c>
      <c r="I807" t="s">
        <v>14793</v>
      </c>
    </row>
    <row r="808" spans="3:9" x14ac:dyDescent="0.25">
      <c r="C808" s="3" t="str">
        <f>HYPERLINK("http://amigo.geneontology.org/amigo/term/GO:0010181","GO:0010181")</f>
        <v>GO:0010181</v>
      </c>
      <c r="D808" t="s">
        <v>7320</v>
      </c>
      <c r="E808">
        <v>49</v>
      </c>
      <c r="F808">
        <v>4</v>
      </c>
      <c r="G808">
        <v>0.277402709932076</v>
      </c>
      <c r="H808">
        <v>0.55480541986415199</v>
      </c>
      <c r="I808" t="s">
        <v>14794</v>
      </c>
    </row>
    <row r="809" spans="3:9" x14ac:dyDescent="0.25">
      <c r="C809" s="3" t="str">
        <f>HYPERLINK("http://amigo.geneontology.org/amigo/term/GO:0042398","GO:0042398")</f>
        <v>GO:0042398</v>
      </c>
      <c r="D809" t="s">
        <v>14795</v>
      </c>
      <c r="E809">
        <v>19</v>
      </c>
      <c r="F809">
        <v>2</v>
      </c>
      <c r="G809">
        <v>0.27785198383749199</v>
      </c>
      <c r="H809">
        <v>0.55570396767498498</v>
      </c>
      <c r="I809" t="s">
        <v>14796</v>
      </c>
    </row>
    <row r="810" spans="3:9" x14ac:dyDescent="0.25">
      <c r="C810" s="3" t="str">
        <f>HYPERLINK("http://amigo.geneontology.org/amigo/term/GO:0048518","GO:0048518")</f>
        <v>GO:0048518</v>
      </c>
      <c r="D810" t="s">
        <v>14797</v>
      </c>
      <c r="E810">
        <v>34</v>
      </c>
      <c r="F810">
        <v>3</v>
      </c>
      <c r="G810">
        <v>0.28263557693511498</v>
      </c>
      <c r="H810">
        <v>0.56527115387022997</v>
      </c>
      <c r="I810" t="s">
        <v>14792</v>
      </c>
    </row>
    <row r="811" spans="3:9" x14ac:dyDescent="0.25">
      <c r="C811" s="3" t="str">
        <f>HYPERLINK("http://amigo.geneontology.org/amigo/term/GO:0043169","GO:0043169")</f>
        <v>GO:0043169</v>
      </c>
      <c r="D811" t="s">
        <v>1535</v>
      </c>
      <c r="E811">
        <v>1040</v>
      </c>
      <c r="F811">
        <v>61</v>
      </c>
      <c r="G811">
        <v>0.28314696063779599</v>
      </c>
      <c r="H811">
        <v>0.56629392127559297</v>
      </c>
      <c r="I811" t="s">
        <v>14798</v>
      </c>
    </row>
    <row r="812" spans="3:9" x14ac:dyDescent="0.25">
      <c r="C812" s="3" t="str">
        <f>HYPERLINK("http://amigo.geneontology.org/amigo/term/GO:0016783","GO:0016783")</f>
        <v>GO:0016783</v>
      </c>
      <c r="D812" t="s">
        <v>14799</v>
      </c>
      <c r="E812">
        <v>6</v>
      </c>
      <c r="F812">
        <v>1</v>
      </c>
      <c r="G812">
        <v>0.28583067348811497</v>
      </c>
      <c r="H812">
        <v>0.57166134697622994</v>
      </c>
      <c r="I812" t="s">
        <v>13557</v>
      </c>
    </row>
    <row r="813" spans="3:9" x14ac:dyDescent="0.25">
      <c r="C813" s="3" t="str">
        <f>HYPERLINK("http://amigo.geneontology.org/amigo/term/GO:0009605","GO:0009605")</f>
        <v>GO:0009605</v>
      </c>
      <c r="D813" t="s">
        <v>6694</v>
      </c>
      <c r="E813">
        <v>6</v>
      </c>
      <c r="F813">
        <v>1</v>
      </c>
      <c r="G813">
        <v>0.28583067348811497</v>
      </c>
      <c r="H813">
        <v>0.57166134697622994</v>
      </c>
      <c r="I813" t="s">
        <v>13559</v>
      </c>
    </row>
    <row r="814" spans="3:9" x14ac:dyDescent="0.25">
      <c r="C814" s="3" t="str">
        <f>HYPERLINK("http://amigo.geneontology.org/amigo/term/GO:0071310","GO:0071310")</f>
        <v>GO:0071310</v>
      </c>
      <c r="D814" t="s">
        <v>6841</v>
      </c>
      <c r="E814">
        <v>6</v>
      </c>
      <c r="F814">
        <v>1</v>
      </c>
      <c r="G814">
        <v>0.28583067348811497</v>
      </c>
      <c r="H814">
        <v>0.57166134697622994</v>
      </c>
      <c r="I814" t="s">
        <v>13559</v>
      </c>
    </row>
    <row r="815" spans="3:9" x14ac:dyDescent="0.25">
      <c r="C815" s="3" t="str">
        <f>HYPERLINK("http://amigo.geneontology.org/amigo/term/GO:0042726","GO:0042726")</f>
        <v>GO:0042726</v>
      </c>
      <c r="D815" t="s">
        <v>14800</v>
      </c>
      <c r="E815">
        <v>6</v>
      </c>
      <c r="F815">
        <v>1</v>
      </c>
      <c r="G815">
        <v>0.28583067348811497</v>
      </c>
      <c r="H815">
        <v>0.57166134697622994</v>
      </c>
      <c r="I815" t="s">
        <v>13664</v>
      </c>
    </row>
    <row r="816" spans="3:9" x14ac:dyDescent="0.25">
      <c r="C816" s="3" t="str">
        <f>HYPERLINK("http://amigo.geneontology.org/amigo/term/GO:0006771","GO:0006771")</f>
        <v>GO:0006771</v>
      </c>
      <c r="D816" t="s">
        <v>14801</v>
      </c>
      <c r="E816">
        <v>6</v>
      </c>
      <c r="F816">
        <v>1</v>
      </c>
      <c r="G816">
        <v>0.28583067348811497</v>
      </c>
      <c r="H816">
        <v>0.57166134697622994</v>
      </c>
      <c r="I816" t="s">
        <v>13664</v>
      </c>
    </row>
    <row r="817" spans="3:9" x14ac:dyDescent="0.25">
      <c r="C817" s="3" t="str">
        <f>HYPERLINK("http://amigo.geneontology.org/amigo/term/GO:0042727","GO:0042727")</f>
        <v>GO:0042727</v>
      </c>
      <c r="D817" t="s">
        <v>14802</v>
      </c>
      <c r="E817">
        <v>6</v>
      </c>
      <c r="F817">
        <v>1</v>
      </c>
      <c r="G817">
        <v>0.28583067348811497</v>
      </c>
      <c r="H817">
        <v>0.57166134697622994</v>
      </c>
      <c r="I817" t="s">
        <v>13664</v>
      </c>
    </row>
    <row r="818" spans="3:9" x14ac:dyDescent="0.25">
      <c r="C818" s="3" t="str">
        <f>HYPERLINK("http://amigo.geneontology.org/amigo/term/GO:0009231","GO:0009231")</f>
        <v>GO:0009231</v>
      </c>
      <c r="D818" t="s">
        <v>14803</v>
      </c>
      <c r="E818">
        <v>6</v>
      </c>
      <c r="F818">
        <v>1</v>
      </c>
      <c r="G818">
        <v>0.28583067348811497</v>
      </c>
      <c r="H818">
        <v>0.57166134697622994</v>
      </c>
      <c r="I818" t="s">
        <v>13664</v>
      </c>
    </row>
    <row r="819" spans="3:9" x14ac:dyDescent="0.25">
      <c r="C819" s="3" t="str">
        <f>HYPERLINK("http://amigo.geneontology.org/amigo/term/GO:0032155","GO:0032155")</f>
        <v>GO:0032155</v>
      </c>
      <c r="D819" t="s">
        <v>14804</v>
      </c>
      <c r="E819">
        <v>6</v>
      </c>
      <c r="F819">
        <v>1</v>
      </c>
      <c r="G819">
        <v>0.28583067348811497</v>
      </c>
      <c r="H819">
        <v>0.57166134697622994</v>
      </c>
      <c r="I819" t="s">
        <v>13779</v>
      </c>
    </row>
    <row r="820" spans="3:9" x14ac:dyDescent="0.25">
      <c r="C820" s="3" t="str">
        <f>HYPERLINK("http://amigo.geneontology.org/amigo/term/GO:0008422","GO:0008422")</f>
        <v>GO:0008422</v>
      </c>
      <c r="D820" t="s">
        <v>1387</v>
      </c>
      <c r="E820">
        <v>6</v>
      </c>
      <c r="F820">
        <v>1</v>
      </c>
      <c r="G820">
        <v>0.28583067348811497</v>
      </c>
      <c r="H820">
        <v>0.57166134697622994</v>
      </c>
      <c r="I820" t="s">
        <v>13818</v>
      </c>
    </row>
    <row r="821" spans="3:9" x14ac:dyDescent="0.25">
      <c r="C821" s="3" t="str">
        <f>HYPERLINK("http://amigo.geneontology.org/amigo/term/GO:0102483","GO:0102483")</f>
        <v>GO:0102483</v>
      </c>
      <c r="D821" t="s">
        <v>14805</v>
      </c>
      <c r="E821">
        <v>6</v>
      </c>
      <c r="F821">
        <v>1</v>
      </c>
      <c r="G821">
        <v>0.28583067348811497</v>
      </c>
      <c r="H821">
        <v>0.57166134697622994</v>
      </c>
      <c r="I821" t="s">
        <v>13818</v>
      </c>
    </row>
    <row r="822" spans="3:9" x14ac:dyDescent="0.25">
      <c r="C822" s="3" t="str">
        <f>HYPERLINK("http://amigo.geneontology.org/amigo/term/GO:0006750","GO:0006750")</f>
        <v>GO:0006750</v>
      </c>
      <c r="D822" t="s">
        <v>14806</v>
      </c>
      <c r="E822">
        <v>6</v>
      </c>
      <c r="F822">
        <v>1</v>
      </c>
      <c r="G822">
        <v>0.28583067348811497</v>
      </c>
      <c r="H822">
        <v>0.57166134697622994</v>
      </c>
      <c r="I822" t="s">
        <v>13866</v>
      </c>
    </row>
    <row r="823" spans="3:9" x14ac:dyDescent="0.25">
      <c r="C823" s="3" t="str">
        <f>HYPERLINK("http://amigo.geneontology.org/amigo/term/GO:0006189","GO:0006189")</f>
        <v>GO:0006189</v>
      </c>
      <c r="D823" t="s">
        <v>14807</v>
      </c>
      <c r="E823">
        <v>6</v>
      </c>
      <c r="F823">
        <v>1</v>
      </c>
      <c r="G823">
        <v>0.28583067348811497</v>
      </c>
      <c r="H823">
        <v>0.57166134697622994</v>
      </c>
      <c r="I823" t="s">
        <v>13920</v>
      </c>
    </row>
    <row r="824" spans="3:9" x14ac:dyDescent="0.25">
      <c r="C824" s="3" t="str">
        <f>HYPERLINK("http://amigo.geneontology.org/amigo/term/GO:0006730","GO:0006730")</f>
        <v>GO:0006730</v>
      </c>
      <c r="D824" t="s">
        <v>6194</v>
      </c>
      <c r="E824">
        <v>6</v>
      </c>
      <c r="F824">
        <v>1</v>
      </c>
      <c r="G824">
        <v>0.28583067348811497</v>
      </c>
      <c r="H824">
        <v>0.57166134697622994</v>
      </c>
      <c r="I824" t="s">
        <v>13954</v>
      </c>
    </row>
    <row r="825" spans="3:9" x14ac:dyDescent="0.25">
      <c r="C825" s="3" t="str">
        <f>HYPERLINK("http://amigo.geneontology.org/amigo/term/GO:0043101","GO:0043101")</f>
        <v>GO:0043101</v>
      </c>
      <c r="D825" t="s">
        <v>14808</v>
      </c>
      <c r="E825">
        <v>6</v>
      </c>
      <c r="F825">
        <v>1</v>
      </c>
      <c r="G825">
        <v>0.28583067348811497</v>
      </c>
      <c r="H825">
        <v>0.57166134697622994</v>
      </c>
      <c r="I825" t="s">
        <v>13980</v>
      </c>
    </row>
    <row r="826" spans="3:9" x14ac:dyDescent="0.25">
      <c r="C826" s="3" t="str">
        <f>HYPERLINK("http://amigo.geneontology.org/amigo/term/GO:0030003","GO:0030003")</f>
        <v>GO:0030003</v>
      </c>
      <c r="D826" t="s">
        <v>14809</v>
      </c>
      <c r="E826">
        <v>6</v>
      </c>
      <c r="F826">
        <v>1</v>
      </c>
      <c r="G826">
        <v>0.28583067348811497</v>
      </c>
      <c r="H826">
        <v>0.57166134697622994</v>
      </c>
      <c r="I826" t="s">
        <v>14006</v>
      </c>
    </row>
    <row r="827" spans="3:9" x14ac:dyDescent="0.25">
      <c r="C827" s="3" t="str">
        <f>HYPERLINK("http://amigo.geneontology.org/amigo/term/GO:0055065","GO:0055065")</f>
        <v>GO:0055065</v>
      </c>
      <c r="D827" t="s">
        <v>5690</v>
      </c>
      <c r="E827">
        <v>6</v>
      </c>
      <c r="F827">
        <v>1</v>
      </c>
      <c r="G827">
        <v>0.28583067348811497</v>
      </c>
      <c r="H827">
        <v>0.57166134697622994</v>
      </c>
      <c r="I827" t="s">
        <v>14006</v>
      </c>
    </row>
    <row r="828" spans="3:9" x14ac:dyDescent="0.25">
      <c r="C828" s="3" t="str">
        <f>HYPERLINK("http://amigo.geneontology.org/amigo/term/GO:0070566","GO:0070566")</f>
        <v>GO:0070566</v>
      </c>
      <c r="D828" t="s">
        <v>14810</v>
      </c>
      <c r="E828">
        <v>6</v>
      </c>
      <c r="F828">
        <v>1</v>
      </c>
      <c r="G828">
        <v>0.28583067348811497</v>
      </c>
      <c r="H828">
        <v>0.57166134697622994</v>
      </c>
      <c r="I828" t="s">
        <v>14033</v>
      </c>
    </row>
    <row r="829" spans="3:9" x14ac:dyDescent="0.25">
      <c r="C829" s="3" t="str">
        <f>HYPERLINK("http://amigo.geneontology.org/amigo/term/GO:0017001","GO:0017001")</f>
        <v>GO:0017001</v>
      </c>
      <c r="D829" t="s">
        <v>1226</v>
      </c>
      <c r="E829">
        <v>6</v>
      </c>
      <c r="F829">
        <v>1</v>
      </c>
      <c r="G829">
        <v>0.28583067348811497</v>
      </c>
      <c r="H829">
        <v>0.57166134697622994</v>
      </c>
      <c r="I829" t="s">
        <v>14129</v>
      </c>
    </row>
    <row r="830" spans="3:9" x14ac:dyDescent="0.25">
      <c r="C830" s="3" t="str">
        <f>HYPERLINK("http://amigo.geneontology.org/amigo/term/GO:0000002","GO:0000002")</f>
        <v>GO:0000002</v>
      </c>
      <c r="D830" t="s">
        <v>14811</v>
      </c>
      <c r="E830">
        <v>6</v>
      </c>
      <c r="F830">
        <v>1</v>
      </c>
      <c r="G830">
        <v>0.28583067348811497</v>
      </c>
      <c r="H830">
        <v>0.57166134697622994</v>
      </c>
      <c r="I830" t="s">
        <v>14197</v>
      </c>
    </row>
    <row r="831" spans="3:9" x14ac:dyDescent="0.25">
      <c r="C831" s="3" t="str">
        <f>HYPERLINK("http://amigo.geneontology.org/amigo/term/GO:0006119","GO:0006119")</f>
        <v>GO:0006119</v>
      </c>
      <c r="D831" t="s">
        <v>14812</v>
      </c>
      <c r="E831">
        <v>6</v>
      </c>
      <c r="F831">
        <v>1</v>
      </c>
      <c r="G831">
        <v>0.28583067348811497</v>
      </c>
      <c r="H831">
        <v>0.57166134697622994</v>
      </c>
      <c r="I831" t="s">
        <v>14279</v>
      </c>
    </row>
    <row r="832" spans="3:9" x14ac:dyDescent="0.25">
      <c r="C832" s="3" t="str">
        <f>HYPERLINK("http://amigo.geneontology.org/amigo/term/GO:0042773","GO:0042773")</f>
        <v>GO:0042773</v>
      </c>
      <c r="D832" t="s">
        <v>14813</v>
      </c>
      <c r="E832">
        <v>6</v>
      </c>
      <c r="F832">
        <v>1</v>
      </c>
      <c r="G832">
        <v>0.28583067348811497</v>
      </c>
      <c r="H832">
        <v>0.57166134697622994</v>
      </c>
      <c r="I832" t="s">
        <v>14279</v>
      </c>
    </row>
    <row r="833" spans="3:9" x14ac:dyDescent="0.25">
      <c r="C833" s="3" t="str">
        <f>HYPERLINK("http://amigo.geneontology.org/amigo/term/GO:0019900","GO:0019900")</f>
        <v>GO:0019900</v>
      </c>
      <c r="D833" t="s">
        <v>14814</v>
      </c>
      <c r="E833">
        <v>6</v>
      </c>
      <c r="F833">
        <v>1</v>
      </c>
      <c r="G833">
        <v>0.28583067348811497</v>
      </c>
      <c r="H833">
        <v>0.57166134697622994</v>
      </c>
      <c r="I833" t="s">
        <v>14315</v>
      </c>
    </row>
    <row r="834" spans="3:9" x14ac:dyDescent="0.25">
      <c r="C834" s="3" t="str">
        <f>HYPERLINK("http://amigo.geneontology.org/amigo/term/GO:0019901","GO:0019901")</f>
        <v>GO:0019901</v>
      </c>
      <c r="D834" t="s">
        <v>14815</v>
      </c>
      <c r="E834">
        <v>6</v>
      </c>
      <c r="F834">
        <v>1</v>
      </c>
      <c r="G834">
        <v>0.28583067348811497</v>
      </c>
      <c r="H834">
        <v>0.57166134697622994</v>
      </c>
      <c r="I834" t="s">
        <v>14315</v>
      </c>
    </row>
    <row r="835" spans="3:9" x14ac:dyDescent="0.25">
      <c r="C835" s="3" t="str">
        <f>HYPERLINK("http://amigo.geneontology.org/amigo/term/GO:0016832","GO:0016832")</f>
        <v>GO:0016832</v>
      </c>
      <c r="D835" t="s">
        <v>14816</v>
      </c>
      <c r="E835">
        <v>6</v>
      </c>
      <c r="F835">
        <v>1</v>
      </c>
      <c r="G835">
        <v>0.28583067348811497</v>
      </c>
      <c r="H835">
        <v>0.57166134697622994</v>
      </c>
      <c r="I835" t="s">
        <v>14380</v>
      </c>
    </row>
    <row r="836" spans="3:9" x14ac:dyDescent="0.25">
      <c r="C836" s="3" t="str">
        <f>HYPERLINK("http://amigo.geneontology.org/amigo/term/GO:0140013","GO:0140013")</f>
        <v>GO:0140013</v>
      </c>
      <c r="D836" t="s">
        <v>14817</v>
      </c>
      <c r="E836">
        <v>6</v>
      </c>
      <c r="F836">
        <v>1</v>
      </c>
      <c r="G836">
        <v>0.28583067348811497</v>
      </c>
      <c r="H836">
        <v>0.57166134697622994</v>
      </c>
      <c r="I836" t="s">
        <v>14484</v>
      </c>
    </row>
    <row r="837" spans="3:9" x14ac:dyDescent="0.25">
      <c r="C837" s="3" t="str">
        <f>HYPERLINK("http://amigo.geneontology.org/amigo/term/GO:0031226","GO:0031226")</f>
        <v>GO:0031226</v>
      </c>
      <c r="D837" t="s">
        <v>1077</v>
      </c>
      <c r="E837">
        <v>6</v>
      </c>
      <c r="F837">
        <v>1</v>
      </c>
      <c r="G837">
        <v>0.28583067348811497</v>
      </c>
      <c r="H837">
        <v>0.57166134697622994</v>
      </c>
      <c r="I837" t="s">
        <v>14576</v>
      </c>
    </row>
    <row r="838" spans="3:9" x14ac:dyDescent="0.25">
      <c r="C838" s="3" t="str">
        <f>HYPERLINK("http://amigo.geneontology.org/amigo/term/GO:0048519","GO:0048519")</f>
        <v>GO:0048519</v>
      </c>
      <c r="D838" t="s">
        <v>9038</v>
      </c>
      <c r="E838">
        <v>50</v>
      </c>
      <c r="F838">
        <v>4</v>
      </c>
      <c r="G838">
        <v>0.28979626484395998</v>
      </c>
      <c r="H838">
        <v>0.57959252968792097</v>
      </c>
      <c r="I838" t="s">
        <v>14624</v>
      </c>
    </row>
    <row r="839" spans="3:9" x14ac:dyDescent="0.25">
      <c r="C839" s="3" t="str">
        <f>HYPERLINK("http://amigo.geneontology.org/amigo/term/GO:0006508","GO:0006508")</f>
        <v>GO:0006508</v>
      </c>
      <c r="D839" t="s">
        <v>10443</v>
      </c>
      <c r="E839">
        <v>132</v>
      </c>
      <c r="F839">
        <v>9</v>
      </c>
      <c r="G839">
        <v>0.29293182379406302</v>
      </c>
      <c r="H839">
        <v>0.58586364758812604</v>
      </c>
      <c r="I839" t="s">
        <v>14818</v>
      </c>
    </row>
    <row r="840" spans="3:9" x14ac:dyDescent="0.25">
      <c r="C840" s="3" t="str">
        <f>HYPERLINK("http://amigo.geneontology.org/amigo/term/GO:0030001","GO:0030001")</f>
        <v>GO:0030001</v>
      </c>
      <c r="D840" t="s">
        <v>326</v>
      </c>
      <c r="E840">
        <v>35</v>
      </c>
      <c r="F840">
        <v>3</v>
      </c>
      <c r="G840">
        <v>0.29779646453547398</v>
      </c>
      <c r="H840">
        <v>0.59559292907094796</v>
      </c>
      <c r="I840" t="s">
        <v>14819</v>
      </c>
    </row>
    <row r="841" spans="3:9" x14ac:dyDescent="0.25">
      <c r="C841" s="3" t="str">
        <f>HYPERLINK("http://amigo.geneontology.org/amigo/term/GO:0000272","GO:0000272")</f>
        <v>GO:0000272</v>
      </c>
      <c r="D841" t="s">
        <v>290</v>
      </c>
      <c r="E841">
        <v>35</v>
      </c>
      <c r="F841">
        <v>3</v>
      </c>
      <c r="G841">
        <v>0.29779646453547398</v>
      </c>
      <c r="H841">
        <v>0.59559292907094796</v>
      </c>
      <c r="I841" t="s">
        <v>14820</v>
      </c>
    </row>
    <row r="842" spans="3:9" x14ac:dyDescent="0.25">
      <c r="C842" s="3" t="str">
        <f>HYPERLINK("http://amigo.geneontology.org/amigo/term/GO:0009072","GO:0009072")</f>
        <v>GO:0009072</v>
      </c>
      <c r="D842" t="s">
        <v>7036</v>
      </c>
      <c r="E842">
        <v>35</v>
      </c>
      <c r="F842">
        <v>3</v>
      </c>
      <c r="G842">
        <v>0.29779646453547398</v>
      </c>
      <c r="H842">
        <v>0.59559292907094796</v>
      </c>
      <c r="I842" t="s">
        <v>14821</v>
      </c>
    </row>
    <row r="843" spans="3:9" x14ac:dyDescent="0.25">
      <c r="C843" s="3" t="str">
        <f>HYPERLINK("http://amigo.geneontology.org/amigo/term/GO:0098655","GO:0098655")</f>
        <v>GO:0098655</v>
      </c>
      <c r="D843" t="s">
        <v>419</v>
      </c>
      <c r="E843">
        <v>35</v>
      </c>
      <c r="F843">
        <v>3</v>
      </c>
      <c r="G843">
        <v>0.29779646453547398</v>
      </c>
      <c r="H843">
        <v>0.59559292907094796</v>
      </c>
      <c r="I843" t="s">
        <v>14743</v>
      </c>
    </row>
    <row r="844" spans="3:9" x14ac:dyDescent="0.25">
      <c r="C844" s="3" t="str">
        <f>HYPERLINK("http://amigo.geneontology.org/amigo/term/GO:0043167","GO:0043167")</f>
        <v>GO:0043167</v>
      </c>
      <c r="D844" s="16" t="s">
        <v>6996</v>
      </c>
      <c r="E844">
        <v>1876</v>
      </c>
      <c r="F844">
        <v>107</v>
      </c>
      <c r="G844">
        <v>0.30484388541505902</v>
      </c>
      <c r="H844">
        <v>0.60968777083011905</v>
      </c>
      <c r="I844" t="s">
        <v>14822</v>
      </c>
    </row>
    <row r="845" spans="3:9" x14ac:dyDescent="0.25">
      <c r="C845" s="3" t="str">
        <f>HYPERLINK("http://amigo.geneontology.org/amigo/term/GO:0046873","GO:0046873")</f>
        <v>GO:0046873</v>
      </c>
      <c r="D845" t="s">
        <v>273</v>
      </c>
      <c r="E845">
        <v>52</v>
      </c>
      <c r="F845">
        <v>4</v>
      </c>
      <c r="G845">
        <v>0.31479186643159202</v>
      </c>
      <c r="H845">
        <v>0.62958373286318503</v>
      </c>
      <c r="I845" t="s">
        <v>14823</v>
      </c>
    </row>
    <row r="846" spans="3:9" x14ac:dyDescent="0.25">
      <c r="C846" s="3" t="str">
        <f>HYPERLINK("http://amigo.geneontology.org/amigo/term/GO:0016614","GO:0016614")</f>
        <v>GO:0016614</v>
      </c>
      <c r="D846" t="s">
        <v>5631</v>
      </c>
      <c r="E846">
        <v>135</v>
      </c>
      <c r="F846">
        <v>9</v>
      </c>
      <c r="G846">
        <v>0.31576827495725401</v>
      </c>
      <c r="H846">
        <v>0.63153654991450803</v>
      </c>
      <c r="I846" t="s">
        <v>14824</v>
      </c>
    </row>
    <row r="847" spans="3:9" x14ac:dyDescent="0.25">
      <c r="C847" s="3" t="str">
        <f>HYPERLINK("http://amigo.geneontology.org/amigo/term/GO:0019773","GO:0019773")</f>
        <v>GO:0019773</v>
      </c>
      <c r="D847" t="s">
        <v>14825</v>
      </c>
      <c r="E847">
        <v>7</v>
      </c>
      <c r="F847">
        <v>1</v>
      </c>
      <c r="G847">
        <v>0.32481758461114901</v>
      </c>
      <c r="H847">
        <v>0.64963516922229803</v>
      </c>
      <c r="I847" t="s">
        <v>13579</v>
      </c>
    </row>
    <row r="848" spans="3:9" x14ac:dyDescent="0.25">
      <c r="C848" s="3" t="str">
        <f>HYPERLINK("http://amigo.geneontology.org/amigo/term/GO:0006084","GO:0006084")</f>
        <v>GO:0006084</v>
      </c>
      <c r="D848" t="s">
        <v>14826</v>
      </c>
      <c r="E848">
        <v>7</v>
      </c>
      <c r="F848">
        <v>1</v>
      </c>
      <c r="G848">
        <v>0.32481758461114901</v>
      </c>
      <c r="H848">
        <v>0.64963516922229803</v>
      </c>
      <c r="I848" t="s">
        <v>13692</v>
      </c>
    </row>
    <row r="849" spans="3:9" x14ac:dyDescent="0.25">
      <c r="C849" s="3" t="str">
        <f>HYPERLINK("http://amigo.geneontology.org/amigo/term/GO:0033866","GO:0033866")</f>
        <v>GO:0033866</v>
      </c>
      <c r="D849" t="s">
        <v>14827</v>
      </c>
      <c r="E849">
        <v>7</v>
      </c>
      <c r="F849">
        <v>1</v>
      </c>
      <c r="G849">
        <v>0.32481758461114901</v>
      </c>
      <c r="H849">
        <v>0.64963516922229803</v>
      </c>
      <c r="I849" t="s">
        <v>13692</v>
      </c>
    </row>
    <row r="850" spans="3:9" x14ac:dyDescent="0.25">
      <c r="C850" s="3" t="str">
        <f>HYPERLINK("http://amigo.geneontology.org/amigo/term/GO:0034030","GO:0034030")</f>
        <v>GO:0034030</v>
      </c>
      <c r="D850" t="s">
        <v>14828</v>
      </c>
      <c r="E850">
        <v>7</v>
      </c>
      <c r="F850">
        <v>1</v>
      </c>
      <c r="G850">
        <v>0.32481758461114901</v>
      </c>
      <c r="H850">
        <v>0.64963516922229803</v>
      </c>
      <c r="I850" t="s">
        <v>13692</v>
      </c>
    </row>
    <row r="851" spans="3:9" x14ac:dyDescent="0.25">
      <c r="C851" s="3" t="str">
        <f>HYPERLINK("http://amigo.geneontology.org/amigo/term/GO:0034033","GO:0034033")</f>
        <v>GO:0034033</v>
      </c>
      <c r="D851" t="s">
        <v>14829</v>
      </c>
      <c r="E851">
        <v>7</v>
      </c>
      <c r="F851">
        <v>1</v>
      </c>
      <c r="G851">
        <v>0.32481758461114901</v>
      </c>
      <c r="H851">
        <v>0.64963516922229803</v>
      </c>
      <c r="I851" t="s">
        <v>13692</v>
      </c>
    </row>
    <row r="852" spans="3:9" x14ac:dyDescent="0.25">
      <c r="C852" s="3" t="str">
        <f>HYPERLINK("http://amigo.geneontology.org/amigo/term/GO:0033202","GO:0033202")</f>
        <v>GO:0033202</v>
      </c>
      <c r="D852" t="s">
        <v>14830</v>
      </c>
      <c r="E852">
        <v>7</v>
      </c>
      <c r="F852">
        <v>1</v>
      </c>
      <c r="G852">
        <v>0.32481758461114901</v>
      </c>
      <c r="H852">
        <v>0.64963516922229803</v>
      </c>
      <c r="I852" t="s">
        <v>13764</v>
      </c>
    </row>
    <row r="853" spans="3:9" x14ac:dyDescent="0.25">
      <c r="C853" s="3" t="str">
        <f>HYPERLINK("http://amigo.geneontology.org/amigo/term/GO:0097346","GO:0097346")</f>
        <v>GO:0097346</v>
      </c>
      <c r="D853" t="s">
        <v>14831</v>
      </c>
      <c r="E853">
        <v>7</v>
      </c>
      <c r="F853">
        <v>1</v>
      </c>
      <c r="G853">
        <v>0.32481758461114901</v>
      </c>
      <c r="H853">
        <v>0.64963516922229803</v>
      </c>
      <c r="I853" t="s">
        <v>13764</v>
      </c>
    </row>
    <row r="854" spans="3:9" x14ac:dyDescent="0.25">
      <c r="C854" s="3" t="str">
        <f>HYPERLINK("http://amigo.geneontology.org/amigo/term/GO:0031011","GO:0031011")</f>
        <v>GO:0031011</v>
      </c>
      <c r="D854" t="s">
        <v>14832</v>
      </c>
      <c r="E854">
        <v>7</v>
      </c>
      <c r="F854">
        <v>1</v>
      </c>
      <c r="G854">
        <v>0.32481758461114901</v>
      </c>
      <c r="H854">
        <v>0.64963516922229803</v>
      </c>
      <c r="I854" t="s">
        <v>13764</v>
      </c>
    </row>
    <row r="855" spans="3:9" x14ac:dyDescent="0.25">
      <c r="C855" s="3" t="str">
        <f>HYPERLINK("http://amigo.geneontology.org/amigo/term/GO:0043087","GO:0043087")</f>
        <v>GO:0043087</v>
      </c>
      <c r="D855" t="s">
        <v>14833</v>
      </c>
      <c r="E855">
        <v>7</v>
      </c>
      <c r="F855">
        <v>1</v>
      </c>
      <c r="G855">
        <v>0.32481758461114901</v>
      </c>
      <c r="H855">
        <v>0.64963516922229803</v>
      </c>
      <c r="I855" t="s">
        <v>13779</v>
      </c>
    </row>
    <row r="856" spans="3:9" x14ac:dyDescent="0.25">
      <c r="C856" s="3" t="str">
        <f>HYPERLINK("http://amigo.geneontology.org/amigo/term/GO:0000910","GO:0000910")</f>
        <v>GO:0000910</v>
      </c>
      <c r="D856" t="s">
        <v>5912</v>
      </c>
      <c r="E856">
        <v>7</v>
      </c>
      <c r="F856">
        <v>1</v>
      </c>
      <c r="G856">
        <v>0.32481758461114901</v>
      </c>
      <c r="H856">
        <v>0.64963516922229803</v>
      </c>
      <c r="I856" t="s">
        <v>13779</v>
      </c>
    </row>
    <row r="857" spans="3:9" x14ac:dyDescent="0.25">
      <c r="C857" s="3" t="str">
        <f>HYPERLINK("http://amigo.geneontology.org/amigo/term/GO:0051286","GO:0051286")</f>
        <v>GO:0051286</v>
      </c>
      <c r="D857" t="s">
        <v>1407</v>
      </c>
      <c r="E857">
        <v>7</v>
      </c>
      <c r="F857">
        <v>1</v>
      </c>
      <c r="G857">
        <v>0.32481758461114901</v>
      </c>
      <c r="H857">
        <v>0.64963516922229803</v>
      </c>
      <c r="I857" t="s">
        <v>13779</v>
      </c>
    </row>
    <row r="858" spans="3:9" x14ac:dyDescent="0.25">
      <c r="C858" s="3" t="str">
        <f>HYPERLINK("http://amigo.geneontology.org/amigo/term/GO:0046165","GO:0046165")</f>
        <v>GO:0046165</v>
      </c>
      <c r="D858" t="s">
        <v>70</v>
      </c>
      <c r="E858">
        <v>7</v>
      </c>
      <c r="F858">
        <v>1</v>
      </c>
      <c r="G858">
        <v>0.32481758461114901</v>
      </c>
      <c r="H858">
        <v>0.64963516922229803</v>
      </c>
      <c r="I858" t="s">
        <v>13850</v>
      </c>
    </row>
    <row r="859" spans="3:9" x14ac:dyDescent="0.25">
      <c r="C859" s="3" t="str">
        <f>HYPERLINK("http://amigo.geneontology.org/amigo/term/GO:0019184","GO:0019184")</f>
        <v>GO:0019184</v>
      </c>
      <c r="D859" t="s">
        <v>14834</v>
      </c>
      <c r="E859">
        <v>7</v>
      </c>
      <c r="F859">
        <v>1</v>
      </c>
      <c r="G859">
        <v>0.32481758461114901</v>
      </c>
      <c r="H859">
        <v>0.64963516922229803</v>
      </c>
      <c r="I859" t="s">
        <v>13866</v>
      </c>
    </row>
    <row r="860" spans="3:9" x14ac:dyDescent="0.25">
      <c r="C860" s="3" t="str">
        <f>HYPERLINK("http://amigo.geneontology.org/amigo/term/GO:0009396","GO:0009396")</f>
        <v>GO:0009396</v>
      </c>
      <c r="D860" t="s">
        <v>14835</v>
      </c>
      <c r="E860">
        <v>7</v>
      </c>
      <c r="F860">
        <v>1</v>
      </c>
      <c r="G860">
        <v>0.32481758461114901</v>
      </c>
      <c r="H860">
        <v>0.64963516922229803</v>
      </c>
      <c r="I860" t="s">
        <v>13898</v>
      </c>
    </row>
    <row r="861" spans="3:9" x14ac:dyDescent="0.25">
      <c r="C861" s="3" t="str">
        <f>HYPERLINK("http://amigo.geneontology.org/amigo/term/GO:0046040","GO:0046040")</f>
        <v>GO:0046040</v>
      </c>
      <c r="D861" t="s">
        <v>14836</v>
      </c>
      <c r="E861">
        <v>7</v>
      </c>
      <c r="F861">
        <v>1</v>
      </c>
      <c r="G861">
        <v>0.32481758461114901</v>
      </c>
      <c r="H861">
        <v>0.64963516922229803</v>
      </c>
      <c r="I861" t="s">
        <v>13920</v>
      </c>
    </row>
    <row r="862" spans="3:9" x14ac:dyDescent="0.25">
      <c r="C862" s="3" t="str">
        <f>HYPERLINK("http://amigo.geneontology.org/amigo/term/GO:0006188","GO:0006188")</f>
        <v>GO:0006188</v>
      </c>
      <c r="D862" t="s">
        <v>14837</v>
      </c>
      <c r="E862">
        <v>7</v>
      </c>
      <c r="F862">
        <v>1</v>
      </c>
      <c r="G862">
        <v>0.32481758461114901</v>
      </c>
      <c r="H862">
        <v>0.64963516922229803</v>
      </c>
      <c r="I862" t="s">
        <v>13920</v>
      </c>
    </row>
    <row r="863" spans="3:9" x14ac:dyDescent="0.25">
      <c r="C863" s="3" t="str">
        <f>HYPERLINK("http://amigo.geneontology.org/amigo/term/GO:0009163","GO:0009163")</f>
        <v>GO:0009163</v>
      </c>
      <c r="D863" t="s">
        <v>6335</v>
      </c>
      <c r="E863">
        <v>7</v>
      </c>
      <c r="F863">
        <v>1</v>
      </c>
      <c r="G863">
        <v>0.32481758461114901</v>
      </c>
      <c r="H863">
        <v>0.64963516922229803</v>
      </c>
      <c r="I863" t="s">
        <v>13980</v>
      </c>
    </row>
    <row r="864" spans="3:9" x14ac:dyDescent="0.25">
      <c r="C864" s="3" t="str">
        <f>HYPERLINK("http://amigo.geneontology.org/amigo/term/GO:0042455","GO:0042455")</f>
        <v>GO:0042455</v>
      </c>
      <c r="D864" t="s">
        <v>6336</v>
      </c>
      <c r="E864">
        <v>7</v>
      </c>
      <c r="F864">
        <v>1</v>
      </c>
      <c r="G864">
        <v>0.32481758461114901</v>
      </c>
      <c r="H864">
        <v>0.64963516922229803</v>
      </c>
      <c r="I864" t="s">
        <v>13980</v>
      </c>
    </row>
    <row r="865" spans="3:9" x14ac:dyDescent="0.25">
      <c r="C865" s="3" t="str">
        <f>HYPERLINK("http://amigo.geneontology.org/amigo/term/GO:1901700","GO:1901700")</f>
        <v>GO:1901700</v>
      </c>
      <c r="D865" t="s">
        <v>6813</v>
      </c>
      <c r="E865">
        <v>7</v>
      </c>
      <c r="F865">
        <v>1</v>
      </c>
      <c r="G865">
        <v>0.32481758461114901</v>
      </c>
      <c r="H865">
        <v>0.64963516922229803</v>
      </c>
      <c r="I865" t="s">
        <v>14006</v>
      </c>
    </row>
    <row r="866" spans="3:9" x14ac:dyDescent="0.25">
      <c r="C866" s="3" t="str">
        <f>HYPERLINK("http://amigo.geneontology.org/amigo/term/GO:1901701","GO:1901701")</f>
        <v>GO:1901701</v>
      </c>
      <c r="D866" t="s">
        <v>13212</v>
      </c>
      <c r="E866">
        <v>7</v>
      </c>
      <c r="F866">
        <v>1</v>
      </c>
      <c r="G866">
        <v>0.32481758461114901</v>
      </c>
      <c r="H866">
        <v>0.64963516922229803</v>
      </c>
      <c r="I866" t="s">
        <v>14006</v>
      </c>
    </row>
    <row r="867" spans="3:9" x14ac:dyDescent="0.25">
      <c r="C867" s="3" t="str">
        <f>HYPERLINK("http://amigo.geneontology.org/amigo/term/GO:0045229","GO:0045229")</f>
        <v>GO:0045229</v>
      </c>
      <c r="D867" t="s">
        <v>197</v>
      </c>
      <c r="E867">
        <v>7</v>
      </c>
      <c r="F867">
        <v>1</v>
      </c>
      <c r="G867">
        <v>0.32481758461114901</v>
      </c>
      <c r="H867">
        <v>0.64963516922229803</v>
      </c>
      <c r="I867" t="s">
        <v>14006</v>
      </c>
    </row>
    <row r="868" spans="3:9" x14ac:dyDescent="0.25">
      <c r="C868" s="3" t="str">
        <f>HYPERLINK("http://amigo.geneontology.org/amigo/term/GO:0071555","GO:0071555")</f>
        <v>GO:0071555</v>
      </c>
      <c r="D868" t="s">
        <v>194</v>
      </c>
      <c r="E868">
        <v>7</v>
      </c>
      <c r="F868">
        <v>1</v>
      </c>
      <c r="G868">
        <v>0.32481758461114901</v>
      </c>
      <c r="H868">
        <v>0.64963516922229803</v>
      </c>
      <c r="I868" t="s">
        <v>14006</v>
      </c>
    </row>
    <row r="869" spans="3:9" x14ac:dyDescent="0.25">
      <c r="C869" s="3" t="str">
        <f>HYPERLINK("http://amigo.geneontology.org/amigo/term/GO:0098657","GO:0098657")</f>
        <v>GO:0098657</v>
      </c>
      <c r="D869" t="s">
        <v>14838</v>
      </c>
      <c r="E869">
        <v>7</v>
      </c>
      <c r="F869">
        <v>1</v>
      </c>
      <c r="G869">
        <v>0.32481758461114901</v>
      </c>
      <c r="H869">
        <v>0.64963516922229803</v>
      </c>
      <c r="I869" t="s">
        <v>14037</v>
      </c>
    </row>
    <row r="870" spans="3:9" x14ac:dyDescent="0.25">
      <c r="C870" s="3" t="str">
        <f>HYPERLINK("http://amigo.geneontology.org/amigo/term/GO:0006897","GO:0006897")</f>
        <v>GO:0006897</v>
      </c>
      <c r="D870" t="s">
        <v>1517</v>
      </c>
      <c r="E870">
        <v>7</v>
      </c>
      <c r="F870">
        <v>1</v>
      </c>
      <c r="G870">
        <v>0.32481758461114901</v>
      </c>
      <c r="H870">
        <v>0.64963516922229803</v>
      </c>
      <c r="I870" t="s">
        <v>14037</v>
      </c>
    </row>
    <row r="871" spans="3:9" x14ac:dyDescent="0.25">
      <c r="C871" s="3" t="str">
        <f>HYPERLINK("http://amigo.geneontology.org/amigo/term/GO:0004096","GO:0004096")</f>
        <v>GO:0004096</v>
      </c>
      <c r="D871" t="s">
        <v>14839</v>
      </c>
      <c r="E871">
        <v>7</v>
      </c>
      <c r="F871">
        <v>1</v>
      </c>
      <c r="G871">
        <v>0.32481758461114901</v>
      </c>
      <c r="H871">
        <v>0.64963516922229803</v>
      </c>
      <c r="I871" t="s">
        <v>14129</v>
      </c>
    </row>
    <row r="872" spans="3:9" x14ac:dyDescent="0.25">
      <c r="C872" s="3" t="str">
        <f>HYPERLINK("http://amigo.geneontology.org/amigo/term/GO:0098852","GO:0098852")</f>
        <v>GO:0098852</v>
      </c>
      <c r="D872" t="s">
        <v>14840</v>
      </c>
      <c r="E872">
        <v>7</v>
      </c>
      <c r="F872">
        <v>1</v>
      </c>
      <c r="G872">
        <v>0.32481758461114901</v>
      </c>
      <c r="H872">
        <v>0.64963516922229803</v>
      </c>
      <c r="I872" t="s">
        <v>14178</v>
      </c>
    </row>
    <row r="873" spans="3:9" x14ac:dyDescent="0.25">
      <c r="C873" s="3" t="str">
        <f>HYPERLINK("http://amigo.geneontology.org/amigo/term/GO:0000329","GO:0000329")</f>
        <v>GO:0000329</v>
      </c>
      <c r="D873" t="s">
        <v>14841</v>
      </c>
      <c r="E873">
        <v>7</v>
      </c>
      <c r="F873">
        <v>1</v>
      </c>
      <c r="G873">
        <v>0.32481758461114901</v>
      </c>
      <c r="H873">
        <v>0.64963516922229803</v>
      </c>
      <c r="I873" t="s">
        <v>14178</v>
      </c>
    </row>
    <row r="874" spans="3:9" x14ac:dyDescent="0.25">
      <c r="C874" s="3" t="str">
        <f>HYPERLINK("http://amigo.geneontology.org/amigo/term/GO:0070189","GO:0070189")</f>
        <v>GO:0070189</v>
      </c>
      <c r="D874" t="s">
        <v>14842</v>
      </c>
      <c r="E874">
        <v>7</v>
      </c>
      <c r="F874">
        <v>1</v>
      </c>
      <c r="G874">
        <v>0.32481758461114901</v>
      </c>
      <c r="H874">
        <v>0.64963516922229803</v>
      </c>
      <c r="I874" t="s">
        <v>14229</v>
      </c>
    </row>
    <row r="875" spans="3:9" x14ac:dyDescent="0.25">
      <c r="C875" s="3" t="str">
        <f>HYPERLINK("http://amigo.geneontology.org/amigo/term/GO:0071900","GO:0071900")</f>
        <v>GO:0071900</v>
      </c>
      <c r="D875" t="s">
        <v>14843</v>
      </c>
      <c r="E875">
        <v>7</v>
      </c>
      <c r="F875">
        <v>1</v>
      </c>
      <c r="G875">
        <v>0.32481758461114901</v>
      </c>
      <c r="H875">
        <v>0.64963516922229803</v>
      </c>
      <c r="I875" t="s">
        <v>14315</v>
      </c>
    </row>
    <row r="876" spans="3:9" x14ac:dyDescent="0.25">
      <c r="C876" s="3" t="str">
        <f>HYPERLINK("http://amigo.geneontology.org/amigo/term/GO:0000079","GO:0000079")</f>
        <v>GO:0000079</v>
      </c>
      <c r="D876" t="s">
        <v>14844</v>
      </c>
      <c r="E876">
        <v>7</v>
      </c>
      <c r="F876">
        <v>1</v>
      </c>
      <c r="G876">
        <v>0.32481758461114901</v>
      </c>
      <c r="H876">
        <v>0.64963516922229803</v>
      </c>
      <c r="I876" t="s">
        <v>14315</v>
      </c>
    </row>
    <row r="877" spans="3:9" x14ac:dyDescent="0.25">
      <c r="C877" s="3" t="str">
        <f>HYPERLINK("http://amigo.geneontology.org/amigo/term/GO:0044419","GO:0044419")</f>
        <v>GO:0044419</v>
      </c>
      <c r="D877" t="s">
        <v>10778</v>
      </c>
      <c r="E877">
        <v>7</v>
      </c>
      <c r="F877">
        <v>1</v>
      </c>
      <c r="G877">
        <v>0.32481758461114901</v>
      </c>
      <c r="H877">
        <v>0.64963516922229803</v>
      </c>
      <c r="I877" t="s">
        <v>14531</v>
      </c>
    </row>
    <row r="878" spans="3:9" x14ac:dyDescent="0.25">
      <c r="C878" s="3" t="str">
        <f>HYPERLINK("http://amigo.geneontology.org/amigo/term/GO:0016485","GO:0016485")</f>
        <v>GO:0016485</v>
      </c>
      <c r="D878" t="s">
        <v>14845</v>
      </c>
      <c r="E878">
        <v>7</v>
      </c>
      <c r="F878">
        <v>1</v>
      </c>
      <c r="G878">
        <v>0.32481758461114901</v>
      </c>
      <c r="H878">
        <v>0.64963516922229803</v>
      </c>
      <c r="I878" t="s">
        <v>14296</v>
      </c>
    </row>
    <row r="879" spans="3:9" x14ac:dyDescent="0.25">
      <c r="C879" s="3" t="str">
        <f>HYPERLINK("http://amigo.geneontology.org/amigo/term/GO:1902494","GO:1902494")</f>
        <v>GO:1902494</v>
      </c>
      <c r="D879" t="s">
        <v>14846</v>
      </c>
      <c r="E879">
        <v>138</v>
      </c>
      <c r="F879">
        <v>9</v>
      </c>
      <c r="G879">
        <v>0.33896942242007</v>
      </c>
      <c r="H879">
        <v>0.67793884484014</v>
      </c>
      <c r="I879" t="s">
        <v>14847</v>
      </c>
    </row>
    <row r="880" spans="3:9" x14ac:dyDescent="0.25">
      <c r="C880" s="3" t="str">
        <f>HYPERLINK("http://amigo.geneontology.org/amigo/term/GO:0051213","GO:0051213")</f>
        <v>GO:0051213</v>
      </c>
      <c r="D880" t="s">
        <v>5728</v>
      </c>
      <c r="E880">
        <v>22</v>
      </c>
      <c r="F880">
        <v>2</v>
      </c>
      <c r="G880">
        <v>0.33939366962909501</v>
      </c>
      <c r="H880">
        <v>0.67878733925819101</v>
      </c>
      <c r="I880" t="s">
        <v>14742</v>
      </c>
    </row>
    <row r="881" spans="3:9" x14ac:dyDescent="0.25">
      <c r="C881" s="3" t="str">
        <f>HYPERLINK("http://amigo.geneontology.org/amigo/term/GO:0016758","GO:0016758")</f>
        <v>GO:0016758</v>
      </c>
      <c r="D881" t="s">
        <v>721</v>
      </c>
      <c r="E881">
        <v>55</v>
      </c>
      <c r="F881">
        <v>4</v>
      </c>
      <c r="G881">
        <v>0.35258253491460201</v>
      </c>
      <c r="H881">
        <v>0.70516506982920502</v>
      </c>
      <c r="I881" t="s">
        <v>14848</v>
      </c>
    </row>
    <row r="882" spans="3:9" x14ac:dyDescent="0.25">
      <c r="C882" s="3" t="str">
        <f>HYPERLINK("http://amigo.geneontology.org/amigo/term/GO:0006812","GO:0006812")</f>
        <v>GO:0006812</v>
      </c>
      <c r="D882" t="s">
        <v>341</v>
      </c>
      <c r="E882">
        <v>72</v>
      </c>
      <c r="F882">
        <v>5</v>
      </c>
      <c r="G882">
        <v>0.35627428658448002</v>
      </c>
      <c r="H882">
        <v>0.71254857316896103</v>
      </c>
      <c r="I882" t="s">
        <v>14849</v>
      </c>
    </row>
    <row r="883" spans="3:9" x14ac:dyDescent="0.25">
      <c r="C883" s="3" t="str">
        <f>HYPERLINK("http://amigo.geneontology.org/amigo/term/GO:0015078","GO:0015078")</f>
        <v>GO:0015078</v>
      </c>
      <c r="D883" t="s">
        <v>615</v>
      </c>
      <c r="E883">
        <v>39</v>
      </c>
      <c r="F883">
        <v>3</v>
      </c>
      <c r="G883">
        <v>0.35863619000885799</v>
      </c>
      <c r="H883">
        <v>0.71727238001771698</v>
      </c>
      <c r="I883" t="s">
        <v>14850</v>
      </c>
    </row>
    <row r="884" spans="3:9" x14ac:dyDescent="0.25">
      <c r="C884" s="3" t="str">
        <f>HYPERLINK("http://amigo.geneontology.org/amigo/term/GO:0016469","GO:0016469")</f>
        <v>GO:0016469</v>
      </c>
      <c r="D884" t="s">
        <v>14851</v>
      </c>
      <c r="E884">
        <v>23</v>
      </c>
      <c r="F884">
        <v>2</v>
      </c>
      <c r="G884">
        <v>0.35958681706020501</v>
      </c>
      <c r="H884">
        <v>0.71917363412041102</v>
      </c>
      <c r="I884" t="s">
        <v>14021</v>
      </c>
    </row>
    <row r="885" spans="3:9" x14ac:dyDescent="0.25">
      <c r="C885" s="3" t="str">
        <f>HYPERLINK("http://amigo.geneontology.org/amigo/term/GO:0016782","GO:0016782")</f>
        <v>GO:0016782</v>
      </c>
      <c r="D885" t="s">
        <v>14852</v>
      </c>
      <c r="E885">
        <v>8</v>
      </c>
      <c r="F885">
        <v>1</v>
      </c>
      <c r="G885">
        <v>0.36168189517429</v>
      </c>
      <c r="H885">
        <v>0.723363790348581</v>
      </c>
      <c r="I885" t="s">
        <v>13557</v>
      </c>
    </row>
    <row r="886" spans="3:9" x14ac:dyDescent="0.25">
      <c r="C886" s="3" t="str">
        <f>HYPERLINK("http://amigo.geneontology.org/amigo/term/GO:0016653","GO:0016653")</f>
        <v>GO:0016653</v>
      </c>
      <c r="D886" t="s">
        <v>14853</v>
      </c>
      <c r="E886">
        <v>8</v>
      </c>
      <c r="F886">
        <v>1</v>
      </c>
      <c r="G886">
        <v>0.36168189517429</v>
      </c>
      <c r="H886">
        <v>0.723363790348581</v>
      </c>
      <c r="I886" t="s">
        <v>13626</v>
      </c>
    </row>
    <row r="887" spans="3:9" x14ac:dyDescent="0.25">
      <c r="C887" s="3" t="str">
        <f>HYPERLINK("http://amigo.geneontology.org/amigo/term/GO:0000049","GO:0000049")</f>
        <v>GO:0000049</v>
      </c>
      <c r="D887" t="s">
        <v>14854</v>
      </c>
      <c r="E887">
        <v>8</v>
      </c>
      <c r="F887">
        <v>1</v>
      </c>
      <c r="G887">
        <v>0.36168189517429</v>
      </c>
      <c r="H887">
        <v>0.723363790348581</v>
      </c>
      <c r="I887" t="s">
        <v>13649</v>
      </c>
    </row>
    <row r="888" spans="3:9" x14ac:dyDescent="0.25">
      <c r="C888" s="3" t="str">
        <f>HYPERLINK("http://amigo.geneontology.org/amigo/term/GO:0030259","GO:0030259")</f>
        <v>GO:0030259</v>
      </c>
      <c r="D888" t="s">
        <v>14855</v>
      </c>
      <c r="E888">
        <v>8</v>
      </c>
      <c r="F888">
        <v>1</v>
      </c>
      <c r="G888">
        <v>0.36168189517429</v>
      </c>
      <c r="H888">
        <v>0.723363790348581</v>
      </c>
      <c r="I888" t="s">
        <v>13727</v>
      </c>
    </row>
    <row r="889" spans="3:9" x14ac:dyDescent="0.25">
      <c r="C889" s="3" t="str">
        <f>HYPERLINK("http://amigo.geneontology.org/amigo/term/GO:0072511","GO:0072511")</f>
        <v>GO:0072511</v>
      </c>
      <c r="D889" t="s">
        <v>1058</v>
      </c>
      <c r="E889">
        <v>8</v>
      </c>
      <c r="F889">
        <v>1</v>
      </c>
      <c r="G889">
        <v>0.36168189517429</v>
      </c>
      <c r="H889">
        <v>0.723363790348581</v>
      </c>
      <c r="I889" t="s">
        <v>13805</v>
      </c>
    </row>
    <row r="890" spans="3:9" x14ac:dyDescent="0.25">
      <c r="C890" s="3" t="str">
        <f>HYPERLINK("http://amigo.geneontology.org/amigo/term/GO:0070838","GO:0070838")</f>
        <v>GO:0070838</v>
      </c>
      <c r="D890" t="s">
        <v>1019</v>
      </c>
      <c r="E890">
        <v>8</v>
      </c>
      <c r="F890">
        <v>1</v>
      </c>
      <c r="G890">
        <v>0.36168189517429</v>
      </c>
      <c r="H890">
        <v>0.723363790348581</v>
      </c>
      <c r="I890" t="s">
        <v>13805</v>
      </c>
    </row>
    <row r="891" spans="3:9" x14ac:dyDescent="0.25">
      <c r="C891" s="3" t="str">
        <f>HYPERLINK("http://amigo.geneontology.org/amigo/term/GO:0019207","GO:0019207")</f>
        <v>GO:0019207</v>
      </c>
      <c r="D891" t="s">
        <v>14856</v>
      </c>
      <c r="E891">
        <v>8</v>
      </c>
      <c r="F891">
        <v>1</v>
      </c>
      <c r="G891">
        <v>0.36168189517429</v>
      </c>
      <c r="H891">
        <v>0.723363790348581</v>
      </c>
      <c r="I891" t="s">
        <v>13845</v>
      </c>
    </row>
    <row r="892" spans="3:9" x14ac:dyDescent="0.25">
      <c r="C892" s="3" t="str">
        <f>HYPERLINK("http://amigo.geneontology.org/amigo/term/GO:0019887","GO:0019887")</f>
        <v>GO:0019887</v>
      </c>
      <c r="D892" t="s">
        <v>14857</v>
      </c>
      <c r="E892">
        <v>8</v>
      </c>
      <c r="F892">
        <v>1</v>
      </c>
      <c r="G892">
        <v>0.36168189517429</v>
      </c>
      <c r="H892">
        <v>0.723363790348581</v>
      </c>
      <c r="I892" t="s">
        <v>13845</v>
      </c>
    </row>
    <row r="893" spans="3:9" x14ac:dyDescent="0.25">
      <c r="C893" s="3" t="str">
        <f>HYPERLINK("http://amigo.geneontology.org/amigo/term/GO:0042559","GO:0042559")</f>
        <v>GO:0042559</v>
      </c>
      <c r="D893" t="s">
        <v>14858</v>
      </c>
      <c r="E893">
        <v>8</v>
      </c>
      <c r="F893">
        <v>1</v>
      </c>
      <c r="G893">
        <v>0.36168189517429</v>
      </c>
      <c r="H893">
        <v>0.723363790348581</v>
      </c>
      <c r="I893" t="s">
        <v>13898</v>
      </c>
    </row>
    <row r="894" spans="3:9" x14ac:dyDescent="0.25">
      <c r="C894" s="3" t="str">
        <f>HYPERLINK("http://amigo.geneontology.org/amigo/term/GO:0016742","GO:0016742")</f>
        <v>GO:0016742</v>
      </c>
      <c r="D894" t="s">
        <v>14859</v>
      </c>
      <c r="E894">
        <v>8</v>
      </c>
      <c r="F894">
        <v>1</v>
      </c>
      <c r="G894">
        <v>0.36168189517429</v>
      </c>
      <c r="H894">
        <v>0.723363790348581</v>
      </c>
      <c r="I894" t="s">
        <v>13954</v>
      </c>
    </row>
    <row r="895" spans="3:9" x14ac:dyDescent="0.25">
      <c r="C895" s="3" t="str">
        <f>HYPERLINK("http://amigo.geneontology.org/amigo/term/GO:1901659","GO:1901659")</f>
        <v>GO:1901659</v>
      </c>
      <c r="D895" t="s">
        <v>14860</v>
      </c>
      <c r="E895">
        <v>8</v>
      </c>
      <c r="F895">
        <v>1</v>
      </c>
      <c r="G895">
        <v>0.36168189517429</v>
      </c>
      <c r="H895">
        <v>0.723363790348581</v>
      </c>
      <c r="I895" t="s">
        <v>13980</v>
      </c>
    </row>
    <row r="896" spans="3:9" x14ac:dyDescent="0.25">
      <c r="C896" s="3" t="str">
        <f>HYPERLINK("http://amigo.geneontology.org/amigo/term/GO:0006873","GO:0006873")</f>
        <v>GO:0006873</v>
      </c>
      <c r="D896" t="s">
        <v>14861</v>
      </c>
      <c r="E896">
        <v>8</v>
      </c>
      <c r="F896">
        <v>1</v>
      </c>
      <c r="G896">
        <v>0.36168189517429</v>
      </c>
      <c r="H896">
        <v>0.723363790348581</v>
      </c>
      <c r="I896" t="s">
        <v>14006</v>
      </c>
    </row>
    <row r="897" spans="3:9" x14ac:dyDescent="0.25">
      <c r="C897" s="3" t="str">
        <f>HYPERLINK("http://amigo.geneontology.org/amigo/term/GO:0055080","GO:0055080")</f>
        <v>GO:0055080</v>
      </c>
      <c r="D897" t="s">
        <v>14862</v>
      </c>
      <c r="E897">
        <v>8</v>
      </c>
      <c r="F897">
        <v>1</v>
      </c>
      <c r="G897">
        <v>0.36168189517429</v>
      </c>
      <c r="H897">
        <v>0.723363790348581</v>
      </c>
      <c r="I897" t="s">
        <v>14006</v>
      </c>
    </row>
    <row r="898" spans="3:9" x14ac:dyDescent="0.25">
      <c r="C898" s="3" t="str">
        <f>HYPERLINK("http://amigo.geneontology.org/amigo/term/GO:0098771","GO:0098771")</f>
        <v>GO:0098771</v>
      </c>
      <c r="D898" t="s">
        <v>5722</v>
      </c>
      <c r="E898">
        <v>8</v>
      </c>
      <c r="F898">
        <v>1</v>
      </c>
      <c r="G898">
        <v>0.36168189517429</v>
      </c>
      <c r="H898">
        <v>0.723363790348581</v>
      </c>
      <c r="I898" t="s">
        <v>14006</v>
      </c>
    </row>
    <row r="899" spans="3:9" x14ac:dyDescent="0.25">
      <c r="C899" s="3" t="str">
        <f>HYPERLINK("http://amigo.geneontology.org/amigo/term/GO:0051254","GO:0051254")</f>
        <v>GO:0051254</v>
      </c>
      <c r="D899" t="s">
        <v>111</v>
      </c>
      <c r="E899">
        <v>8</v>
      </c>
      <c r="F899">
        <v>1</v>
      </c>
      <c r="G899">
        <v>0.36168189517429</v>
      </c>
      <c r="H899">
        <v>0.723363790348581</v>
      </c>
      <c r="I899" t="s">
        <v>14006</v>
      </c>
    </row>
    <row r="900" spans="3:9" x14ac:dyDescent="0.25">
      <c r="C900" s="3" t="str">
        <f>HYPERLINK("http://amigo.geneontology.org/amigo/term/GO:1902680","GO:1902680")</f>
        <v>GO:1902680</v>
      </c>
      <c r="D900" t="s">
        <v>105</v>
      </c>
      <c r="E900">
        <v>8</v>
      </c>
      <c r="F900">
        <v>1</v>
      </c>
      <c r="G900">
        <v>0.36168189517429</v>
      </c>
      <c r="H900">
        <v>0.723363790348581</v>
      </c>
      <c r="I900" t="s">
        <v>14006</v>
      </c>
    </row>
    <row r="901" spans="3:9" x14ac:dyDescent="0.25">
      <c r="C901" s="3" t="str">
        <f>HYPERLINK("http://amigo.geneontology.org/amigo/term/GO:1903508","GO:1903508")</f>
        <v>GO:1903508</v>
      </c>
      <c r="D901" t="s">
        <v>107</v>
      </c>
      <c r="E901">
        <v>8</v>
      </c>
      <c r="F901">
        <v>1</v>
      </c>
      <c r="G901">
        <v>0.36168189517429</v>
      </c>
      <c r="H901">
        <v>0.723363790348581</v>
      </c>
      <c r="I901" t="s">
        <v>14006</v>
      </c>
    </row>
    <row r="902" spans="3:9" x14ac:dyDescent="0.25">
      <c r="C902" s="3" t="str">
        <f>HYPERLINK("http://amigo.geneontology.org/amigo/term/GO:0045893","GO:0045893")</f>
        <v>GO:0045893</v>
      </c>
      <c r="D902" t="s">
        <v>109</v>
      </c>
      <c r="E902">
        <v>8</v>
      </c>
      <c r="F902">
        <v>1</v>
      </c>
      <c r="G902">
        <v>0.36168189517429</v>
      </c>
      <c r="H902">
        <v>0.723363790348581</v>
      </c>
      <c r="I902" t="s">
        <v>14006</v>
      </c>
    </row>
    <row r="903" spans="3:9" x14ac:dyDescent="0.25">
      <c r="C903" s="3" t="str">
        <f>HYPERLINK("http://amigo.geneontology.org/amigo/term/GO:0003779","GO:0003779")</f>
        <v>GO:0003779</v>
      </c>
      <c r="D903" t="s">
        <v>329</v>
      </c>
      <c r="E903">
        <v>8</v>
      </c>
      <c r="F903">
        <v>1</v>
      </c>
      <c r="G903">
        <v>0.36168189517429</v>
      </c>
      <c r="H903">
        <v>0.723363790348581</v>
      </c>
      <c r="I903" t="s">
        <v>14037</v>
      </c>
    </row>
    <row r="904" spans="3:9" x14ac:dyDescent="0.25">
      <c r="C904" s="3" t="str">
        <f>HYPERLINK("http://amigo.geneontology.org/amigo/term/GO:0048029","GO:0048029")</f>
        <v>GO:0048029</v>
      </c>
      <c r="D904" t="s">
        <v>1290</v>
      </c>
      <c r="E904">
        <v>8</v>
      </c>
      <c r="F904">
        <v>1</v>
      </c>
      <c r="G904">
        <v>0.36168189517429</v>
      </c>
      <c r="H904">
        <v>0.723363790348581</v>
      </c>
      <c r="I904" t="s">
        <v>14123</v>
      </c>
    </row>
    <row r="905" spans="3:9" x14ac:dyDescent="0.25">
      <c r="C905" s="3" t="str">
        <f>HYPERLINK("http://amigo.geneontology.org/amigo/term/GO:0031123","GO:0031123")</f>
        <v>GO:0031123</v>
      </c>
      <c r="D905" t="s">
        <v>14863</v>
      </c>
      <c r="E905">
        <v>8</v>
      </c>
      <c r="F905">
        <v>1</v>
      </c>
      <c r="G905">
        <v>0.36168189517429</v>
      </c>
      <c r="H905">
        <v>0.723363790348581</v>
      </c>
      <c r="I905" t="s">
        <v>14184</v>
      </c>
    </row>
    <row r="906" spans="3:9" x14ac:dyDescent="0.25">
      <c r="C906" s="3" t="str">
        <f>HYPERLINK("http://amigo.geneontology.org/amigo/term/GO:0042402","GO:0042402")</f>
        <v>GO:0042402</v>
      </c>
      <c r="D906" t="s">
        <v>14864</v>
      </c>
      <c r="E906">
        <v>8</v>
      </c>
      <c r="F906">
        <v>1</v>
      </c>
      <c r="G906">
        <v>0.36168189517429</v>
      </c>
      <c r="H906">
        <v>0.723363790348581</v>
      </c>
      <c r="I906" t="s">
        <v>14229</v>
      </c>
    </row>
    <row r="907" spans="3:9" x14ac:dyDescent="0.25">
      <c r="C907" s="3" t="str">
        <f>HYPERLINK("http://amigo.geneontology.org/amigo/term/GO:0042436","GO:0042436")</f>
        <v>GO:0042436</v>
      </c>
      <c r="D907" t="s">
        <v>14865</v>
      </c>
      <c r="E907">
        <v>8</v>
      </c>
      <c r="F907">
        <v>1</v>
      </c>
      <c r="G907">
        <v>0.36168189517429</v>
      </c>
      <c r="H907">
        <v>0.723363790348581</v>
      </c>
      <c r="I907" t="s">
        <v>14229</v>
      </c>
    </row>
    <row r="908" spans="3:9" x14ac:dyDescent="0.25">
      <c r="C908" s="3" t="str">
        <f>HYPERLINK("http://amigo.geneontology.org/amigo/term/GO:0046218","GO:0046218")</f>
        <v>GO:0046218</v>
      </c>
      <c r="D908" t="s">
        <v>14866</v>
      </c>
      <c r="E908">
        <v>8</v>
      </c>
      <c r="F908">
        <v>1</v>
      </c>
      <c r="G908">
        <v>0.36168189517429</v>
      </c>
      <c r="H908">
        <v>0.723363790348581</v>
      </c>
      <c r="I908" t="s">
        <v>14229</v>
      </c>
    </row>
    <row r="909" spans="3:9" x14ac:dyDescent="0.25">
      <c r="C909" s="3" t="str">
        <f>HYPERLINK("http://amigo.geneontology.org/amigo/term/GO:0006569","GO:0006569")</f>
        <v>GO:0006569</v>
      </c>
      <c r="D909" t="s">
        <v>14867</v>
      </c>
      <c r="E909">
        <v>8</v>
      </c>
      <c r="F909">
        <v>1</v>
      </c>
      <c r="G909">
        <v>0.36168189517429</v>
      </c>
      <c r="H909">
        <v>0.723363790348581</v>
      </c>
      <c r="I909" t="s">
        <v>14229</v>
      </c>
    </row>
    <row r="910" spans="3:9" x14ac:dyDescent="0.25">
      <c r="C910" s="3" t="str">
        <f>HYPERLINK("http://amigo.geneontology.org/amigo/term/GO:0003954","GO:0003954")</f>
        <v>GO:0003954</v>
      </c>
      <c r="D910" t="s">
        <v>14868</v>
      </c>
      <c r="E910">
        <v>8</v>
      </c>
      <c r="F910">
        <v>1</v>
      </c>
      <c r="G910">
        <v>0.36168189517429</v>
      </c>
      <c r="H910">
        <v>0.723363790348581</v>
      </c>
      <c r="I910" t="s">
        <v>14279</v>
      </c>
    </row>
    <row r="911" spans="3:9" x14ac:dyDescent="0.25">
      <c r="C911" s="3" t="str">
        <f>HYPERLINK("http://amigo.geneontology.org/amigo/term/GO:0050136","GO:0050136")</f>
        <v>GO:0050136</v>
      </c>
      <c r="D911" t="s">
        <v>14869</v>
      </c>
      <c r="E911">
        <v>8</v>
      </c>
      <c r="F911">
        <v>1</v>
      </c>
      <c r="G911">
        <v>0.36168189517429</v>
      </c>
      <c r="H911">
        <v>0.723363790348581</v>
      </c>
      <c r="I911" t="s">
        <v>14279</v>
      </c>
    </row>
    <row r="912" spans="3:9" x14ac:dyDescent="0.25">
      <c r="C912" s="3" t="str">
        <f>HYPERLINK("http://amigo.geneontology.org/amigo/term/GO:0008137","GO:0008137")</f>
        <v>GO:0008137</v>
      </c>
      <c r="D912" t="s">
        <v>14870</v>
      </c>
      <c r="E912">
        <v>8</v>
      </c>
      <c r="F912">
        <v>1</v>
      </c>
      <c r="G912">
        <v>0.36168189517429</v>
      </c>
      <c r="H912">
        <v>0.723363790348581</v>
      </c>
      <c r="I912" t="s">
        <v>14279</v>
      </c>
    </row>
    <row r="913" spans="3:9" x14ac:dyDescent="0.25">
      <c r="C913" s="3" t="str">
        <f>HYPERLINK("http://amigo.geneontology.org/amigo/term/GO:0022904","GO:0022904")</f>
        <v>GO:0022904</v>
      </c>
      <c r="D913" t="s">
        <v>14871</v>
      </c>
      <c r="E913">
        <v>8</v>
      </c>
      <c r="F913">
        <v>1</v>
      </c>
      <c r="G913">
        <v>0.36168189517429</v>
      </c>
      <c r="H913">
        <v>0.723363790348581</v>
      </c>
      <c r="I913" t="s">
        <v>14279</v>
      </c>
    </row>
    <row r="914" spans="3:9" x14ac:dyDescent="0.25">
      <c r="C914" s="3" t="str">
        <f>HYPERLINK("http://amigo.geneontology.org/amigo/term/GO:0022803","GO:0022803")</f>
        <v>GO:0022803</v>
      </c>
      <c r="D914" t="s">
        <v>390</v>
      </c>
      <c r="E914">
        <v>8</v>
      </c>
      <c r="F914">
        <v>1</v>
      </c>
      <c r="G914">
        <v>0.36168189517429</v>
      </c>
      <c r="H914">
        <v>0.723363790348581</v>
      </c>
      <c r="I914" t="s">
        <v>14285</v>
      </c>
    </row>
    <row r="915" spans="3:9" x14ac:dyDescent="0.25">
      <c r="C915" s="3" t="str">
        <f>HYPERLINK("http://amigo.geneontology.org/amigo/term/GO:0015267","GO:0015267")</f>
        <v>GO:0015267</v>
      </c>
      <c r="D915" t="s">
        <v>393</v>
      </c>
      <c r="E915">
        <v>8</v>
      </c>
      <c r="F915">
        <v>1</v>
      </c>
      <c r="G915">
        <v>0.36168189517429</v>
      </c>
      <c r="H915">
        <v>0.723363790348581</v>
      </c>
      <c r="I915" t="s">
        <v>14285</v>
      </c>
    </row>
    <row r="916" spans="3:9" x14ac:dyDescent="0.25">
      <c r="C916" s="3" t="str">
        <f>HYPERLINK("http://amigo.geneontology.org/amigo/term/GO:0022838","GO:0022838")</f>
        <v>GO:0022838</v>
      </c>
      <c r="D916" t="s">
        <v>398</v>
      </c>
      <c r="E916">
        <v>8</v>
      </c>
      <c r="F916">
        <v>1</v>
      </c>
      <c r="G916">
        <v>0.36168189517429</v>
      </c>
      <c r="H916">
        <v>0.723363790348581</v>
      </c>
      <c r="I916" t="s">
        <v>14285</v>
      </c>
    </row>
    <row r="917" spans="3:9" x14ac:dyDescent="0.25">
      <c r="C917" s="3" t="str">
        <f>HYPERLINK("http://amigo.geneontology.org/amigo/term/GO:0005216","GO:0005216")</f>
        <v>GO:0005216</v>
      </c>
      <c r="D917" t="s">
        <v>424</v>
      </c>
      <c r="E917">
        <v>8</v>
      </c>
      <c r="F917">
        <v>1</v>
      </c>
      <c r="G917">
        <v>0.36168189517429</v>
      </c>
      <c r="H917">
        <v>0.723363790348581</v>
      </c>
      <c r="I917" t="s">
        <v>14285</v>
      </c>
    </row>
    <row r="918" spans="3:9" x14ac:dyDescent="0.25">
      <c r="C918" s="3" t="str">
        <f>HYPERLINK("http://amigo.geneontology.org/amigo/term/GO:0045859","GO:0045859")</f>
        <v>GO:0045859</v>
      </c>
      <c r="D918" t="s">
        <v>14872</v>
      </c>
      <c r="E918">
        <v>8</v>
      </c>
      <c r="F918">
        <v>1</v>
      </c>
      <c r="G918">
        <v>0.36168189517429</v>
      </c>
      <c r="H918">
        <v>0.723363790348581</v>
      </c>
      <c r="I918" t="s">
        <v>14315</v>
      </c>
    </row>
    <row r="919" spans="3:9" x14ac:dyDescent="0.25">
      <c r="C919" s="3" t="str">
        <f>HYPERLINK("http://amigo.geneontology.org/amigo/term/GO:1904029","GO:1904029")</f>
        <v>GO:1904029</v>
      </c>
      <c r="D919" t="s">
        <v>14873</v>
      </c>
      <c r="E919">
        <v>8</v>
      </c>
      <c r="F919">
        <v>1</v>
      </c>
      <c r="G919">
        <v>0.36168189517429</v>
      </c>
      <c r="H919">
        <v>0.723363790348581</v>
      </c>
      <c r="I919" t="s">
        <v>14315</v>
      </c>
    </row>
    <row r="920" spans="3:9" x14ac:dyDescent="0.25">
      <c r="C920" s="3" t="str">
        <f>HYPERLINK("http://amigo.geneontology.org/amigo/term/GO:0045259","GO:0045259")</f>
        <v>GO:0045259</v>
      </c>
      <c r="D920" t="s">
        <v>14874</v>
      </c>
      <c r="E920">
        <v>8</v>
      </c>
      <c r="F920">
        <v>1</v>
      </c>
      <c r="G920">
        <v>0.36168189517429</v>
      </c>
      <c r="H920">
        <v>0.723363790348581</v>
      </c>
      <c r="I920" t="s">
        <v>14477</v>
      </c>
    </row>
    <row r="921" spans="3:9" x14ac:dyDescent="0.25">
      <c r="C921" s="3" t="str">
        <f>HYPERLINK("http://amigo.geneontology.org/amigo/term/GO:0005319","GO:0005319")</f>
        <v>GO:0005319</v>
      </c>
      <c r="D921" t="s">
        <v>14875</v>
      </c>
      <c r="E921">
        <v>8</v>
      </c>
      <c r="F921">
        <v>1</v>
      </c>
      <c r="G921">
        <v>0.36168189517429</v>
      </c>
      <c r="H921">
        <v>0.723363790348581</v>
      </c>
      <c r="I921" t="s">
        <v>14598</v>
      </c>
    </row>
    <row r="922" spans="3:9" x14ac:dyDescent="0.25">
      <c r="C922" s="3" t="str">
        <f>HYPERLINK("http://amigo.geneontology.org/amigo/term/GO:0071944","GO:0071944")</f>
        <v>GO:0071944</v>
      </c>
      <c r="D922" t="s">
        <v>255</v>
      </c>
      <c r="E922">
        <v>56</v>
      </c>
      <c r="F922">
        <v>4</v>
      </c>
      <c r="G922">
        <v>0.36520202507677302</v>
      </c>
      <c r="H922">
        <v>0.73040405015354604</v>
      </c>
      <c r="I922" t="s">
        <v>14876</v>
      </c>
    </row>
    <row r="923" spans="3:9" x14ac:dyDescent="0.25">
      <c r="C923" s="3" t="str">
        <f>HYPERLINK("http://amigo.geneontology.org/amigo/term/GO:0044271","GO:0044271")</f>
        <v>GO:0044271</v>
      </c>
      <c r="D923" t="s">
        <v>6838</v>
      </c>
      <c r="E923">
        <v>530</v>
      </c>
      <c r="F923">
        <v>31</v>
      </c>
      <c r="G923">
        <v>0.36678725415079699</v>
      </c>
      <c r="H923">
        <v>0.73357450830159399</v>
      </c>
      <c r="I923" t="s">
        <v>14877</v>
      </c>
    </row>
    <row r="924" spans="3:9" x14ac:dyDescent="0.25">
      <c r="C924" s="3" t="str">
        <f>HYPERLINK("http://amigo.geneontology.org/amigo/term/GO:0046872","GO:0046872")</f>
        <v>GO:0046872</v>
      </c>
      <c r="D924" t="s">
        <v>1484</v>
      </c>
      <c r="E924">
        <v>1034</v>
      </c>
      <c r="F924">
        <v>59</v>
      </c>
      <c r="G924">
        <v>0.37138048546532998</v>
      </c>
      <c r="H924">
        <v>0.74276097093066096</v>
      </c>
      <c r="I924" t="s">
        <v>14878</v>
      </c>
    </row>
    <row r="925" spans="3:9" x14ac:dyDescent="0.25">
      <c r="C925" s="3" t="str">
        <f>HYPERLINK("http://amigo.geneontology.org/amigo/term/GO:0022853","GO:0022853")</f>
        <v>GO:0022853</v>
      </c>
      <c r="D925" t="s">
        <v>14879</v>
      </c>
      <c r="E925">
        <v>24</v>
      </c>
      <c r="F925">
        <v>2</v>
      </c>
      <c r="G925">
        <v>0.37954889124183999</v>
      </c>
      <c r="H925">
        <v>0.75909778248367998</v>
      </c>
      <c r="I925" t="s">
        <v>14021</v>
      </c>
    </row>
    <row r="926" spans="3:9" x14ac:dyDescent="0.25">
      <c r="C926" s="3" t="str">
        <f>HYPERLINK("http://amigo.geneontology.org/amigo/term/GO:0042625","GO:0042625")</f>
        <v>GO:0042625</v>
      </c>
      <c r="D926" t="s">
        <v>14880</v>
      </c>
      <c r="E926">
        <v>24</v>
      </c>
      <c r="F926">
        <v>2</v>
      </c>
      <c r="G926">
        <v>0.37954889124183999</v>
      </c>
      <c r="H926">
        <v>0.75909778248367998</v>
      </c>
      <c r="I926" t="s">
        <v>14021</v>
      </c>
    </row>
    <row r="927" spans="3:9" x14ac:dyDescent="0.25">
      <c r="C927" s="3" t="str">
        <f>HYPERLINK("http://amigo.geneontology.org/amigo/term/GO:0019829","GO:0019829")</f>
        <v>GO:0019829</v>
      </c>
      <c r="D927" t="s">
        <v>14881</v>
      </c>
      <c r="E927">
        <v>24</v>
      </c>
      <c r="F927">
        <v>2</v>
      </c>
      <c r="G927">
        <v>0.37954889124183999</v>
      </c>
      <c r="H927">
        <v>0.75909778248367998</v>
      </c>
      <c r="I927" t="s">
        <v>14021</v>
      </c>
    </row>
    <row r="928" spans="3:9" x14ac:dyDescent="0.25">
      <c r="C928" s="3" t="str">
        <f>HYPERLINK("http://amigo.geneontology.org/amigo/term/GO:1902600","GO:1902600")</f>
        <v>GO:1902600</v>
      </c>
      <c r="D928" t="s">
        <v>14882</v>
      </c>
      <c r="E928">
        <v>24</v>
      </c>
      <c r="F928">
        <v>2</v>
      </c>
      <c r="G928">
        <v>0.37954889124183999</v>
      </c>
      <c r="H928">
        <v>0.75909778248367998</v>
      </c>
      <c r="I928" t="s">
        <v>14021</v>
      </c>
    </row>
    <row r="929" spans="3:9" x14ac:dyDescent="0.25">
      <c r="C929" s="3" t="str">
        <f>HYPERLINK("http://amigo.geneontology.org/amigo/term/GO:0050660","GO:0050660")</f>
        <v>GO:0050660</v>
      </c>
      <c r="D929" t="s">
        <v>5709</v>
      </c>
      <c r="E929">
        <v>162</v>
      </c>
      <c r="F929">
        <v>10</v>
      </c>
      <c r="G929">
        <v>0.38988614665788601</v>
      </c>
      <c r="H929">
        <v>0.77977229331577202</v>
      </c>
      <c r="I929" t="s">
        <v>14883</v>
      </c>
    </row>
    <row r="930" spans="3:9" x14ac:dyDescent="0.25">
      <c r="C930" s="3" t="str">
        <f>HYPERLINK("http://amigo.geneontology.org/amigo/term/GO:0008233","GO:0008233")</f>
        <v>GO:0008233</v>
      </c>
      <c r="D930" t="s">
        <v>154</v>
      </c>
      <c r="E930">
        <v>198</v>
      </c>
      <c r="F930">
        <v>12</v>
      </c>
      <c r="G930">
        <v>0.39552537448304897</v>
      </c>
      <c r="H930">
        <v>0.79105074896609895</v>
      </c>
      <c r="I930" t="s">
        <v>14884</v>
      </c>
    </row>
    <row r="931" spans="3:9" x14ac:dyDescent="0.25">
      <c r="C931" s="3" t="str">
        <f>HYPERLINK("http://amigo.geneontology.org/amigo/term/GO:0070646","GO:0070646")</f>
        <v>GO:0070646</v>
      </c>
      <c r="D931" t="s">
        <v>14885</v>
      </c>
      <c r="E931">
        <v>9</v>
      </c>
      <c r="F931">
        <v>1</v>
      </c>
      <c r="G931">
        <v>0.39653885652848497</v>
      </c>
      <c r="H931">
        <v>0.79307771305697095</v>
      </c>
      <c r="I931" t="s">
        <v>13567</v>
      </c>
    </row>
    <row r="932" spans="3:9" x14ac:dyDescent="0.25">
      <c r="C932" s="3" t="str">
        <f>HYPERLINK("http://amigo.geneontology.org/amigo/term/GO:0016579","GO:0016579")</f>
        <v>GO:0016579</v>
      </c>
      <c r="D932" t="s">
        <v>14886</v>
      </c>
      <c r="E932">
        <v>9</v>
      </c>
      <c r="F932">
        <v>1</v>
      </c>
      <c r="G932">
        <v>0.39653885652848497</v>
      </c>
      <c r="H932">
        <v>0.79307771305697095</v>
      </c>
      <c r="I932" t="s">
        <v>13567</v>
      </c>
    </row>
    <row r="933" spans="3:9" x14ac:dyDescent="0.25">
      <c r="C933" s="3" t="str">
        <f>HYPERLINK("http://amigo.geneontology.org/amigo/term/GO:0043085","GO:0043085")</f>
        <v>GO:0043085</v>
      </c>
      <c r="D933" t="s">
        <v>14887</v>
      </c>
      <c r="E933">
        <v>9</v>
      </c>
      <c r="F933">
        <v>1</v>
      </c>
      <c r="G933">
        <v>0.39653885652848497</v>
      </c>
      <c r="H933">
        <v>0.79307771305697095</v>
      </c>
      <c r="I933" t="s">
        <v>13779</v>
      </c>
    </row>
    <row r="934" spans="3:9" x14ac:dyDescent="0.25">
      <c r="C934" s="3" t="str">
        <f>HYPERLINK("http://amigo.geneontology.org/amigo/term/GO:0030243","GO:0030243")</f>
        <v>GO:0030243</v>
      </c>
      <c r="D934" t="s">
        <v>1041</v>
      </c>
      <c r="E934">
        <v>9</v>
      </c>
      <c r="F934">
        <v>1</v>
      </c>
      <c r="G934">
        <v>0.39653885652848497</v>
      </c>
      <c r="H934">
        <v>0.79307771305697095</v>
      </c>
      <c r="I934" t="s">
        <v>13818</v>
      </c>
    </row>
    <row r="935" spans="3:9" x14ac:dyDescent="0.25">
      <c r="C935" s="3" t="str">
        <f>HYPERLINK("http://amigo.geneontology.org/amigo/term/GO:0051275","GO:0051275")</f>
        <v>GO:0051275</v>
      </c>
      <c r="D935" t="s">
        <v>4323</v>
      </c>
      <c r="E935">
        <v>9</v>
      </c>
      <c r="F935">
        <v>1</v>
      </c>
      <c r="G935">
        <v>0.39653885652848497</v>
      </c>
      <c r="H935">
        <v>0.79307771305697095</v>
      </c>
      <c r="I935" t="s">
        <v>13818</v>
      </c>
    </row>
    <row r="936" spans="3:9" x14ac:dyDescent="0.25">
      <c r="C936" s="3" t="str">
        <f>HYPERLINK("http://amigo.geneontology.org/amigo/term/GO:0030245","GO:0030245")</f>
        <v>GO:0030245</v>
      </c>
      <c r="D936" t="s">
        <v>4325</v>
      </c>
      <c r="E936">
        <v>9</v>
      </c>
      <c r="F936">
        <v>1</v>
      </c>
      <c r="G936">
        <v>0.39653885652848497</v>
      </c>
      <c r="H936">
        <v>0.79307771305697095</v>
      </c>
      <c r="I936" t="s">
        <v>13818</v>
      </c>
    </row>
    <row r="937" spans="3:9" x14ac:dyDescent="0.25">
      <c r="C937" s="3" t="str">
        <f>HYPERLINK("http://amigo.geneontology.org/amigo/term/GO:0045935","GO:0045935")</f>
        <v>GO:0045935</v>
      </c>
      <c r="D937" t="s">
        <v>113</v>
      </c>
      <c r="E937">
        <v>9</v>
      </c>
      <c r="F937">
        <v>1</v>
      </c>
      <c r="G937">
        <v>0.39653885652848497</v>
      </c>
      <c r="H937">
        <v>0.79307771305697095</v>
      </c>
      <c r="I937" t="s">
        <v>14006</v>
      </c>
    </row>
    <row r="938" spans="3:9" x14ac:dyDescent="0.25">
      <c r="C938" s="3" t="str">
        <f>HYPERLINK("http://amigo.geneontology.org/amigo/term/GO:0015085","GO:0015085")</f>
        <v>GO:0015085</v>
      </c>
      <c r="D938" t="s">
        <v>656</v>
      </c>
      <c r="E938">
        <v>9</v>
      </c>
      <c r="F938">
        <v>1</v>
      </c>
      <c r="G938">
        <v>0.39653885652848497</v>
      </c>
      <c r="H938">
        <v>0.79307771305697095</v>
      </c>
      <c r="I938" t="s">
        <v>14022</v>
      </c>
    </row>
    <row r="939" spans="3:9" x14ac:dyDescent="0.25">
      <c r="C939" s="3" t="str">
        <f>HYPERLINK("http://amigo.geneontology.org/amigo/term/GO:0015298","GO:0015298")</f>
        <v>GO:0015298</v>
      </c>
      <c r="D939" t="s">
        <v>221</v>
      </c>
      <c r="E939">
        <v>9</v>
      </c>
      <c r="F939">
        <v>1</v>
      </c>
      <c r="G939">
        <v>0.39653885652848497</v>
      </c>
      <c r="H939">
        <v>0.79307771305697095</v>
      </c>
      <c r="I939" t="s">
        <v>14022</v>
      </c>
    </row>
    <row r="940" spans="3:9" x14ac:dyDescent="0.25">
      <c r="C940" s="3" t="str">
        <f>HYPERLINK("http://amigo.geneontology.org/amigo/term/GO:0015299","GO:0015299")</f>
        <v>GO:0015299</v>
      </c>
      <c r="D940" t="s">
        <v>224</v>
      </c>
      <c r="E940">
        <v>9</v>
      </c>
      <c r="F940">
        <v>1</v>
      </c>
      <c r="G940">
        <v>0.39653885652848497</v>
      </c>
      <c r="H940">
        <v>0.79307771305697095</v>
      </c>
      <c r="I940" t="s">
        <v>14022</v>
      </c>
    </row>
    <row r="941" spans="3:9" x14ac:dyDescent="0.25">
      <c r="C941" s="3" t="str">
        <f>HYPERLINK("http://amigo.geneontology.org/amigo/term/GO:0006470","GO:0006470")</f>
        <v>GO:0006470</v>
      </c>
      <c r="D941" t="s">
        <v>5733</v>
      </c>
      <c r="E941">
        <v>9</v>
      </c>
      <c r="F941">
        <v>1</v>
      </c>
      <c r="G941">
        <v>0.39653885652848497</v>
      </c>
      <c r="H941">
        <v>0.79307771305697095</v>
      </c>
      <c r="I941" t="s">
        <v>14150</v>
      </c>
    </row>
    <row r="942" spans="3:9" x14ac:dyDescent="0.25">
      <c r="C942" s="3" t="str">
        <f>HYPERLINK("http://amigo.geneontology.org/amigo/term/GO:0016776","GO:0016776")</f>
        <v>GO:0016776</v>
      </c>
      <c r="D942" t="s">
        <v>14888</v>
      </c>
      <c r="E942">
        <v>9</v>
      </c>
      <c r="F942">
        <v>1</v>
      </c>
      <c r="G942">
        <v>0.39653885652848497</v>
      </c>
      <c r="H942">
        <v>0.79307771305697095</v>
      </c>
      <c r="I942" t="s">
        <v>14162</v>
      </c>
    </row>
    <row r="943" spans="3:9" x14ac:dyDescent="0.25">
      <c r="C943" s="3" t="str">
        <f>HYPERLINK("http://amigo.geneontology.org/amigo/term/GO:0090305","GO:0090305")</f>
        <v>GO:0090305</v>
      </c>
      <c r="D943" t="s">
        <v>5094</v>
      </c>
      <c r="E943">
        <v>9</v>
      </c>
      <c r="F943">
        <v>1</v>
      </c>
      <c r="G943">
        <v>0.39653885652848497</v>
      </c>
      <c r="H943">
        <v>0.79307771305697095</v>
      </c>
      <c r="I943" t="s">
        <v>14184</v>
      </c>
    </row>
    <row r="944" spans="3:9" x14ac:dyDescent="0.25">
      <c r="C944" s="3" t="str">
        <f>HYPERLINK("http://amigo.geneontology.org/amigo/term/GO:0009310","GO:0009310")</f>
        <v>GO:0009310</v>
      </c>
      <c r="D944" t="s">
        <v>14889</v>
      </c>
      <c r="E944">
        <v>9</v>
      </c>
      <c r="F944">
        <v>1</v>
      </c>
      <c r="G944">
        <v>0.39653885652848497</v>
      </c>
      <c r="H944">
        <v>0.79307771305697095</v>
      </c>
      <c r="I944" t="s">
        <v>14229</v>
      </c>
    </row>
    <row r="945" spans="3:9" x14ac:dyDescent="0.25">
      <c r="C945" s="3" t="str">
        <f>HYPERLINK("http://amigo.geneontology.org/amigo/term/GO:0001932","GO:0001932")</f>
        <v>GO:0001932</v>
      </c>
      <c r="D945" t="s">
        <v>14890</v>
      </c>
      <c r="E945">
        <v>9</v>
      </c>
      <c r="F945">
        <v>1</v>
      </c>
      <c r="G945">
        <v>0.39653885652848497</v>
      </c>
      <c r="H945">
        <v>0.79307771305697095</v>
      </c>
      <c r="I945" t="s">
        <v>14315</v>
      </c>
    </row>
    <row r="946" spans="3:9" x14ac:dyDescent="0.25">
      <c r="C946" s="3" t="str">
        <f>HYPERLINK("http://amigo.geneontology.org/amigo/term/GO:0015985","GO:0015985")</f>
        <v>GO:0015985</v>
      </c>
      <c r="D946" t="s">
        <v>14891</v>
      </c>
      <c r="E946">
        <v>9</v>
      </c>
      <c r="F946">
        <v>1</v>
      </c>
      <c r="G946">
        <v>0.39653885652848497</v>
      </c>
      <c r="H946">
        <v>0.79307771305697095</v>
      </c>
      <c r="I946" t="s">
        <v>14477</v>
      </c>
    </row>
    <row r="947" spans="3:9" x14ac:dyDescent="0.25">
      <c r="C947" s="3" t="str">
        <f>HYPERLINK("http://amigo.geneontology.org/amigo/term/GO:0015986","GO:0015986")</f>
        <v>GO:0015986</v>
      </c>
      <c r="D947" t="s">
        <v>14892</v>
      </c>
      <c r="E947">
        <v>9</v>
      </c>
      <c r="F947">
        <v>1</v>
      </c>
      <c r="G947">
        <v>0.39653885652848497</v>
      </c>
      <c r="H947">
        <v>0.79307771305697095</v>
      </c>
      <c r="I947" t="s">
        <v>14477</v>
      </c>
    </row>
    <row r="948" spans="3:9" x14ac:dyDescent="0.25">
      <c r="C948" s="3" t="str">
        <f>HYPERLINK("http://amigo.geneontology.org/amigo/term/GO:0051604","GO:0051604")</f>
        <v>GO:0051604</v>
      </c>
      <c r="D948" t="s">
        <v>14893</v>
      </c>
      <c r="E948">
        <v>9</v>
      </c>
      <c r="F948">
        <v>1</v>
      </c>
      <c r="G948">
        <v>0.39653885652848497</v>
      </c>
      <c r="H948">
        <v>0.79307771305697095</v>
      </c>
      <c r="I948" t="s">
        <v>14296</v>
      </c>
    </row>
    <row r="949" spans="3:9" x14ac:dyDescent="0.25">
      <c r="C949" s="3" t="str">
        <f>HYPERLINK("http://amigo.geneontology.org/amigo/term/GO:0022890","GO:0022890")</f>
        <v>GO:0022890</v>
      </c>
      <c r="D949" t="s">
        <v>252</v>
      </c>
      <c r="E949">
        <v>96</v>
      </c>
      <c r="F949">
        <v>6</v>
      </c>
      <c r="G949">
        <v>0.42671216879248602</v>
      </c>
      <c r="H949">
        <v>0.85342433758497305</v>
      </c>
      <c r="I949" t="s">
        <v>14894</v>
      </c>
    </row>
    <row r="950" spans="3:9" x14ac:dyDescent="0.25">
      <c r="C950" s="3" t="str">
        <f>HYPERLINK("http://amigo.geneontology.org/amigo/term/GO:0070011","GO:0070011")</f>
        <v>GO:0070011</v>
      </c>
      <c r="D950" t="s">
        <v>151</v>
      </c>
      <c r="E950">
        <v>185</v>
      </c>
      <c r="F950">
        <v>11</v>
      </c>
      <c r="G950">
        <v>0.42854764920501098</v>
      </c>
      <c r="H950">
        <v>0.85709529841002197</v>
      </c>
      <c r="I950" t="s">
        <v>14895</v>
      </c>
    </row>
    <row r="951" spans="3:9" x14ac:dyDescent="0.25">
      <c r="C951" s="3" t="str">
        <f>HYPERLINK("http://amigo.geneontology.org/amigo/term/GO:0010498","GO:0010498")</f>
        <v>GO:0010498</v>
      </c>
      <c r="D951" t="s">
        <v>14896</v>
      </c>
      <c r="E951">
        <v>10</v>
      </c>
      <c r="F951">
        <v>1</v>
      </c>
      <c r="G951">
        <v>0.42949747910470198</v>
      </c>
      <c r="H951">
        <v>0.85899495820940397</v>
      </c>
      <c r="I951" t="s">
        <v>13579</v>
      </c>
    </row>
    <row r="952" spans="3:9" x14ac:dyDescent="0.25">
      <c r="C952" s="3" t="str">
        <f>HYPERLINK("http://amigo.geneontology.org/amigo/term/GO:0043161","GO:0043161")</f>
        <v>GO:0043161</v>
      </c>
      <c r="D952" t="s">
        <v>14897</v>
      </c>
      <c r="E952">
        <v>10</v>
      </c>
      <c r="F952">
        <v>1</v>
      </c>
      <c r="G952">
        <v>0.42949747910470198</v>
      </c>
      <c r="H952">
        <v>0.85899495820940397</v>
      </c>
      <c r="I952" t="s">
        <v>13579</v>
      </c>
    </row>
    <row r="953" spans="3:9" x14ac:dyDescent="0.25">
      <c r="C953" s="3" t="str">
        <f>HYPERLINK("http://amigo.geneontology.org/amigo/term/GO:0070603","GO:0070603")</f>
        <v>GO:0070603</v>
      </c>
      <c r="D953" t="s">
        <v>14898</v>
      </c>
      <c r="E953">
        <v>10</v>
      </c>
      <c r="F953">
        <v>1</v>
      </c>
      <c r="G953">
        <v>0.42949747910470198</v>
      </c>
      <c r="H953">
        <v>0.85899495820940397</v>
      </c>
      <c r="I953" t="s">
        <v>13764</v>
      </c>
    </row>
    <row r="954" spans="3:9" x14ac:dyDescent="0.25">
      <c r="C954" s="3" t="str">
        <f>HYPERLINK("http://amigo.geneontology.org/amigo/term/GO:0015926","GO:0015926")</f>
        <v>GO:0015926</v>
      </c>
      <c r="D954" t="s">
        <v>401</v>
      </c>
      <c r="E954">
        <v>10</v>
      </c>
      <c r="F954">
        <v>1</v>
      </c>
      <c r="G954">
        <v>0.42949747910470198</v>
      </c>
      <c r="H954">
        <v>0.85899495820940397</v>
      </c>
      <c r="I954" t="s">
        <v>13818</v>
      </c>
    </row>
    <row r="955" spans="3:9" x14ac:dyDescent="0.25">
      <c r="C955" s="3" t="str">
        <f>HYPERLINK("http://amigo.geneontology.org/amigo/term/GO:0051273","GO:0051273")</f>
        <v>GO:0051273</v>
      </c>
      <c r="D955" t="s">
        <v>867</v>
      </c>
      <c r="E955">
        <v>10</v>
      </c>
      <c r="F955">
        <v>1</v>
      </c>
      <c r="G955">
        <v>0.42949747910470198</v>
      </c>
      <c r="H955">
        <v>0.85899495820940397</v>
      </c>
      <c r="I955" t="s">
        <v>13818</v>
      </c>
    </row>
    <row r="956" spans="3:9" x14ac:dyDescent="0.25">
      <c r="C956" s="3" t="str">
        <f>HYPERLINK("http://amigo.geneontology.org/amigo/term/GO:0009251","GO:0009251")</f>
        <v>GO:0009251</v>
      </c>
      <c r="D956" t="s">
        <v>559</v>
      </c>
      <c r="E956">
        <v>10</v>
      </c>
      <c r="F956">
        <v>1</v>
      </c>
      <c r="G956">
        <v>0.42949747910470198</v>
      </c>
      <c r="H956">
        <v>0.85899495820940397</v>
      </c>
      <c r="I956" t="s">
        <v>13818</v>
      </c>
    </row>
    <row r="957" spans="3:9" x14ac:dyDescent="0.25">
      <c r="C957" s="3" t="str">
        <f>HYPERLINK("http://amigo.geneontology.org/amigo/term/GO:0044247","GO:0044247")</f>
        <v>GO:0044247</v>
      </c>
      <c r="D957" t="s">
        <v>562</v>
      </c>
      <c r="E957">
        <v>10</v>
      </c>
      <c r="F957">
        <v>1</v>
      </c>
      <c r="G957">
        <v>0.42949747910470198</v>
      </c>
      <c r="H957">
        <v>0.85899495820940397</v>
      </c>
      <c r="I957" t="s">
        <v>13818</v>
      </c>
    </row>
    <row r="958" spans="3:9" x14ac:dyDescent="0.25">
      <c r="C958" s="3" t="str">
        <f>HYPERLINK("http://amigo.geneontology.org/amigo/term/GO:0016780","GO:0016780")</f>
        <v>GO:0016780</v>
      </c>
      <c r="D958" t="s">
        <v>14899</v>
      </c>
      <c r="E958">
        <v>10</v>
      </c>
      <c r="F958">
        <v>1</v>
      </c>
      <c r="G958">
        <v>0.42949747910470198</v>
      </c>
      <c r="H958">
        <v>0.85899495820940397</v>
      </c>
      <c r="I958" t="s">
        <v>14002</v>
      </c>
    </row>
    <row r="959" spans="3:9" x14ac:dyDescent="0.25">
      <c r="C959" s="3" t="str">
        <f>HYPERLINK("http://amigo.geneontology.org/amigo/term/GO:0050801","GO:0050801")</f>
        <v>GO:0050801</v>
      </c>
      <c r="D959" t="s">
        <v>14900</v>
      </c>
      <c r="E959">
        <v>10</v>
      </c>
      <c r="F959">
        <v>1</v>
      </c>
      <c r="G959">
        <v>0.42949747910470198</v>
      </c>
      <c r="H959">
        <v>0.85899495820940397</v>
      </c>
      <c r="I959" t="s">
        <v>14006</v>
      </c>
    </row>
    <row r="960" spans="3:9" x14ac:dyDescent="0.25">
      <c r="C960" s="3" t="str">
        <f>HYPERLINK("http://amigo.geneontology.org/amigo/term/GO:0010628","GO:0010628")</f>
        <v>GO:0010628</v>
      </c>
      <c r="D960" t="s">
        <v>124</v>
      </c>
      <c r="E960">
        <v>10</v>
      </c>
      <c r="F960">
        <v>1</v>
      </c>
      <c r="G960">
        <v>0.42949747910470198</v>
      </c>
      <c r="H960">
        <v>0.85899495820940397</v>
      </c>
      <c r="I960" t="s">
        <v>14006</v>
      </c>
    </row>
    <row r="961" spans="3:9" x14ac:dyDescent="0.25">
      <c r="C961" s="3" t="str">
        <f>HYPERLINK("http://amigo.geneontology.org/amigo/term/GO:0009891","GO:0009891")</f>
        <v>GO:0009891</v>
      </c>
      <c r="D961" t="s">
        <v>128</v>
      </c>
      <c r="E961">
        <v>10</v>
      </c>
      <c r="F961">
        <v>1</v>
      </c>
      <c r="G961">
        <v>0.42949747910470198</v>
      </c>
      <c r="H961">
        <v>0.85899495820940397</v>
      </c>
      <c r="I961" t="s">
        <v>14006</v>
      </c>
    </row>
    <row r="962" spans="3:9" x14ac:dyDescent="0.25">
      <c r="C962" s="3" t="str">
        <f>HYPERLINK("http://amigo.geneontology.org/amigo/term/GO:0010557","GO:0010557")</f>
        <v>GO:0010557</v>
      </c>
      <c r="D962" t="s">
        <v>118</v>
      </c>
      <c r="E962">
        <v>10</v>
      </c>
      <c r="F962">
        <v>1</v>
      </c>
      <c r="G962">
        <v>0.42949747910470198</v>
      </c>
      <c r="H962">
        <v>0.85899495820940397</v>
      </c>
      <c r="I962" t="s">
        <v>14006</v>
      </c>
    </row>
    <row r="963" spans="3:9" x14ac:dyDescent="0.25">
      <c r="C963" s="3" t="str">
        <f>HYPERLINK("http://amigo.geneontology.org/amigo/term/GO:0031328","GO:0031328")</f>
        <v>GO:0031328</v>
      </c>
      <c r="D963" t="s">
        <v>122</v>
      </c>
      <c r="E963">
        <v>10</v>
      </c>
      <c r="F963">
        <v>1</v>
      </c>
      <c r="G963">
        <v>0.42949747910470198</v>
      </c>
      <c r="H963">
        <v>0.85899495820940397</v>
      </c>
      <c r="I963" t="s">
        <v>14006</v>
      </c>
    </row>
    <row r="964" spans="3:9" x14ac:dyDescent="0.25">
      <c r="C964" s="3" t="str">
        <f>HYPERLINK("http://amigo.geneontology.org/amigo/term/GO:0009070","GO:0009070")</f>
        <v>GO:0009070</v>
      </c>
      <c r="D964" t="s">
        <v>14901</v>
      </c>
      <c r="E964">
        <v>10</v>
      </c>
      <c r="F964">
        <v>1</v>
      </c>
      <c r="G964">
        <v>0.42949747910470198</v>
      </c>
      <c r="H964">
        <v>0.85899495820940397</v>
      </c>
      <c r="I964" t="s">
        <v>14033</v>
      </c>
    </row>
    <row r="965" spans="3:9" x14ac:dyDescent="0.25">
      <c r="C965" s="3" t="str">
        <f>HYPERLINK("http://amigo.geneontology.org/amigo/term/GO:0046112","GO:0046112")</f>
        <v>GO:0046112</v>
      </c>
      <c r="D965" t="s">
        <v>9159</v>
      </c>
      <c r="E965">
        <v>10</v>
      </c>
      <c r="F965">
        <v>1</v>
      </c>
      <c r="G965">
        <v>0.42949747910470198</v>
      </c>
      <c r="H965">
        <v>0.85899495820940397</v>
      </c>
      <c r="I965" t="s">
        <v>14201</v>
      </c>
    </row>
    <row r="966" spans="3:9" x14ac:dyDescent="0.25">
      <c r="C966" s="3" t="str">
        <f>HYPERLINK("http://amigo.geneontology.org/amigo/term/GO:0043549","GO:0043549")</f>
        <v>GO:0043549</v>
      </c>
      <c r="D966" t="s">
        <v>14902</v>
      </c>
      <c r="E966">
        <v>10</v>
      </c>
      <c r="F966">
        <v>1</v>
      </c>
      <c r="G966">
        <v>0.42949747910470198</v>
      </c>
      <c r="H966">
        <v>0.85899495820940397</v>
      </c>
      <c r="I966" t="s">
        <v>14315</v>
      </c>
    </row>
    <row r="967" spans="3:9" x14ac:dyDescent="0.25">
      <c r="C967" s="3" t="str">
        <f>HYPERLINK("http://amigo.geneontology.org/amigo/term/GO:1903046","GO:1903046")</f>
        <v>GO:1903046</v>
      </c>
      <c r="D967" t="s">
        <v>14903</v>
      </c>
      <c r="E967">
        <v>10</v>
      </c>
      <c r="F967">
        <v>1</v>
      </c>
      <c r="G967">
        <v>0.42949747910470198</v>
      </c>
      <c r="H967">
        <v>0.85899495820940397</v>
      </c>
      <c r="I967" t="s">
        <v>14484</v>
      </c>
    </row>
    <row r="968" spans="3:9" x14ac:dyDescent="0.25">
      <c r="C968" s="3" t="str">
        <f>HYPERLINK("http://amigo.geneontology.org/amigo/term/GO:0006605","GO:0006605")</f>
        <v>GO:0006605</v>
      </c>
      <c r="D968" t="s">
        <v>14904</v>
      </c>
      <c r="E968">
        <v>27</v>
      </c>
      <c r="F968">
        <v>2</v>
      </c>
      <c r="G968">
        <v>0.437722260099358</v>
      </c>
      <c r="H968">
        <v>0.87544452019871599</v>
      </c>
      <c r="I968" t="s">
        <v>13960</v>
      </c>
    </row>
    <row r="969" spans="3:9" x14ac:dyDescent="0.25">
      <c r="C969" s="3" t="str">
        <f>HYPERLINK("http://amigo.geneontology.org/amigo/term/GO:0008654","GO:0008654")</f>
        <v>GO:0008654</v>
      </c>
      <c r="D969" t="s">
        <v>14905</v>
      </c>
      <c r="E969">
        <v>27</v>
      </c>
      <c r="F969">
        <v>2</v>
      </c>
      <c r="G969">
        <v>0.437722260099358</v>
      </c>
      <c r="H969">
        <v>0.87544452019871599</v>
      </c>
      <c r="I969" t="s">
        <v>14906</v>
      </c>
    </row>
    <row r="970" spans="3:9" x14ac:dyDescent="0.25">
      <c r="C970" s="3" t="str">
        <f>HYPERLINK("http://amigo.geneontology.org/amigo/term/GO:0051287","GO:0051287")</f>
        <v>GO:0051287</v>
      </c>
      <c r="D970" t="s">
        <v>14907</v>
      </c>
      <c r="E970">
        <v>45</v>
      </c>
      <c r="F970">
        <v>3</v>
      </c>
      <c r="G970">
        <v>0.44806409664676899</v>
      </c>
      <c r="H970">
        <v>0.89612819329353799</v>
      </c>
      <c r="I970" t="s">
        <v>14908</v>
      </c>
    </row>
    <row r="971" spans="3:9" x14ac:dyDescent="0.25">
      <c r="C971" s="3" t="str">
        <f>HYPERLINK("http://amigo.geneontology.org/amigo/term/GO:0072594","GO:0072594")</f>
        <v>GO:0072594</v>
      </c>
      <c r="D971" t="s">
        <v>14909</v>
      </c>
      <c r="E971">
        <v>28</v>
      </c>
      <c r="F971">
        <v>2</v>
      </c>
      <c r="G971">
        <v>0.45645445558480402</v>
      </c>
      <c r="H971">
        <v>0.91290891116960904</v>
      </c>
      <c r="I971" t="s">
        <v>13960</v>
      </c>
    </row>
    <row r="972" spans="3:9" x14ac:dyDescent="0.25">
      <c r="C972" s="3" t="str">
        <f>HYPERLINK("http://amigo.geneontology.org/amigo/term/GO:0010033","GO:0010033")</f>
        <v>GO:0010033</v>
      </c>
      <c r="D972" t="s">
        <v>6685</v>
      </c>
      <c r="E972">
        <v>11</v>
      </c>
      <c r="F972">
        <v>1</v>
      </c>
      <c r="G972">
        <v>0.460660869444937</v>
      </c>
      <c r="H972">
        <v>0.92132173888987401</v>
      </c>
      <c r="I972" t="s">
        <v>13559</v>
      </c>
    </row>
    <row r="973" spans="3:9" x14ac:dyDescent="0.25">
      <c r="C973" s="3" t="str">
        <f>HYPERLINK("http://amigo.geneontology.org/amigo/term/GO:0019783","GO:0019783")</f>
        <v>GO:0019783</v>
      </c>
      <c r="D973" t="s">
        <v>14910</v>
      </c>
      <c r="E973">
        <v>11</v>
      </c>
      <c r="F973">
        <v>1</v>
      </c>
      <c r="G973">
        <v>0.460660869444937</v>
      </c>
      <c r="H973">
        <v>0.92132173888987401</v>
      </c>
      <c r="I973" t="s">
        <v>13567</v>
      </c>
    </row>
    <row r="974" spans="3:9" x14ac:dyDescent="0.25">
      <c r="C974" s="3" t="str">
        <f>HYPERLINK("http://amigo.geneontology.org/amigo/term/GO:0101005","GO:0101005")</f>
        <v>GO:0101005</v>
      </c>
      <c r="D974" t="s">
        <v>14911</v>
      </c>
      <c r="E974">
        <v>11</v>
      </c>
      <c r="F974">
        <v>1</v>
      </c>
      <c r="G974">
        <v>0.460660869444937</v>
      </c>
      <c r="H974">
        <v>0.92132173888987401</v>
      </c>
      <c r="I974" t="s">
        <v>13567</v>
      </c>
    </row>
    <row r="975" spans="3:9" x14ac:dyDescent="0.25">
      <c r="C975" s="3" t="str">
        <f>HYPERLINK("http://amigo.geneontology.org/amigo/term/GO:0036459","GO:0036459")</f>
        <v>GO:0036459</v>
      </c>
      <c r="D975" t="s">
        <v>14912</v>
      </c>
      <c r="E975">
        <v>11</v>
      </c>
      <c r="F975">
        <v>1</v>
      </c>
      <c r="G975">
        <v>0.460660869444937</v>
      </c>
      <c r="H975">
        <v>0.92132173888987401</v>
      </c>
      <c r="I975" t="s">
        <v>13567</v>
      </c>
    </row>
    <row r="976" spans="3:9" x14ac:dyDescent="0.25">
      <c r="C976" s="3" t="str">
        <f>HYPERLINK("http://amigo.geneontology.org/amigo/term/GO:1904949","GO:1904949")</f>
        <v>GO:1904949</v>
      </c>
      <c r="D976" t="s">
        <v>14913</v>
      </c>
      <c r="E976">
        <v>11</v>
      </c>
      <c r="F976">
        <v>1</v>
      </c>
      <c r="G976">
        <v>0.460660869444937</v>
      </c>
      <c r="H976">
        <v>0.92132173888987401</v>
      </c>
      <c r="I976" t="s">
        <v>13764</v>
      </c>
    </row>
    <row r="977" spans="3:9" x14ac:dyDescent="0.25">
      <c r="C977" s="3" t="str">
        <f>HYPERLINK("http://amigo.geneontology.org/amigo/term/GO:0006563","GO:0006563")</f>
        <v>GO:0006563</v>
      </c>
      <c r="D977" t="s">
        <v>14914</v>
      </c>
      <c r="E977">
        <v>11</v>
      </c>
      <c r="F977">
        <v>1</v>
      </c>
      <c r="G977">
        <v>0.460660869444937</v>
      </c>
      <c r="H977">
        <v>0.92132173888987401</v>
      </c>
      <c r="I977" t="s">
        <v>13954</v>
      </c>
    </row>
    <row r="978" spans="3:9" x14ac:dyDescent="0.25">
      <c r="C978" s="3" t="str">
        <f>HYPERLINK("http://amigo.geneontology.org/amigo/term/GO:0043094","GO:0043094")</f>
        <v>GO:0043094</v>
      </c>
      <c r="D978" t="s">
        <v>581</v>
      </c>
      <c r="E978">
        <v>11</v>
      </c>
      <c r="F978">
        <v>1</v>
      </c>
      <c r="G978">
        <v>0.460660869444937</v>
      </c>
      <c r="H978">
        <v>0.92132173888987401</v>
      </c>
      <c r="I978" t="s">
        <v>13980</v>
      </c>
    </row>
    <row r="979" spans="3:9" x14ac:dyDescent="0.25">
      <c r="C979" s="3" t="str">
        <f>HYPERLINK("http://amigo.geneontology.org/amigo/term/GO:0042278","GO:0042278")</f>
        <v>GO:0042278</v>
      </c>
      <c r="D979" t="s">
        <v>14915</v>
      </c>
      <c r="E979">
        <v>11</v>
      </c>
      <c r="F979">
        <v>1</v>
      </c>
      <c r="G979">
        <v>0.460660869444937</v>
      </c>
      <c r="H979">
        <v>0.92132173888987401</v>
      </c>
      <c r="I979" t="s">
        <v>13980</v>
      </c>
    </row>
    <row r="980" spans="3:9" x14ac:dyDescent="0.25">
      <c r="C980" s="3" t="str">
        <f>HYPERLINK("http://amigo.geneontology.org/amigo/term/GO:0046128","GO:0046128")</f>
        <v>GO:0046128</v>
      </c>
      <c r="D980" t="s">
        <v>14916</v>
      </c>
      <c r="E980">
        <v>11</v>
      </c>
      <c r="F980">
        <v>1</v>
      </c>
      <c r="G980">
        <v>0.460660869444937</v>
      </c>
      <c r="H980">
        <v>0.92132173888987401</v>
      </c>
      <c r="I980" t="s">
        <v>13980</v>
      </c>
    </row>
    <row r="981" spans="3:9" x14ac:dyDescent="0.25">
      <c r="C981" s="3" t="str">
        <f>HYPERLINK("http://amigo.geneontology.org/amigo/term/GO:0043177","GO:0043177")</f>
        <v>GO:0043177</v>
      </c>
      <c r="D981" t="s">
        <v>5691</v>
      </c>
      <c r="E981">
        <v>11</v>
      </c>
      <c r="F981">
        <v>1</v>
      </c>
      <c r="G981">
        <v>0.460660869444937</v>
      </c>
      <c r="H981">
        <v>0.92132173888987401</v>
      </c>
      <c r="I981" t="s">
        <v>14123</v>
      </c>
    </row>
    <row r="982" spans="3:9" x14ac:dyDescent="0.25">
      <c r="C982" s="3" t="str">
        <f>HYPERLINK("http://amigo.geneontology.org/amigo/term/GO:0031406","GO:0031406")</f>
        <v>GO:0031406</v>
      </c>
      <c r="D982" t="s">
        <v>5692</v>
      </c>
      <c r="E982">
        <v>11</v>
      </c>
      <c r="F982">
        <v>1</v>
      </c>
      <c r="G982">
        <v>0.460660869444937</v>
      </c>
      <c r="H982">
        <v>0.92132173888987401</v>
      </c>
      <c r="I982" t="s">
        <v>14123</v>
      </c>
    </row>
    <row r="983" spans="3:9" x14ac:dyDescent="0.25">
      <c r="C983" s="3" t="str">
        <f>HYPERLINK("http://amigo.geneontology.org/amigo/term/GO:0042537","GO:0042537")</f>
        <v>GO:0042537</v>
      </c>
      <c r="D983" t="s">
        <v>7087</v>
      </c>
      <c r="E983">
        <v>11</v>
      </c>
      <c r="F983">
        <v>1</v>
      </c>
      <c r="G983">
        <v>0.460660869444937</v>
      </c>
      <c r="H983">
        <v>0.92132173888987401</v>
      </c>
      <c r="I983" t="s">
        <v>14229</v>
      </c>
    </row>
    <row r="984" spans="3:9" x14ac:dyDescent="0.25">
      <c r="C984" s="3" t="str">
        <f>HYPERLINK("http://amigo.geneontology.org/amigo/term/GO:0022900","GO:0022900")</f>
        <v>GO:0022900</v>
      </c>
      <c r="D984" t="s">
        <v>14917</v>
      </c>
      <c r="E984">
        <v>11</v>
      </c>
      <c r="F984">
        <v>1</v>
      </c>
      <c r="G984">
        <v>0.460660869444937</v>
      </c>
      <c r="H984">
        <v>0.92132173888987401</v>
      </c>
      <c r="I984" t="s">
        <v>14279</v>
      </c>
    </row>
    <row r="985" spans="3:9" x14ac:dyDescent="0.25">
      <c r="C985" s="3" t="str">
        <f>HYPERLINK("http://amigo.geneontology.org/amigo/term/GO:0042325","GO:0042325")</f>
        <v>GO:0042325</v>
      </c>
      <c r="D985" t="s">
        <v>14918</v>
      </c>
      <c r="E985">
        <v>11</v>
      </c>
      <c r="F985">
        <v>1</v>
      </c>
      <c r="G985">
        <v>0.460660869444937</v>
      </c>
      <c r="H985">
        <v>0.92132173888987401</v>
      </c>
      <c r="I985" t="s">
        <v>14315</v>
      </c>
    </row>
    <row r="986" spans="3:9" x14ac:dyDescent="0.25">
      <c r="C986" s="3" t="str">
        <f>HYPERLINK("http://amigo.geneontology.org/amigo/term/GO:0051321","GO:0051321")</f>
        <v>GO:0051321</v>
      </c>
      <c r="D986" t="s">
        <v>14919</v>
      </c>
      <c r="E986">
        <v>11</v>
      </c>
      <c r="F986">
        <v>1</v>
      </c>
      <c r="G986">
        <v>0.460660869444937</v>
      </c>
      <c r="H986">
        <v>0.92132173888987401</v>
      </c>
      <c r="I986" t="s">
        <v>14484</v>
      </c>
    </row>
    <row r="987" spans="3:9" x14ac:dyDescent="0.25">
      <c r="C987" s="3" t="str">
        <f>HYPERLINK("http://amigo.geneontology.org/amigo/term/GO:0004659","GO:0004659")</f>
        <v>GO:0004659</v>
      </c>
      <c r="D987" t="s">
        <v>14920</v>
      </c>
      <c r="E987">
        <v>11</v>
      </c>
      <c r="F987">
        <v>1</v>
      </c>
      <c r="G987">
        <v>0.460660869444937</v>
      </c>
      <c r="H987">
        <v>0.92132173888987401</v>
      </c>
      <c r="I987" t="s">
        <v>14277</v>
      </c>
    </row>
    <row r="988" spans="3:9" x14ac:dyDescent="0.25">
      <c r="C988" s="3" t="str">
        <f>HYPERLINK("http://amigo.geneontology.org/amigo/term/GO:0033043","GO:0033043")</f>
        <v>GO:0033043</v>
      </c>
      <c r="D988" t="s">
        <v>14921</v>
      </c>
      <c r="E988">
        <v>29</v>
      </c>
      <c r="F988">
        <v>2</v>
      </c>
      <c r="G988">
        <v>0.47482237614876599</v>
      </c>
      <c r="H988">
        <v>0.94964475229753198</v>
      </c>
      <c r="I988" t="s">
        <v>13919</v>
      </c>
    </row>
    <row r="989" spans="3:9" x14ac:dyDescent="0.25">
      <c r="C989" s="3" t="str">
        <f>HYPERLINK("http://amigo.geneontology.org/amigo/term/GO:0009892","GO:0009892")</f>
        <v>GO:0009892</v>
      </c>
      <c r="D989" t="s">
        <v>9049</v>
      </c>
      <c r="E989">
        <v>29</v>
      </c>
      <c r="F989">
        <v>2</v>
      </c>
      <c r="G989">
        <v>0.47482237614876599</v>
      </c>
      <c r="H989">
        <v>0.94964475229753198</v>
      </c>
      <c r="I989" t="s">
        <v>14783</v>
      </c>
    </row>
    <row r="990" spans="3:9" x14ac:dyDescent="0.25">
      <c r="C990" s="3" t="str">
        <f>HYPERLINK("http://amigo.geneontology.org/amigo/term/GO:0051253","GO:0051253")</f>
        <v>GO:0051253</v>
      </c>
      <c r="D990" t="s">
        <v>14922</v>
      </c>
      <c r="E990">
        <v>12</v>
      </c>
      <c r="F990">
        <v>1</v>
      </c>
      <c r="G990">
        <v>0.49012654908737102</v>
      </c>
      <c r="H990">
        <v>0.98025309817474204</v>
      </c>
      <c r="I990" t="s">
        <v>13711</v>
      </c>
    </row>
    <row r="991" spans="3:9" x14ac:dyDescent="0.25">
      <c r="C991" s="3" t="str">
        <f>HYPERLINK("http://amigo.geneontology.org/amigo/term/GO:1902679","GO:1902679")</f>
        <v>GO:1902679</v>
      </c>
      <c r="D991" t="s">
        <v>14923</v>
      </c>
      <c r="E991">
        <v>12</v>
      </c>
      <c r="F991">
        <v>1</v>
      </c>
      <c r="G991">
        <v>0.49012654908737102</v>
      </c>
      <c r="H991">
        <v>0.98025309817474204</v>
      </c>
      <c r="I991" t="s">
        <v>13711</v>
      </c>
    </row>
    <row r="992" spans="3:9" x14ac:dyDescent="0.25">
      <c r="C992" s="3" t="str">
        <f>HYPERLINK("http://amigo.geneontology.org/amigo/term/GO:1903507","GO:1903507")</f>
        <v>GO:1903507</v>
      </c>
      <c r="D992" t="s">
        <v>14924</v>
      </c>
      <c r="E992">
        <v>12</v>
      </c>
      <c r="F992">
        <v>1</v>
      </c>
      <c r="G992">
        <v>0.49012654908737102</v>
      </c>
      <c r="H992">
        <v>0.98025309817474204</v>
      </c>
      <c r="I992" t="s">
        <v>13711</v>
      </c>
    </row>
    <row r="993" spans="3:9" x14ac:dyDescent="0.25">
      <c r="C993" s="3" t="str">
        <f>HYPERLINK("http://amigo.geneontology.org/amigo/term/GO:0045892","GO:0045892")</f>
        <v>GO:0045892</v>
      </c>
      <c r="D993" t="s">
        <v>14925</v>
      </c>
      <c r="E993">
        <v>12</v>
      </c>
      <c r="F993">
        <v>1</v>
      </c>
      <c r="G993">
        <v>0.49012654908737102</v>
      </c>
      <c r="H993">
        <v>0.98025309817474204</v>
      </c>
      <c r="I993" t="s">
        <v>13711</v>
      </c>
    </row>
    <row r="994" spans="3:9" x14ac:dyDescent="0.25">
      <c r="C994" s="3" t="str">
        <f>HYPERLINK("http://amigo.geneontology.org/amigo/term/GO:0044448","GO:0044448")</f>
        <v>GO:0044448</v>
      </c>
      <c r="D994" t="s">
        <v>770</v>
      </c>
      <c r="E994">
        <v>12</v>
      </c>
      <c r="F994">
        <v>1</v>
      </c>
      <c r="G994">
        <v>0.49012654908737102</v>
      </c>
      <c r="H994">
        <v>0.98025309817474204</v>
      </c>
      <c r="I994" t="s">
        <v>13779</v>
      </c>
    </row>
    <row r="995" spans="3:9" x14ac:dyDescent="0.25">
      <c r="C995" s="3" t="str">
        <f>HYPERLINK("http://amigo.geneontology.org/amigo/term/GO:0007015","GO:0007015")</f>
        <v>GO:0007015</v>
      </c>
      <c r="D995" t="s">
        <v>5765</v>
      </c>
      <c r="E995">
        <v>12</v>
      </c>
      <c r="F995">
        <v>1</v>
      </c>
      <c r="G995">
        <v>0.49012654908737102</v>
      </c>
      <c r="H995">
        <v>0.98025309817474204</v>
      </c>
      <c r="I995" t="s">
        <v>13779</v>
      </c>
    </row>
    <row r="996" spans="3:9" x14ac:dyDescent="0.25">
      <c r="C996" s="3" t="str">
        <f>HYPERLINK("http://amigo.geneontology.org/amigo/term/GO:0048869","GO:0048869")</f>
        <v>GO:0048869</v>
      </c>
      <c r="D996" t="s">
        <v>14926</v>
      </c>
      <c r="E996">
        <v>12</v>
      </c>
      <c r="F996">
        <v>1</v>
      </c>
      <c r="G996">
        <v>0.49012654908737102</v>
      </c>
      <c r="H996">
        <v>0.98025309817474204</v>
      </c>
      <c r="I996" t="s">
        <v>14006</v>
      </c>
    </row>
    <row r="997" spans="3:9" x14ac:dyDescent="0.25">
      <c r="C997" s="3" t="str">
        <f>HYPERLINK("http://amigo.geneontology.org/amigo/term/GO:0051338","GO:0051338")</f>
        <v>GO:0051338</v>
      </c>
      <c r="D997" t="s">
        <v>14927</v>
      </c>
      <c r="E997">
        <v>12</v>
      </c>
      <c r="F997">
        <v>1</v>
      </c>
      <c r="G997">
        <v>0.49012654908737102</v>
      </c>
      <c r="H997">
        <v>0.98025309817474204</v>
      </c>
      <c r="I997" t="s">
        <v>14315</v>
      </c>
    </row>
    <row r="998" spans="3:9" x14ac:dyDescent="0.25">
      <c r="C998" s="3" t="str">
        <f>HYPERLINK("http://amigo.geneontology.org/amigo/term/GO:0044438","GO:0044438")</f>
        <v>GO:0044438</v>
      </c>
      <c r="D998" t="s">
        <v>14928</v>
      </c>
      <c r="E998">
        <v>12</v>
      </c>
      <c r="F998">
        <v>1</v>
      </c>
      <c r="G998">
        <v>0.49012654908737102</v>
      </c>
      <c r="H998">
        <v>0.98025309817474204</v>
      </c>
      <c r="I998" t="s">
        <v>14296</v>
      </c>
    </row>
    <row r="999" spans="3:9" x14ac:dyDescent="0.25">
      <c r="C999" s="3" t="str">
        <f>HYPERLINK("http://amigo.geneontology.org/amigo/term/GO:0044439","GO:0044439")</f>
        <v>GO:0044439</v>
      </c>
      <c r="D999" t="s">
        <v>14929</v>
      </c>
      <c r="E999">
        <v>12</v>
      </c>
      <c r="F999">
        <v>1</v>
      </c>
      <c r="G999">
        <v>0.49012654908737102</v>
      </c>
      <c r="H999">
        <v>0.98025309817474204</v>
      </c>
      <c r="I999" t="s">
        <v>14296</v>
      </c>
    </row>
    <row r="1000" spans="3:9" x14ac:dyDescent="0.25">
      <c r="C1000" s="3" t="str">
        <f>HYPERLINK("http://amigo.geneontology.org/amigo/term/GO:0009055","GO:0009055")</f>
        <v>GO:0009055</v>
      </c>
      <c r="D1000" t="s">
        <v>1069</v>
      </c>
      <c r="E1000">
        <v>31</v>
      </c>
      <c r="F1000">
        <v>2</v>
      </c>
      <c r="G1000">
        <v>0.51040401338886499</v>
      </c>
      <c r="H1000">
        <v>1</v>
      </c>
      <c r="I1000" t="s">
        <v>14930</v>
      </c>
    </row>
    <row r="1001" spans="3:9" x14ac:dyDescent="0.25">
      <c r="C1001" s="3" t="str">
        <f>HYPERLINK("http://amigo.geneontology.org/amigo/term/GO:0034654","GO:0034654")</f>
        <v>GO:0034654</v>
      </c>
      <c r="D1001" t="s">
        <v>6818</v>
      </c>
      <c r="E1001">
        <v>307</v>
      </c>
      <c r="F1001">
        <v>17</v>
      </c>
      <c r="G1001">
        <v>0.511140937257479</v>
      </c>
      <c r="H1001">
        <v>1</v>
      </c>
      <c r="I1001" t="s">
        <v>14931</v>
      </c>
    </row>
    <row r="1002" spans="3:9" x14ac:dyDescent="0.25">
      <c r="C1002" s="3" t="str">
        <f>HYPERLINK("http://amigo.geneontology.org/amigo/term/GO:0006338","GO:0006338")</f>
        <v>GO:0006338</v>
      </c>
      <c r="D1002" t="s">
        <v>14932</v>
      </c>
      <c r="E1002">
        <v>13</v>
      </c>
      <c r="F1002">
        <v>1</v>
      </c>
      <c r="G1002">
        <v>0.51798675627539903</v>
      </c>
      <c r="H1002">
        <v>1</v>
      </c>
      <c r="I1002" t="s">
        <v>13764</v>
      </c>
    </row>
    <row r="1003" spans="3:9" x14ac:dyDescent="0.25">
      <c r="C1003" s="3" t="str">
        <f>HYPERLINK("http://amigo.geneontology.org/amigo/term/GO:0032153","GO:0032153")</f>
        <v>GO:0032153</v>
      </c>
      <c r="D1003" t="s">
        <v>14933</v>
      </c>
      <c r="E1003">
        <v>13</v>
      </c>
      <c r="F1003">
        <v>1</v>
      </c>
      <c r="G1003">
        <v>0.51798675627539903</v>
      </c>
      <c r="H1003">
        <v>1</v>
      </c>
      <c r="I1003" t="s">
        <v>13779</v>
      </c>
    </row>
    <row r="1004" spans="3:9" x14ac:dyDescent="0.25">
      <c r="C1004" s="3" t="str">
        <f>HYPERLINK("http://amigo.geneontology.org/amigo/term/GO:0051301","GO:0051301")</f>
        <v>GO:0051301</v>
      </c>
      <c r="D1004" t="s">
        <v>5962</v>
      </c>
      <c r="E1004">
        <v>13</v>
      </c>
      <c r="F1004">
        <v>1</v>
      </c>
      <c r="G1004">
        <v>0.51798675627539903</v>
      </c>
      <c r="H1004">
        <v>1</v>
      </c>
      <c r="I1004" t="s">
        <v>13779</v>
      </c>
    </row>
    <row r="1005" spans="3:9" x14ac:dyDescent="0.25">
      <c r="C1005" s="3" t="str">
        <f>HYPERLINK("http://amigo.geneontology.org/amigo/term/GO:0055082","GO:0055082")</f>
        <v>GO:0055082</v>
      </c>
      <c r="D1005" t="s">
        <v>10774</v>
      </c>
      <c r="E1005">
        <v>13</v>
      </c>
      <c r="F1005">
        <v>1</v>
      </c>
      <c r="G1005">
        <v>0.51798675627539903</v>
      </c>
      <c r="H1005">
        <v>1</v>
      </c>
      <c r="I1005" t="s">
        <v>14006</v>
      </c>
    </row>
    <row r="1006" spans="3:9" x14ac:dyDescent="0.25">
      <c r="C1006" s="3" t="str">
        <f>HYPERLINK("http://amigo.geneontology.org/amigo/term/GO:0016757","GO:0016757")</f>
        <v>GO:0016757</v>
      </c>
      <c r="D1006" t="s">
        <v>977</v>
      </c>
      <c r="E1006">
        <v>87</v>
      </c>
      <c r="F1006">
        <v>5</v>
      </c>
      <c r="G1006">
        <v>0.51840538329464902</v>
      </c>
      <c r="H1006">
        <v>1</v>
      </c>
      <c r="I1006" t="s">
        <v>14934</v>
      </c>
    </row>
    <row r="1007" spans="3:9" x14ac:dyDescent="0.25">
      <c r="C1007" s="3" t="str">
        <f>HYPERLINK("http://amigo.geneontology.org/amigo/term/GO:0036094","GO:0036094")</f>
        <v>GO:0036094</v>
      </c>
      <c r="D1007" t="s">
        <v>7049</v>
      </c>
      <c r="E1007">
        <v>1050</v>
      </c>
      <c r="F1007">
        <v>57</v>
      </c>
      <c r="G1007">
        <v>0.53947481453991097</v>
      </c>
      <c r="H1007">
        <v>1</v>
      </c>
      <c r="I1007" t="s">
        <v>14935</v>
      </c>
    </row>
    <row r="1008" spans="3:9" x14ac:dyDescent="0.25">
      <c r="C1008" s="3" t="str">
        <f>HYPERLINK("http://amigo.geneontology.org/amigo/term/GO:0008324","GO:0008324")</f>
        <v>GO:0008324</v>
      </c>
      <c r="D1008" t="s">
        <v>276</v>
      </c>
      <c r="E1008">
        <v>108</v>
      </c>
      <c r="F1008">
        <v>6</v>
      </c>
      <c r="G1008">
        <v>0.54182130953162699</v>
      </c>
      <c r="H1008">
        <v>1</v>
      </c>
      <c r="I1008" t="s">
        <v>14894</v>
      </c>
    </row>
    <row r="1009" spans="3:9" x14ac:dyDescent="0.25">
      <c r="C1009" s="3" t="str">
        <f>HYPERLINK("http://amigo.geneontology.org/amigo/term/GO:0010558","GO:0010558")</f>
        <v>GO:0010558</v>
      </c>
      <c r="D1009" t="s">
        <v>14936</v>
      </c>
      <c r="E1009">
        <v>14</v>
      </c>
      <c r="F1009">
        <v>1</v>
      </c>
      <c r="G1009">
        <v>0.54432873140056104</v>
      </c>
      <c r="H1009">
        <v>1</v>
      </c>
      <c r="I1009" t="s">
        <v>13711</v>
      </c>
    </row>
    <row r="1010" spans="3:9" x14ac:dyDescent="0.25">
      <c r="C1010" s="3" t="str">
        <f>HYPERLINK("http://amigo.geneontology.org/amigo/term/GO:0045934","GO:0045934")</f>
        <v>GO:0045934</v>
      </c>
      <c r="D1010" t="s">
        <v>14937</v>
      </c>
      <c r="E1010">
        <v>14</v>
      </c>
      <c r="F1010">
        <v>1</v>
      </c>
      <c r="G1010">
        <v>0.54432873140056104</v>
      </c>
      <c r="H1010">
        <v>1</v>
      </c>
      <c r="I1010" t="s">
        <v>13711</v>
      </c>
    </row>
    <row r="1011" spans="3:9" x14ac:dyDescent="0.25">
      <c r="C1011" s="3" t="str">
        <f>HYPERLINK("http://amigo.geneontology.org/amigo/term/GO:2000113","GO:2000113")</f>
        <v>GO:2000113</v>
      </c>
      <c r="D1011" t="s">
        <v>14938</v>
      </c>
      <c r="E1011">
        <v>14</v>
      </c>
      <c r="F1011">
        <v>1</v>
      </c>
      <c r="G1011">
        <v>0.54432873140056104</v>
      </c>
      <c r="H1011">
        <v>1</v>
      </c>
      <c r="I1011" t="s">
        <v>13711</v>
      </c>
    </row>
    <row r="1012" spans="3:9" x14ac:dyDescent="0.25">
      <c r="C1012" s="3" t="str">
        <f>HYPERLINK("http://amigo.geneontology.org/amigo/term/GO:0099568","GO:0099568")</f>
        <v>GO:0099568</v>
      </c>
      <c r="D1012" t="s">
        <v>716</v>
      </c>
      <c r="E1012">
        <v>14</v>
      </c>
      <c r="F1012">
        <v>1</v>
      </c>
      <c r="G1012">
        <v>0.54432873140056104</v>
      </c>
      <c r="H1012">
        <v>1</v>
      </c>
      <c r="I1012" t="s">
        <v>13779</v>
      </c>
    </row>
    <row r="1013" spans="3:9" x14ac:dyDescent="0.25">
      <c r="C1013" s="3" t="str">
        <f>HYPERLINK("http://amigo.geneontology.org/amigo/term/GO:0005938","GO:0005938")</f>
        <v>GO:0005938</v>
      </c>
      <c r="D1013" t="s">
        <v>719</v>
      </c>
      <c r="E1013">
        <v>14</v>
      </c>
      <c r="F1013">
        <v>1</v>
      </c>
      <c r="G1013">
        <v>0.54432873140056104</v>
      </c>
      <c r="H1013">
        <v>1</v>
      </c>
      <c r="I1013" t="s">
        <v>13779</v>
      </c>
    </row>
    <row r="1014" spans="3:9" x14ac:dyDescent="0.25">
      <c r="C1014" s="3" t="str">
        <f>HYPERLINK("http://amigo.geneontology.org/amigo/term/GO:0004725","GO:0004725")</f>
        <v>GO:0004725</v>
      </c>
      <c r="D1014" t="s">
        <v>14939</v>
      </c>
      <c r="E1014">
        <v>14</v>
      </c>
      <c r="F1014">
        <v>1</v>
      </c>
      <c r="G1014">
        <v>0.54432873140056104</v>
      </c>
      <c r="H1014">
        <v>1</v>
      </c>
      <c r="I1014" t="s">
        <v>13903</v>
      </c>
    </row>
    <row r="1015" spans="3:9" x14ac:dyDescent="0.25">
      <c r="C1015" s="3" t="str">
        <f>HYPERLINK("http://amigo.geneontology.org/amigo/term/GO:0009119","GO:0009119")</f>
        <v>GO:0009119</v>
      </c>
      <c r="D1015" t="s">
        <v>6177</v>
      </c>
      <c r="E1015">
        <v>14</v>
      </c>
      <c r="F1015">
        <v>1</v>
      </c>
      <c r="G1015">
        <v>0.54432873140056104</v>
      </c>
      <c r="H1015">
        <v>1</v>
      </c>
      <c r="I1015" t="s">
        <v>13980</v>
      </c>
    </row>
    <row r="1016" spans="3:9" x14ac:dyDescent="0.25">
      <c r="C1016" s="3" t="str">
        <f>HYPERLINK("http://amigo.geneontology.org/amigo/term/GO:0010604","GO:0010604")</f>
        <v>GO:0010604</v>
      </c>
      <c r="D1016" t="s">
        <v>132</v>
      </c>
      <c r="E1016">
        <v>14</v>
      </c>
      <c r="F1016">
        <v>1</v>
      </c>
      <c r="G1016">
        <v>0.54432873140056104</v>
      </c>
      <c r="H1016">
        <v>1</v>
      </c>
      <c r="I1016" t="s">
        <v>14006</v>
      </c>
    </row>
    <row r="1017" spans="3:9" x14ac:dyDescent="0.25">
      <c r="C1017" s="3" t="str">
        <f>HYPERLINK("http://amigo.geneontology.org/amigo/term/GO:0051173","GO:0051173")</f>
        <v>GO:0051173</v>
      </c>
      <c r="D1017" t="s">
        <v>130</v>
      </c>
      <c r="E1017">
        <v>14</v>
      </c>
      <c r="F1017">
        <v>1</v>
      </c>
      <c r="G1017">
        <v>0.54432873140056104</v>
      </c>
      <c r="H1017">
        <v>1</v>
      </c>
      <c r="I1017" t="s">
        <v>14006</v>
      </c>
    </row>
    <row r="1018" spans="3:9" x14ac:dyDescent="0.25">
      <c r="C1018" s="3" t="str">
        <f>HYPERLINK("http://amigo.geneontology.org/amigo/term/GO:0015297","GO:0015297")</f>
        <v>GO:0015297</v>
      </c>
      <c r="D1018" t="s">
        <v>387</v>
      </c>
      <c r="E1018">
        <v>14</v>
      </c>
      <c r="F1018">
        <v>1</v>
      </c>
      <c r="G1018">
        <v>0.54432873140056104</v>
      </c>
      <c r="H1018">
        <v>1</v>
      </c>
      <c r="I1018" t="s">
        <v>14022</v>
      </c>
    </row>
    <row r="1019" spans="3:9" x14ac:dyDescent="0.25">
      <c r="C1019" s="3" t="str">
        <f>HYPERLINK("http://amigo.geneontology.org/amigo/term/GO:0009112","GO:0009112")</f>
        <v>GO:0009112</v>
      </c>
      <c r="D1019" t="s">
        <v>10187</v>
      </c>
      <c r="E1019">
        <v>14</v>
      </c>
      <c r="F1019">
        <v>1</v>
      </c>
      <c r="G1019">
        <v>0.54432873140056104</v>
      </c>
      <c r="H1019">
        <v>1</v>
      </c>
      <c r="I1019" t="s">
        <v>14201</v>
      </c>
    </row>
    <row r="1020" spans="3:9" x14ac:dyDescent="0.25">
      <c r="C1020" s="3" t="str">
        <f>HYPERLINK("http://amigo.geneontology.org/amigo/term/GO:0051174","GO:0051174")</f>
        <v>GO:0051174</v>
      </c>
      <c r="D1020" t="s">
        <v>14940</v>
      </c>
      <c r="E1020">
        <v>14</v>
      </c>
      <c r="F1020">
        <v>1</v>
      </c>
      <c r="G1020">
        <v>0.54432873140056104</v>
      </c>
      <c r="H1020">
        <v>1</v>
      </c>
      <c r="I1020" t="s">
        <v>14315</v>
      </c>
    </row>
    <row r="1021" spans="3:9" x14ac:dyDescent="0.25">
      <c r="C1021" s="3" t="str">
        <f>HYPERLINK("http://amigo.geneontology.org/amigo/term/GO:0019220","GO:0019220")</f>
        <v>GO:0019220</v>
      </c>
      <c r="D1021" t="s">
        <v>14941</v>
      </c>
      <c r="E1021">
        <v>14</v>
      </c>
      <c r="F1021">
        <v>1</v>
      </c>
      <c r="G1021">
        <v>0.54432873140056104</v>
      </c>
      <c r="H1021">
        <v>1</v>
      </c>
      <c r="I1021" t="s">
        <v>14315</v>
      </c>
    </row>
    <row r="1022" spans="3:9" x14ac:dyDescent="0.25">
      <c r="C1022" s="3" t="str">
        <f>HYPERLINK("http://amigo.geneontology.org/amigo/term/GO:0033176","GO:0033176")</f>
        <v>GO:0033176</v>
      </c>
      <c r="D1022" t="s">
        <v>14942</v>
      </c>
      <c r="E1022">
        <v>14</v>
      </c>
      <c r="F1022">
        <v>1</v>
      </c>
      <c r="G1022">
        <v>0.54432873140056104</v>
      </c>
      <c r="H1022">
        <v>1</v>
      </c>
      <c r="I1022" t="s">
        <v>14479</v>
      </c>
    </row>
    <row r="1023" spans="3:9" x14ac:dyDescent="0.25">
      <c r="C1023" s="3" t="str">
        <f>HYPERLINK("http://amigo.geneontology.org/amigo/term/GO:0022414","GO:0022414")</f>
        <v>GO:0022414</v>
      </c>
      <c r="D1023" t="s">
        <v>14943</v>
      </c>
      <c r="E1023">
        <v>14</v>
      </c>
      <c r="F1023">
        <v>1</v>
      </c>
      <c r="G1023">
        <v>0.54432873140056104</v>
      </c>
      <c r="H1023">
        <v>1</v>
      </c>
      <c r="I1023" t="s">
        <v>14484</v>
      </c>
    </row>
    <row r="1024" spans="3:9" x14ac:dyDescent="0.25">
      <c r="C1024" s="3" t="str">
        <f>HYPERLINK("http://amigo.geneontology.org/amigo/term/GO:0016875","GO:0016875")</f>
        <v>GO:0016875</v>
      </c>
      <c r="D1024" t="s">
        <v>10160</v>
      </c>
      <c r="E1024">
        <v>33</v>
      </c>
      <c r="F1024">
        <v>2</v>
      </c>
      <c r="G1024">
        <v>0.54437110203068895</v>
      </c>
      <c r="H1024">
        <v>1</v>
      </c>
      <c r="I1024" t="s">
        <v>14944</v>
      </c>
    </row>
    <row r="1025" spans="3:9" x14ac:dyDescent="0.25">
      <c r="C1025" s="3" t="str">
        <f>HYPERLINK("http://amigo.geneontology.org/amigo/term/GO:0004812","GO:0004812")</f>
        <v>GO:0004812</v>
      </c>
      <c r="D1025" t="s">
        <v>10161</v>
      </c>
      <c r="E1025">
        <v>33</v>
      </c>
      <c r="F1025">
        <v>2</v>
      </c>
      <c r="G1025">
        <v>0.54437110203068895</v>
      </c>
      <c r="H1025">
        <v>1</v>
      </c>
      <c r="I1025" t="s">
        <v>14944</v>
      </c>
    </row>
    <row r="1026" spans="3:9" x14ac:dyDescent="0.25">
      <c r="C1026" s="3" t="str">
        <f>HYPERLINK("http://amigo.geneontology.org/amigo/term/GO:0043038","GO:0043038")</f>
        <v>GO:0043038</v>
      </c>
      <c r="D1026" t="s">
        <v>10152</v>
      </c>
      <c r="E1026">
        <v>33</v>
      </c>
      <c r="F1026">
        <v>2</v>
      </c>
      <c r="G1026">
        <v>0.54437110203068895</v>
      </c>
      <c r="H1026">
        <v>1</v>
      </c>
      <c r="I1026" t="s">
        <v>14944</v>
      </c>
    </row>
    <row r="1027" spans="3:9" x14ac:dyDescent="0.25">
      <c r="C1027" s="3" t="str">
        <f>HYPERLINK("http://amigo.geneontology.org/amigo/term/GO:0043039","GO:0043039")</f>
        <v>GO:0043039</v>
      </c>
      <c r="D1027" t="s">
        <v>10154</v>
      </c>
      <c r="E1027">
        <v>33</v>
      </c>
      <c r="F1027">
        <v>2</v>
      </c>
      <c r="G1027">
        <v>0.54437110203068895</v>
      </c>
      <c r="H1027">
        <v>1</v>
      </c>
      <c r="I1027" t="s">
        <v>14944</v>
      </c>
    </row>
    <row r="1028" spans="3:9" x14ac:dyDescent="0.25">
      <c r="C1028" s="3" t="str">
        <f>HYPERLINK("http://amigo.geneontology.org/amigo/term/GO:0006418","GO:0006418")</f>
        <v>GO:0006418</v>
      </c>
      <c r="D1028" t="s">
        <v>10148</v>
      </c>
      <c r="E1028">
        <v>33</v>
      </c>
      <c r="F1028">
        <v>2</v>
      </c>
      <c r="G1028">
        <v>0.54437110203068895</v>
      </c>
      <c r="H1028">
        <v>1</v>
      </c>
      <c r="I1028" t="s">
        <v>14944</v>
      </c>
    </row>
    <row r="1029" spans="3:9" x14ac:dyDescent="0.25">
      <c r="C1029" s="3" t="str">
        <f>HYPERLINK("http://amigo.geneontology.org/amigo/term/GO:0016741","GO:0016741")</f>
        <v>GO:0016741</v>
      </c>
      <c r="D1029" t="s">
        <v>4447</v>
      </c>
      <c r="E1029">
        <v>90</v>
      </c>
      <c r="F1029">
        <v>5</v>
      </c>
      <c r="G1029">
        <v>0.54898634126615997</v>
      </c>
      <c r="H1029">
        <v>1</v>
      </c>
      <c r="I1029" t="s">
        <v>14945</v>
      </c>
    </row>
    <row r="1030" spans="3:9" x14ac:dyDescent="0.25">
      <c r="C1030" s="3" t="str">
        <f>HYPERLINK("http://amigo.geneontology.org/amigo/term/GO:0033365","GO:0033365")</f>
        <v>GO:0033365</v>
      </c>
      <c r="D1030" t="s">
        <v>14946</v>
      </c>
      <c r="E1030">
        <v>34</v>
      </c>
      <c r="F1030">
        <v>2</v>
      </c>
      <c r="G1030">
        <v>0.56072957235100396</v>
      </c>
      <c r="H1030">
        <v>1</v>
      </c>
      <c r="I1030" t="s">
        <v>13960</v>
      </c>
    </row>
    <row r="1031" spans="3:9" x14ac:dyDescent="0.25">
      <c r="C1031" s="3" t="str">
        <f>HYPERLINK("http://amigo.geneontology.org/amigo/term/GO:0051128","GO:0051128")</f>
        <v>GO:0051128</v>
      </c>
      <c r="D1031" t="s">
        <v>14947</v>
      </c>
      <c r="E1031">
        <v>34</v>
      </c>
      <c r="F1031">
        <v>2</v>
      </c>
      <c r="G1031">
        <v>0.56072957235100396</v>
      </c>
      <c r="H1031">
        <v>1</v>
      </c>
      <c r="I1031" t="s">
        <v>13919</v>
      </c>
    </row>
    <row r="1032" spans="3:9" x14ac:dyDescent="0.25">
      <c r="C1032" s="3" t="str">
        <f>HYPERLINK("http://amigo.geneontology.org/amigo/term/GO:0000790","GO:0000790")</f>
        <v>GO:0000790</v>
      </c>
      <c r="D1032" t="s">
        <v>14948</v>
      </c>
      <c r="E1032">
        <v>15</v>
      </c>
      <c r="F1032">
        <v>1</v>
      </c>
      <c r="G1032">
        <v>0.56923498707476305</v>
      </c>
      <c r="H1032">
        <v>1</v>
      </c>
      <c r="I1032" t="s">
        <v>13764</v>
      </c>
    </row>
    <row r="1033" spans="3:9" x14ac:dyDescent="0.25">
      <c r="C1033" s="3" t="str">
        <f>HYPERLINK("http://amigo.geneontology.org/amigo/term/GO:0016311","GO:0016311")</f>
        <v>GO:0016311</v>
      </c>
      <c r="D1033" t="s">
        <v>529</v>
      </c>
      <c r="E1033">
        <v>15</v>
      </c>
      <c r="F1033">
        <v>1</v>
      </c>
      <c r="G1033">
        <v>0.56923498707476305</v>
      </c>
      <c r="H1033">
        <v>1</v>
      </c>
      <c r="I1033" t="s">
        <v>14150</v>
      </c>
    </row>
    <row r="1034" spans="3:9" x14ac:dyDescent="0.25">
      <c r="C1034" s="3" t="str">
        <f>HYPERLINK("http://amigo.geneontology.org/amigo/term/GO:0031399","GO:0031399")</f>
        <v>GO:0031399</v>
      </c>
      <c r="D1034" t="s">
        <v>14949</v>
      </c>
      <c r="E1034">
        <v>15</v>
      </c>
      <c r="F1034">
        <v>1</v>
      </c>
      <c r="G1034">
        <v>0.56923498707476305</v>
      </c>
      <c r="H1034">
        <v>1</v>
      </c>
      <c r="I1034" t="s">
        <v>14315</v>
      </c>
    </row>
    <row r="1035" spans="3:9" x14ac:dyDescent="0.25">
      <c r="C1035" s="3" t="str">
        <f>HYPERLINK("http://amigo.geneontology.org/amigo/term/GO:0006026","GO:0006026")</f>
        <v>GO:0006026</v>
      </c>
      <c r="D1035" t="s">
        <v>6941</v>
      </c>
      <c r="E1035">
        <v>15</v>
      </c>
      <c r="F1035">
        <v>1</v>
      </c>
      <c r="G1035">
        <v>0.56923498707476305</v>
      </c>
      <c r="H1035">
        <v>1</v>
      </c>
      <c r="I1035" t="s">
        <v>14401</v>
      </c>
    </row>
    <row r="1036" spans="3:9" x14ac:dyDescent="0.25">
      <c r="C1036" s="3" t="str">
        <f>HYPERLINK("http://amigo.geneontology.org/amigo/term/GO:0046348","GO:0046348")</f>
        <v>GO:0046348</v>
      </c>
      <c r="D1036" t="s">
        <v>6945</v>
      </c>
      <c r="E1036">
        <v>15</v>
      </c>
      <c r="F1036">
        <v>1</v>
      </c>
      <c r="G1036">
        <v>0.56923498707476305</v>
      </c>
      <c r="H1036">
        <v>1</v>
      </c>
      <c r="I1036" t="s">
        <v>14401</v>
      </c>
    </row>
    <row r="1037" spans="3:9" x14ac:dyDescent="0.25">
      <c r="C1037" s="3" t="str">
        <f>HYPERLINK("http://amigo.geneontology.org/amigo/term/GO:1901072","GO:1901072")</f>
        <v>GO:1901072</v>
      </c>
      <c r="D1037" t="s">
        <v>6947</v>
      </c>
      <c r="E1037">
        <v>15</v>
      </c>
      <c r="F1037">
        <v>1</v>
      </c>
      <c r="G1037">
        <v>0.56923498707476305</v>
      </c>
      <c r="H1037">
        <v>1</v>
      </c>
      <c r="I1037" t="s">
        <v>14401</v>
      </c>
    </row>
    <row r="1038" spans="3:9" x14ac:dyDescent="0.25">
      <c r="C1038" s="3" t="str">
        <f>HYPERLINK("http://amigo.geneontology.org/amigo/term/GO:0006032","GO:0006032")</f>
        <v>GO:0006032</v>
      </c>
      <c r="D1038" t="s">
        <v>6949</v>
      </c>
      <c r="E1038">
        <v>15</v>
      </c>
      <c r="F1038">
        <v>1</v>
      </c>
      <c r="G1038">
        <v>0.56923498707476305</v>
      </c>
      <c r="H1038">
        <v>1</v>
      </c>
      <c r="I1038" t="s">
        <v>14401</v>
      </c>
    </row>
    <row r="1039" spans="3:9" x14ac:dyDescent="0.25">
      <c r="C1039" s="3" t="str">
        <f>HYPERLINK("http://amigo.geneontology.org/amigo/term/GO:0004568","GO:0004568")</f>
        <v>GO:0004568</v>
      </c>
      <c r="D1039" t="s">
        <v>6938</v>
      </c>
      <c r="E1039">
        <v>15</v>
      </c>
      <c r="F1039">
        <v>1</v>
      </c>
      <c r="G1039">
        <v>0.56923498707476305</v>
      </c>
      <c r="H1039">
        <v>1</v>
      </c>
      <c r="I1039" t="s">
        <v>14401</v>
      </c>
    </row>
    <row r="1040" spans="3:9" x14ac:dyDescent="0.25">
      <c r="C1040" s="3" t="str">
        <f>HYPERLINK("http://amigo.geneontology.org/amigo/term/GO:0044459","GO:0044459")</f>
        <v>GO:0044459</v>
      </c>
      <c r="D1040" t="s">
        <v>734</v>
      </c>
      <c r="E1040">
        <v>15</v>
      </c>
      <c r="F1040">
        <v>1</v>
      </c>
      <c r="G1040">
        <v>0.56923498707476305</v>
      </c>
      <c r="H1040">
        <v>1</v>
      </c>
      <c r="I1040" t="s">
        <v>14576</v>
      </c>
    </row>
    <row r="1041" spans="3:9" x14ac:dyDescent="0.25">
      <c r="C1041" s="3" t="str">
        <f>HYPERLINK("http://amigo.geneontology.org/amigo/term/GO:0005737","GO:0005737")</f>
        <v>GO:0005737</v>
      </c>
      <c r="D1041" t="s">
        <v>13510</v>
      </c>
      <c r="E1041">
        <v>693</v>
      </c>
      <c r="F1041">
        <v>37</v>
      </c>
      <c r="G1041">
        <v>0.58304919526700505</v>
      </c>
      <c r="H1041">
        <v>1</v>
      </c>
      <c r="I1041" t="s">
        <v>14950</v>
      </c>
    </row>
    <row r="1042" spans="3:9" x14ac:dyDescent="0.25">
      <c r="C1042" s="3" t="str">
        <f>HYPERLINK("http://amigo.geneontology.org/amigo/term/GO:0008234","GO:0008234")</f>
        <v>GO:0008234</v>
      </c>
      <c r="D1042" t="s">
        <v>92</v>
      </c>
      <c r="E1042">
        <v>16</v>
      </c>
      <c r="F1042">
        <v>1</v>
      </c>
      <c r="G1042">
        <v>0.59278356364582496</v>
      </c>
      <c r="H1042">
        <v>1</v>
      </c>
      <c r="I1042" t="s">
        <v>13567</v>
      </c>
    </row>
    <row r="1043" spans="3:9" x14ac:dyDescent="0.25">
      <c r="C1043" s="3" t="str">
        <f>HYPERLINK("http://amigo.geneontology.org/amigo/term/GO:0009890","GO:0009890")</f>
        <v>GO:0009890</v>
      </c>
      <c r="D1043" t="s">
        <v>14951</v>
      </c>
      <c r="E1043">
        <v>16</v>
      </c>
      <c r="F1043">
        <v>1</v>
      </c>
      <c r="G1043">
        <v>0.59278356364582496</v>
      </c>
      <c r="H1043">
        <v>1</v>
      </c>
      <c r="I1043" t="s">
        <v>13711</v>
      </c>
    </row>
    <row r="1044" spans="3:9" x14ac:dyDescent="0.25">
      <c r="C1044" s="3" t="str">
        <f>HYPERLINK("http://amigo.geneontology.org/amigo/term/GO:0031327","GO:0031327")</f>
        <v>GO:0031327</v>
      </c>
      <c r="D1044" t="s">
        <v>14952</v>
      </c>
      <c r="E1044">
        <v>16</v>
      </c>
      <c r="F1044">
        <v>1</v>
      </c>
      <c r="G1044">
        <v>0.59278356364582496</v>
      </c>
      <c r="H1044">
        <v>1</v>
      </c>
      <c r="I1044" t="s">
        <v>13711</v>
      </c>
    </row>
    <row r="1045" spans="3:9" x14ac:dyDescent="0.25">
      <c r="C1045" s="3" t="str">
        <f>HYPERLINK("http://amigo.geneontology.org/amigo/term/GO:0097435","GO:0097435")</f>
        <v>GO:0097435</v>
      </c>
      <c r="D1045" t="s">
        <v>14953</v>
      </c>
      <c r="E1045">
        <v>16</v>
      </c>
      <c r="F1045">
        <v>1</v>
      </c>
      <c r="G1045">
        <v>0.59278356364582496</v>
      </c>
      <c r="H1045">
        <v>1</v>
      </c>
      <c r="I1045" t="s">
        <v>13779</v>
      </c>
    </row>
    <row r="1046" spans="3:9" x14ac:dyDescent="0.25">
      <c r="C1046" s="3" t="str">
        <f>HYPERLINK("http://amigo.geneontology.org/amigo/term/GO:0016763","GO:0016763")</f>
        <v>GO:0016763</v>
      </c>
      <c r="D1046" t="s">
        <v>10245</v>
      </c>
      <c r="E1046">
        <v>16</v>
      </c>
      <c r="F1046">
        <v>1</v>
      </c>
      <c r="G1046">
        <v>0.59278356364582496</v>
      </c>
      <c r="H1046">
        <v>1</v>
      </c>
      <c r="I1046" t="s">
        <v>13980</v>
      </c>
    </row>
    <row r="1047" spans="3:9" x14ac:dyDescent="0.25">
      <c r="C1047" s="3" t="str">
        <f>HYPERLINK("http://amigo.geneontology.org/amigo/term/GO:0048878","GO:0048878")</f>
        <v>GO:0048878</v>
      </c>
      <c r="D1047" t="s">
        <v>5743</v>
      </c>
      <c r="E1047">
        <v>16</v>
      </c>
      <c r="F1047">
        <v>1</v>
      </c>
      <c r="G1047">
        <v>0.59278356364582496</v>
      </c>
      <c r="H1047">
        <v>1</v>
      </c>
      <c r="I1047" t="s">
        <v>14006</v>
      </c>
    </row>
    <row r="1048" spans="3:9" x14ac:dyDescent="0.25">
      <c r="C1048" s="3" t="str">
        <f>HYPERLINK("http://amigo.geneontology.org/amigo/term/GO:0031982","GO:0031982")</f>
        <v>GO:0031982</v>
      </c>
      <c r="D1048" t="s">
        <v>14954</v>
      </c>
      <c r="E1048">
        <v>16</v>
      </c>
      <c r="F1048">
        <v>1</v>
      </c>
      <c r="G1048">
        <v>0.59278356364582496</v>
      </c>
      <c r="H1048">
        <v>1</v>
      </c>
      <c r="I1048" t="s">
        <v>14178</v>
      </c>
    </row>
    <row r="1049" spans="3:9" x14ac:dyDescent="0.25">
      <c r="C1049" s="3" t="str">
        <f>HYPERLINK("http://amigo.geneontology.org/amigo/term/GO:0097708","GO:0097708")</f>
        <v>GO:0097708</v>
      </c>
      <c r="D1049" t="s">
        <v>14955</v>
      </c>
      <c r="E1049">
        <v>16</v>
      </c>
      <c r="F1049">
        <v>1</v>
      </c>
      <c r="G1049">
        <v>0.59278356364582496</v>
      </c>
      <c r="H1049">
        <v>1</v>
      </c>
      <c r="I1049" t="s">
        <v>14178</v>
      </c>
    </row>
    <row r="1050" spans="3:9" x14ac:dyDescent="0.25">
      <c r="C1050" s="3" t="str">
        <f>HYPERLINK("http://amigo.geneontology.org/amigo/term/GO:0031410","GO:0031410")</f>
        <v>GO:0031410</v>
      </c>
      <c r="D1050" t="s">
        <v>14956</v>
      </c>
      <c r="E1050">
        <v>16</v>
      </c>
      <c r="F1050">
        <v>1</v>
      </c>
      <c r="G1050">
        <v>0.59278356364582496</v>
      </c>
      <c r="H1050">
        <v>1</v>
      </c>
      <c r="I1050" t="s">
        <v>14178</v>
      </c>
    </row>
    <row r="1051" spans="3:9" x14ac:dyDescent="0.25">
      <c r="C1051" s="3" t="str">
        <f>HYPERLINK("http://amigo.geneontology.org/amigo/term/GO:0060589","GO:0060589")</f>
        <v>GO:0060589</v>
      </c>
      <c r="D1051" t="s">
        <v>737</v>
      </c>
      <c r="E1051">
        <v>16</v>
      </c>
      <c r="F1051">
        <v>1</v>
      </c>
      <c r="G1051">
        <v>0.59278356364582496</v>
      </c>
      <c r="H1051">
        <v>1</v>
      </c>
      <c r="I1051" t="s">
        <v>14264</v>
      </c>
    </row>
    <row r="1052" spans="3:9" x14ac:dyDescent="0.25">
      <c r="C1052" s="3" t="str">
        <f>HYPERLINK("http://amigo.geneontology.org/amigo/term/GO:0015988","GO:0015988")</f>
        <v>GO:0015988</v>
      </c>
      <c r="D1052" t="s">
        <v>14957</v>
      </c>
      <c r="E1052">
        <v>16</v>
      </c>
      <c r="F1052">
        <v>1</v>
      </c>
      <c r="G1052">
        <v>0.59278356364582496</v>
      </c>
      <c r="H1052">
        <v>1</v>
      </c>
      <c r="I1052" t="s">
        <v>14479</v>
      </c>
    </row>
    <row r="1053" spans="3:9" x14ac:dyDescent="0.25">
      <c r="C1053" s="3" t="str">
        <f>HYPERLINK("http://amigo.geneontology.org/amigo/term/GO:0090662","GO:0090662")</f>
        <v>GO:0090662</v>
      </c>
      <c r="D1053" t="s">
        <v>14958</v>
      </c>
      <c r="E1053">
        <v>16</v>
      </c>
      <c r="F1053">
        <v>1</v>
      </c>
      <c r="G1053">
        <v>0.59278356364582496</v>
      </c>
      <c r="H1053">
        <v>1</v>
      </c>
      <c r="I1053" t="s">
        <v>14479</v>
      </c>
    </row>
    <row r="1054" spans="3:9" x14ac:dyDescent="0.25">
      <c r="C1054" s="3" t="str">
        <f>HYPERLINK("http://amigo.geneontology.org/amigo/term/GO:0099131","GO:0099131")</f>
        <v>GO:0099131</v>
      </c>
      <c r="D1054" t="s">
        <v>14959</v>
      </c>
      <c r="E1054">
        <v>16</v>
      </c>
      <c r="F1054">
        <v>1</v>
      </c>
      <c r="G1054">
        <v>0.59278356364582496</v>
      </c>
      <c r="H1054">
        <v>1</v>
      </c>
      <c r="I1054" t="s">
        <v>14479</v>
      </c>
    </row>
    <row r="1055" spans="3:9" x14ac:dyDescent="0.25">
      <c r="C1055" s="3" t="str">
        <f>HYPERLINK("http://amigo.geneontology.org/amigo/term/GO:0015991","GO:0015991")</f>
        <v>GO:0015991</v>
      </c>
      <c r="D1055" t="s">
        <v>14960</v>
      </c>
      <c r="E1055">
        <v>16</v>
      </c>
      <c r="F1055">
        <v>1</v>
      </c>
      <c r="G1055">
        <v>0.59278356364582496</v>
      </c>
      <c r="H1055">
        <v>1</v>
      </c>
      <c r="I1055" t="s">
        <v>14479</v>
      </c>
    </row>
    <row r="1056" spans="3:9" x14ac:dyDescent="0.25">
      <c r="C1056" s="3" t="str">
        <f>HYPERLINK("http://amigo.geneontology.org/amigo/term/GO:0016301","GO:0016301")</f>
        <v>GO:0016301</v>
      </c>
      <c r="D1056" t="s">
        <v>724</v>
      </c>
      <c r="E1056">
        <v>191</v>
      </c>
      <c r="F1056">
        <v>10</v>
      </c>
      <c r="G1056">
        <v>0.60031798350786303</v>
      </c>
      <c r="H1056">
        <v>1</v>
      </c>
      <c r="I1056" t="s">
        <v>14961</v>
      </c>
    </row>
    <row r="1057" spans="3:9" x14ac:dyDescent="0.25">
      <c r="C1057" s="3" t="str">
        <f>HYPERLINK("http://amigo.geneontology.org/amigo/term/GO:0046483","GO:0046483")</f>
        <v>GO:0046483</v>
      </c>
      <c r="D1057" t="s">
        <v>6851</v>
      </c>
      <c r="E1057">
        <v>755</v>
      </c>
      <c r="F1057">
        <v>40</v>
      </c>
      <c r="G1057">
        <v>0.60567847616529402</v>
      </c>
      <c r="H1057">
        <v>1</v>
      </c>
      <c r="I1057" t="s">
        <v>14962</v>
      </c>
    </row>
    <row r="1058" spans="3:9" x14ac:dyDescent="0.25">
      <c r="C1058" s="3" t="str">
        <f>HYPERLINK("http://amigo.geneontology.org/amigo/term/GO:0051172","GO:0051172")</f>
        <v>GO:0051172</v>
      </c>
      <c r="D1058" t="s">
        <v>7163</v>
      </c>
      <c r="E1058">
        <v>17</v>
      </c>
      <c r="F1058">
        <v>1</v>
      </c>
      <c r="G1058">
        <v>0.61504827094715997</v>
      </c>
      <c r="H1058">
        <v>1</v>
      </c>
      <c r="I1058" t="s">
        <v>13711</v>
      </c>
    </row>
    <row r="1059" spans="3:9" x14ac:dyDescent="0.25">
      <c r="C1059" s="3" t="str">
        <f>HYPERLINK("http://amigo.geneontology.org/amigo/term/GO:0016638","GO:0016638")</f>
        <v>GO:0016638</v>
      </c>
      <c r="D1059" t="s">
        <v>14963</v>
      </c>
      <c r="E1059">
        <v>17</v>
      </c>
      <c r="F1059">
        <v>1</v>
      </c>
      <c r="G1059">
        <v>0.61504827094715997</v>
      </c>
      <c r="H1059">
        <v>1</v>
      </c>
      <c r="I1059" t="s">
        <v>13956</v>
      </c>
    </row>
    <row r="1060" spans="3:9" x14ac:dyDescent="0.25">
      <c r="C1060" s="3" t="str">
        <f>HYPERLINK("http://amigo.geneontology.org/amigo/term/GO:1901136","GO:1901136")</f>
        <v>GO:1901136</v>
      </c>
      <c r="D1060" t="s">
        <v>6302</v>
      </c>
      <c r="E1060">
        <v>17</v>
      </c>
      <c r="F1060">
        <v>1</v>
      </c>
      <c r="G1060">
        <v>0.61504827094715997</v>
      </c>
      <c r="H1060">
        <v>1</v>
      </c>
      <c r="I1060" t="s">
        <v>14401</v>
      </c>
    </row>
    <row r="1061" spans="3:9" x14ac:dyDescent="0.25">
      <c r="C1061" s="3" t="str">
        <f>HYPERLINK("http://amigo.geneontology.org/amigo/term/GO:0000280","GO:0000280")</f>
        <v>GO:0000280</v>
      </c>
      <c r="D1061" t="s">
        <v>14964</v>
      </c>
      <c r="E1061">
        <v>17</v>
      </c>
      <c r="F1061">
        <v>1</v>
      </c>
      <c r="G1061">
        <v>0.61504827094715997</v>
      </c>
      <c r="H1061">
        <v>1</v>
      </c>
      <c r="I1061" t="s">
        <v>14484</v>
      </c>
    </row>
    <row r="1062" spans="3:9" x14ac:dyDescent="0.25">
      <c r="C1062" s="3" t="str">
        <f>HYPERLINK("http://amigo.geneontology.org/amigo/term/GO:0005506","GO:0005506")</f>
        <v>GO:0005506</v>
      </c>
      <c r="D1062" t="s">
        <v>1214</v>
      </c>
      <c r="E1062">
        <v>136</v>
      </c>
      <c r="F1062">
        <v>7</v>
      </c>
      <c r="G1062">
        <v>0.61807944110921698</v>
      </c>
      <c r="H1062">
        <v>1</v>
      </c>
      <c r="I1062" t="s">
        <v>14965</v>
      </c>
    </row>
    <row r="1063" spans="3:9" x14ac:dyDescent="0.25">
      <c r="C1063" s="3" t="str">
        <f>HYPERLINK("http://amigo.geneontology.org/amigo/term/GO:0019725","GO:0019725")</f>
        <v>GO:0019725</v>
      </c>
      <c r="D1063" t="s">
        <v>13363</v>
      </c>
      <c r="E1063">
        <v>38</v>
      </c>
      <c r="F1063">
        <v>2</v>
      </c>
      <c r="G1063">
        <v>0.62191346001450598</v>
      </c>
      <c r="H1063">
        <v>1</v>
      </c>
      <c r="I1063" t="s">
        <v>14966</v>
      </c>
    </row>
    <row r="1064" spans="3:9" x14ac:dyDescent="0.25">
      <c r="C1064" s="3" t="str">
        <f>HYPERLINK("http://amigo.geneontology.org/amigo/term/GO:0046906","GO:0046906")</f>
        <v>GO:0046906</v>
      </c>
      <c r="D1064" t="s">
        <v>1085</v>
      </c>
      <c r="E1064">
        <v>137</v>
      </c>
      <c r="F1064">
        <v>7</v>
      </c>
      <c r="G1064">
        <v>0.62584526757945802</v>
      </c>
      <c r="H1064">
        <v>1</v>
      </c>
      <c r="I1064" t="s">
        <v>14967</v>
      </c>
    </row>
    <row r="1065" spans="3:9" x14ac:dyDescent="0.25">
      <c r="C1065" s="3" t="str">
        <f>HYPERLINK("http://amigo.geneontology.org/amigo/term/GO:0020037","GO:0020037")</f>
        <v>GO:0020037</v>
      </c>
      <c r="D1065" t="s">
        <v>1181</v>
      </c>
      <c r="E1065">
        <v>137</v>
      </c>
      <c r="F1065">
        <v>7</v>
      </c>
      <c r="G1065">
        <v>0.62584526757945802</v>
      </c>
      <c r="H1065">
        <v>1</v>
      </c>
      <c r="I1065" t="s">
        <v>14967</v>
      </c>
    </row>
    <row r="1066" spans="3:9" x14ac:dyDescent="0.25">
      <c r="C1066" s="3" t="str">
        <f>HYPERLINK("http://amigo.geneontology.org/amigo/term/GO:0016779","GO:0016779")</f>
        <v>GO:0016779</v>
      </c>
      <c r="D1066" t="s">
        <v>6304</v>
      </c>
      <c r="E1066">
        <v>59</v>
      </c>
      <c r="F1066">
        <v>3</v>
      </c>
      <c r="G1066">
        <v>0.63203203247519801</v>
      </c>
      <c r="H1066">
        <v>1</v>
      </c>
      <c r="I1066" t="s">
        <v>14968</v>
      </c>
    </row>
    <row r="1067" spans="3:9" x14ac:dyDescent="0.25">
      <c r="C1067" s="3" t="str">
        <f>HYPERLINK("http://amigo.geneontology.org/amigo/term/GO:0000160","GO:0000160")</f>
        <v>GO:0000160</v>
      </c>
      <c r="D1067" t="s">
        <v>10404</v>
      </c>
      <c r="E1067">
        <v>18</v>
      </c>
      <c r="F1067">
        <v>1</v>
      </c>
      <c r="G1067">
        <v>0.63609891699557697</v>
      </c>
      <c r="H1067">
        <v>1</v>
      </c>
      <c r="I1067" t="s">
        <v>13601</v>
      </c>
    </row>
    <row r="1068" spans="3:9" x14ac:dyDescent="0.25">
      <c r="C1068" s="3" t="str">
        <f>HYPERLINK("http://amigo.geneontology.org/amigo/term/GO:0015036","GO:0015036")</f>
        <v>GO:0015036</v>
      </c>
      <c r="D1068" t="s">
        <v>6241</v>
      </c>
      <c r="E1068">
        <v>18</v>
      </c>
      <c r="F1068">
        <v>1</v>
      </c>
      <c r="G1068">
        <v>0.63609891699557697</v>
      </c>
      <c r="H1068">
        <v>1</v>
      </c>
      <c r="I1068" t="s">
        <v>14204</v>
      </c>
    </row>
    <row r="1069" spans="3:9" x14ac:dyDescent="0.25">
      <c r="C1069" s="3" t="str">
        <f>HYPERLINK("http://amigo.geneontology.org/amigo/term/GO:0006030","GO:0006030")</f>
        <v>GO:0006030</v>
      </c>
      <c r="D1069" t="s">
        <v>6943</v>
      </c>
      <c r="E1069">
        <v>18</v>
      </c>
      <c r="F1069">
        <v>1</v>
      </c>
      <c r="G1069">
        <v>0.63609891699557697</v>
      </c>
      <c r="H1069">
        <v>1</v>
      </c>
      <c r="I1069" t="s">
        <v>14401</v>
      </c>
    </row>
    <row r="1070" spans="3:9" x14ac:dyDescent="0.25">
      <c r="C1070" s="3" t="str">
        <f>HYPERLINK("http://amigo.geneontology.org/amigo/term/GO:0051539","GO:0051539")</f>
        <v>GO:0051539</v>
      </c>
      <c r="D1070" t="s">
        <v>14969</v>
      </c>
      <c r="E1070">
        <v>18</v>
      </c>
      <c r="F1070">
        <v>1</v>
      </c>
      <c r="G1070">
        <v>0.63609891699557697</v>
      </c>
      <c r="H1070">
        <v>1</v>
      </c>
      <c r="I1070" t="s">
        <v>14301</v>
      </c>
    </row>
    <row r="1071" spans="3:9" x14ac:dyDescent="0.25">
      <c r="C1071" s="3" t="str">
        <f>HYPERLINK("http://amigo.geneontology.org/amigo/term/GO:0008168","GO:0008168")</f>
        <v>GO:0008168</v>
      </c>
      <c r="D1071" t="s">
        <v>4398</v>
      </c>
      <c r="E1071">
        <v>80</v>
      </c>
      <c r="F1071">
        <v>4</v>
      </c>
      <c r="G1071">
        <v>0.64232709981589298</v>
      </c>
      <c r="H1071">
        <v>1</v>
      </c>
      <c r="I1071" t="s">
        <v>14970</v>
      </c>
    </row>
    <row r="1072" spans="3:9" x14ac:dyDescent="0.25">
      <c r="C1072" s="3" t="str">
        <f>HYPERLINK("http://amigo.geneontology.org/amigo/term/GO:0008144","GO:0008144")</f>
        <v>GO:0008144</v>
      </c>
      <c r="D1072" t="s">
        <v>6910</v>
      </c>
      <c r="E1072">
        <v>559</v>
      </c>
      <c r="F1072">
        <v>29</v>
      </c>
      <c r="G1072">
        <v>0.64307612179227902</v>
      </c>
      <c r="H1072">
        <v>1</v>
      </c>
      <c r="I1072" t="s">
        <v>14971</v>
      </c>
    </row>
    <row r="1073" spans="3:9" x14ac:dyDescent="0.25">
      <c r="C1073" s="3" t="str">
        <f>HYPERLINK("http://amigo.geneontology.org/amigo/term/GO:0004252","GO:0004252")</f>
        <v>GO:0004252</v>
      </c>
      <c r="D1073" t="s">
        <v>858</v>
      </c>
      <c r="E1073">
        <v>40</v>
      </c>
      <c r="F1073">
        <v>2</v>
      </c>
      <c r="G1073">
        <v>0.64995349091830601</v>
      </c>
      <c r="H1073">
        <v>1</v>
      </c>
      <c r="I1073" t="s">
        <v>14972</v>
      </c>
    </row>
    <row r="1074" spans="3:9" x14ac:dyDescent="0.25">
      <c r="C1074" s="3" t="str">
        <f>HYPERLINK("http://amigo.geneontology.org/amigo/term/GO:0006996","GO:0006996")</f>
        <v>GO:0006996</v>
      </c>
      <c r="D1074" t="s">
        <v>14973</v>
      </c>
      <c r="E1074">
        <v>160</v>
      </c>
      <c r="F1074">
        <v>8</v>
      </c>
      <c r="G1074">
        <v>0.65179916376463698</v>
      </c>
      <c r="H1074">
        <v>1</v>
      </c>
      <c r="I1074" t="s">
        <v>14974</v>
      </c>
    </row>
    <row r="1075" spans="3:9" x14ac:dyDescent="0.25">
      <c r="C1075" s="3" t="str">
        <f>HYPERLINK("http://amigo.geneontology.org/amigo/term/GO:0017171","GO:0017171")</f>
        <v>GO:0017171</v>
      </c>
      <c r="D1075" t="s">
        <v>1186</v>
      </c>
      <c r="E1075">
        <v>61</v>
      </c>
      <c r="F1075">
        <v>3</v>
      </c>
      <c r="G1075">
        <v>0.65457986841776605</v>
      </c>
      <c r="H1075">
        <v>1</v>
      </c>
      <c r="I1075" t="s">
        <v>14975</v>
      </c>
    </row>
    <row r="1076" spans="3:9" x14ac:dyDescent="0.25">
      <c r="C1076" s="3" t="str">
        <f>HYPERLINK("http://amigo.geneontology.org/amigo/term/GO:0008236","GO:0008236")</f>
        <v>GO:0008236</v>
      </c>
      <c r="D1076" t="s">
        <v>1189</v>
      </c>
      <c r="E1076">
        <v>61</v>
      </c>
      <c r="F1076">
        <v>3</v>
      </c>
      <c r="G1076">
        <v>0.65457986841776605</v>
      </c>
      <c r="H1076">
        <v>1</v>
      </c>
      <c r="I1076" t="s">
        <v>14975</v>
      </c>
    </row>
    <row r="1077" spans="3:9" x14ac:dyDescent="0.25">
      <c r="C1077" s="3" t="str">
        <f>HYPERLINK("http://amigo.geneontology.org/amigo/term/GO:0008092","GO:0008092")</f>
        <v>GO:0008092</v>
      </c>
      <c r="D1077" t="s">
        <v>448</v>
      </c>
      <c r="E1077">
        <v>19</v>
      </c>
      <c r="F1077">
        <v>1</v>
      </c>
      <c r="G1077">
        <v>0.65600152439184001</v>
      </c>
      <c r="H1077">
        <v>1</v>
      </c>
      <c r="I1077" t="s">
        <v>14037</v>
      </c>
    </row>
    <row r="1078" spans="3:9" x14ac:dyDescent="0.25">
      <c r="C1078" s="3" t="str">
        <f>HYPERLINK("http://amigo.geneontology.org/amigo/term/GO:0099132","GO:0099132")</f>
        <v>GO:0099132</v>
      </c>
      <c r="D1078" t="s">
        <v>14976</v>
      </c>
      <c r="E1078">
        <v>19</v>
      </c>
      <c r="F1078">
        <v>1</v>
      </c>
      <c r="G1078">
        <v>0.65600152439184001</v>
      </c>
      <c r="H1078">
        <v>1</v>
      </c>
      <c r="I1078" t="s">
        <v>14479</v>
      </c>
    </row>
    <row r="1079" spans="3:9" x14ac:dyDescent="0.25">
      <c r="C1079" s="3" t="str">
        <f>HYPERLINK("http://amigo.geneontology.org/amigo/term/GO:0016705","GO:0016705")</f>
        <v>GO:0016705</v>
      </c>
      <c r="D1079" t="s">
        <v>4121</v>
      </c>
      <c r="E1079">
        <v>142</v>
      </c>
      <c r="F1079">
        <v>7</v>
      </c>
      <c r="G1079">
        <v>0.66332625853564897</v>
      </c>
      <c r="H1079">
        <v>1</v>
      </c>
      <c r="I1079" t="s">
        <v>14977</v>
      </c>
    </row>
    <row r="1080" spans="3:9" x14ac:dyDescent="0.25">
      <c r="C1080" s="3" t="str">
        <f>HYPERLINK("http://amigo.geneontology.org/amigo/term/GO:0030234","GO:0030234")</f>
        <v>GO:0030234</v>
      </c>
      <c r="D1080" t="s">
        <v>353</v>
      </c>
      <c r="E1080">
        <v>41</v>
      </c>
      <c r="F1080">
        <v>2</v>
      </c>
      <c r="G1080">
        <v>0.66334354755126401</v>
      </c>
      <c r="H1080">
        <v>1</v>
      </c>
      <c r="I1080" t="s">
        <v>14978</v>
      </c>
    </row>
    <row r="1081" spans="3:9" x14ac:dyDescent="0.25">
      <c r="C1081" s="3" t="str">
        <f>HYPERLINK("http://amigo.geneontology.org/amigo/term/GO:0046907","GO:0046907")</f>
        <v>GO:0046907</v>
      </c>
      <c r="D1081" t="s">
        <v>14979</v>
      </c>
      <c r="E1081">
        <v>103</v>
      </c>
      <c r="F1081">
        <v>5</v>
      </c>
      <c r="G1081">
        <v>0.66930355250365903</v>
      </c>
      <c r="H1081">
        <v>1</v>
      </c>
      <c r="I1081" t="s">
        <v>14980</v>
      </c>
    </row>
    <row r="1082" spans="3:9" x14ac:dyDescent="0.25">
      <c r="C1082" s="3" t="str">
        <f>HYPERLINK("http://amigo.geneontology.org/amigo/term/GO:1901360","GO:1901360")</f>
        <v>GO:1901360</v>
      </c>
      <c r="D1082" t="s">
        <v>6856</v>
      </c>
      <c r="E1082">
        <v>793</v>
      </c>
      <c r="F1082">
        <v>41</v>
      </c>
      <c r="G1082">
        <v>0.67154809071511301</v>
      </c>
      <c r="H1082">
        <v>1</v>
      </c>
      <c r="I1082" t="s">
        <v>14981</v>
      </c>
    </row>
    <row r="1083" spans="3:9" x14ac:dyDescent="0.25">
      <c r="C1083" s="3" t="str">
        <f>HYPERLINK("http://amigo.geneontology.org/amigo/term/GO:0004601","GO:0004601")</f>
        <v>GO:0004601</v>
      </c>
      <c r="D1083" t="s">
        <v>640</v>
      </c>
      <c r="E1083">
        <v>20</v>
      </c>
      <c r="F1083">
        <v>1</v>
      </c>
      <c r="G1083">
        <v>0.67481853502396205</v>
      </c>
      <c r="H1083">
        <v>1</v>
      </c>
      <c r="I1083" t="s">
        <v>14129</v>
      </c>
    </row>
    <row r="1084" spans="3:9" x14ac:dyDescent="0.25">
      <c r="C1084" s="3" t="str">
        <f>HYPERLINK("http://amigo.geneontology.org/amigo/term/GO:0006022","GO:0006022")</f>
        <v>GO:0006022</v>
      </c>
      <c r="D1084" t="s">
        <v>6974</v>
      </c>
      <c r="E1084">
        <v>20</v>
      </c>
      <c r="F1084">
        <v>1</v>
      </c>
      <c r="G1084">
        <v>0.67481853502396205</v>
      </c>
      <c r="H1084">
        <v>1</v>
      </c>
      <c r="I1084" t="s">
        <v>14401</v>
      </c>
    </row>
    <row r="1085" spans="3:9" x14ac:dyDescent="0.25">
      <c r="C1085" s="3" t="str">
        <f>HYPERLINK("http://amigo.geneontology.org/amigo/term/GO:0003924","GO:0003924")</f>
        <v>GO:0003924</v>
      </c>
      <c r="D1085" t="s">
        <v>14982</v>
      </c>
      <c r="E1085">
        <v>42</v>
      </c>
      <c r="F1085">
        <v>2</v>
      </c>
      <c r="G1085">
        <v>0.67631930167277299</v>
      </c>
      <c r="H1085">
        <v>1</v>
      </c>
      <c r="I1085" t="s">
        <v>14983</v>
      </c>
    </row>
    <row r="1086" spans="3:9" x14ac:dyDescent="0.25">
      <c r="C1086" s="3" t="str">
        <f>HYPERLINK("http://amigo.geneontology.org/amigo/term/GO:0022402","GO:0022402")</f>
        <v>GO:0022402</v>
      </c>
      <c r="D1086" t="s">
        <v>6000</v>
      </c>
      <c r="E1086">
        <v>43</v>
      </c>
      <c r="F1086">
        <v>2</v>
      </c>
      <c r="G1086">
        <v>0.68888597887685099</v>
      </c>
      <c r="H1086">
        <v>1</v>
      </c>
      <c r="I1086" t="s">
        <v>14984</v>
      </c>
    </row>
    <row r="1087" spans="3:9" x14ac:dyDescent="0.25">
      <c r="C1087" s="3" t="str">
        <f>HYPERLINK("http://amigo.geneontology.org/amigo/term/GO:0006633","GO:0006633")</f>
        <v>GO:0006633</v>
      </c>
      <c r="D1087" t="s">
        <v>287</v>
      </c>
      <c r="E1087">
        <v>21</v>
      </c>
      <c r="F1087">
        <v>1</v>
      </c>
      <c r="G1087">
        <v>0.69260900373054801</v>
      </c>
      <c r="H1087">
        <v>1</v>
      </c>
      <c r="I1087" t="s">
        <v>13453</v>
      </c>
    </row>
    <row r="1088" spans="3:9" x14ac:dyDescent="0.25">
      <c r="C1088" s="3" t="str">
        <f>HYPERLINK("http://amigo.geneontology.org/amigo/term/GO:0015629","GO:0015629")</f>
        <v>GO:0015629</v>
      </c>
      <c r="D1088" t="s">
        <v>513</v>
      </c>
      <c r="E1088">
        <v>21</v>
      </c>
      <c r="F1088">
        <v>1</v>
      </c>
      <c r="G1088">
        <v>0.69260900373054801</v>
      </c>
      <c r="H1088">
        <v>1</v>
      </c>
      <c r="I1088" t="s">
        <v>13671</v>
      </c>
    </row>
    <row r="1089" spans="3:9" x14ac:dyDescent="0.25">
      <c r="C1089" s="3" t="str">
        <f>HYPERLINK("http://amigo.geneontology.org/amigo/term/GO:0030258","GO:0030258")</f>
        <v>GO:0030258</v>
      </c>
      <c r="D1089" t="s">
        <v>541</v>
      </c>
      <c r="E1089">
        <v>21</v>
      </c>
      <c r="F1089">
        <v>1</v>
      </c>
      <c r="G1089">
        <v>0.69260900373054801</v>
      </c>
      <c r="H1089">
        <v>1</v>
      </c>
      <c r="I1089" t="s">
        <v>13727</v>
      </c>
    </row>
    <row r="1090" spans="3:9" x14ac:dyDescent="0.25">
      <c r="C1090" s="3" t="str">
        <f>HYPERLINK("http://amigo.geneontology.org/amigo/term/GO:0006040","GO:0006040")</f>
        <v>GO:0006040</v>
      </c>
      <c r="D1090" t="s">
        <v>6955</v>
      </c>
      <c r="E1090">
        <v>21</v>
      </c>
      <c r="F1090">
        <v>1</v>
      </c>
      <c r="G1090">
        <v>0.69260900373054801</v>
      </c>
      <c r="H1090">
        <v>1</v>
      </c>
      <c r="I1090" t="s">
        <v>14401</v>
      </c>
    </row>
    <row r="1091" spans="3:9" x14ac:dyDescent="0.25">
      <c r="C1091" s="3" t="str">
        <f>HYPERLINK("http://amigo.geneontology.org/amigo/term/GO:1901071","GO:1901071")</f>
        <v>GO:1901071</v>
      </c>
      <c r="D1091" t="s">
        <v>6953</v>
      </c>
      <c r="E1091">
        <v>21</v>
      </c>
      <c r="F1091">
        <v>1</v>
      </c>
      <c r="G1091">
        <v>0.69260900373054801</v>
      </c>
      <c r="H1091">
        <v>1</v>
      </c>
      <c r="I1091" t="s">
        <v>14401</v>
      </c>
    </row>
    <row r="1092" spans="3:9" x14ac:dyDescent="0.25">
      <c r="C1092" s="3" t="str">
        <f>HYPERLINK("http://amigo.geneontology.org/amigo/term/GO:0048285","GO:0048285")</f>
        <v>GO:0048285</v>
      </c>
      <c r="D1092" t="s">
        <v>14985</v>
      </c>
      <c r="E1092">
        <v>21</v>
      </c>
      <c r="F1092">
        <v>1</v>
      </c>
      <c r="G1092">
        <v>0.69260900373054801</v>
      </c>
      <c r="H1092">
        <v>1</v>
      </c>
      <c r="I1092" t="s">
        <v>14484</v>
      </c>
    </row>
    <row r="1093" spans="3:9" x14ac:dyDescent="0.25">
      <c r="C1093" s="3" t="str">
        <f>HYPERLINK("http://amigo.geneontology.org/amigo/term/GO:0051649","GO:0051649")</f>
        <v>GO:0051649</v>
      </c>
      <c r="D1093" t="s">
        <v>14986</v>
      </c>
      <c r="E1093">
        <v>106</v>
      </c>
      <c r="F1093">
        <v>5</v>
      </c>
      <c r="G1093">
        <v>0.69387113665783695</v>
      </c>
      <c r="H1093">
        <v>1</v>
      </c>
      <c r="I1093" t="s">
        <v>14980</v>
      </c>
    </row>
    <row r="1094" spans="3:9" x14ac:dyDescent="0.25">
      <c r="C1094" s="3" t="str">
        <f>HYPERLINK("http://amigo.geneontology.org/amigo/term/GO:0016887","GO:0016887")</f>
        <v>GO:0016887</v>
      </c>
      <c r="D1094" t="s">
        <v>7566</v>
      </c>
      <c r="E1094">
        <v>128</v>
      </c>
      <c r="F1094">
        <v>6</v>
      </c>
      <c r="G1094">
        <v>0.70654342332724795</v>
      </c>
      <c r="H1094">
        <v>1</v>
      </c>
      <c r="I1094" t="s">
        <v>14987</v>
      </c>
    </row>
    <row r="1095" spans="3:9" x14ac:dyDescent="0.25">
      <c r="C1095" s="3" t="str">
        <f>HYPERLINK("http://amigo.geneontology.org/amigo/term/GO:0042626","GO:0042626")</f>
        <v>GO:0042626</v>
      </c>
      <c r="D1095" t="s">
        <v>10146</v>
      </c>
      <c r="E1095">
        <v>66</v>
      </c>
      <c r="F1095">
        <v>3</v>
      </c>
      <c r="G1095">
        <v>0.70655489726467302</v>
      </c>
      <c r="H1095">
        <v>1</v>
      </c>
      <c r="I1095" t="s">
        <v>14988</v>
      </c>
    </row>
    <row r="1096" spans="3:9" x14ac:dyDescent="0.25">
      <c r="C1096" s="3" t="str">
        <f>HYPERLINK("http://amigo.geneontology.org/amigo/term/GO:0019899","GO:0019899")</f>
        <v>GO:0019899</v>
      </c>
      <c r="D1096" t="s">
        <v>1292</v>
      </c>
      <c r="E1096">
        <v>22</v>
      </c>
      <c r="F1096">
        <v>1</v>
      </c>
      <c r="G1096">
        <v>0.70942878154621902</v>
      </c>
      <c r="H1096">
        <v>1</v>
      </c>
      <c r="I1096" t="s">
        <v>14315</v>
      </c>
    </row>
    <row r="1097" spans="3:9" x14ac:dyDescent="0.25">
      <c r="C1097" s="3" t="str">
        <f>HYPERLINK("http://amigo.geneontology.org/amigo/term/GO:0010629","GO:0010629")</f>
        <v>GO:0010629</v>
      </c>
      <c r="D1097" t="s">
        <v>14989</v>
      </c>
      <c r="E1097">
        <v>23</v>
      </c>
      <c r="F1097">
        <v>1</v>
      </c>
      <c r="G1097">
        <v>0.72533068902231701</v>
      </c>
      <c r="H1097">
        <v>1</v>
      </c>
      <c r="I1097" t="s">
        <v>13711</v>
      </c>
    </row>
    <row r="1098" spans="3:9" x14ac:dyDescent="0.25">
      <c r="C1098" s="3" t="str">
        <f>HYPERLINK("http://amigo.geneontology.org/amigo/term/GO:0016684","GO:0016684")</f>
        <v>GO:0016684</v>
      </c>
      <c r="D1098" t="s">
        <v>643</v>
      </c>
      <c r="E1098">
        <v>23</v>
      </c>
      <c r="F1098">
        <v>1</v>
      </c>
      <c r="G1098">
        <v>0.72533068902231701</v>
      </c>
      <c r="H1098">
        <v>1</v>
      </c>
      <c r="I1098" t="s">
        <v>14129</v>
      </c>
    </row>
    <row r="1099" spans="3:9" x14ac:dyDescent="0.25">
      <c r="C1099" s="3" t="str">
        <f>HYPERLINK("http://amigo.geneontology.org/amigo/term/GO:0006366","GO:0006366")</f>
        <v>GO:0006366</v>
      </c>
      <c r="D1099" t="s">
        <v>8734</v>
      </c>
      <c r="E1099">
        <v>23</v>
      </c>
      <c r="F1099">
        <v>1</v>
      </c>
      <c r="G1099">
        <v>0.72533068902231701</v>
      </c>
      <c r="H1099">
        <v>1</v>
      </c>
      <c r="I1099" t="s">
        <v>14184</v>
      </c>
    </row>
    <row r="1100" spans="3:9" x14ac:dyDescent="0.25">
      <c r="C1100" s="3" t="str">
        <f>HYPERLINK("http://amigo.geneontology.org/amigo/term/GO:0016772","GO:0016772")</f>
        <v>GO:0016772</v>
      </c>
      <c r="D1100" t="s">
        <v>1211</v>
      </c>
      <c r="E1100">
        <v>271</v>
      </c>
      <c r="F1100">
        <v>13</v>
      </c>
      <c r="G1100">
        <v>0.72570940627691705</v>
      </c>
      <c r="H1100">
        <v>1</v>
      </c>
      <c r="I1100" t="s">
        <v>14990</v>
      </c>
    </row>
    <row r="1101" spans="3:9" x14ac:dyDescent="0.25">
      <c r="C1101" s="3" t="str">
        <f>HYPERLINK("http://amigo.geneontology.org/amigo/term/GO:0006811","GO:0006811")</f>
        <v>GO:0006811</v>
      </c>
      <c r="D1101" t="s">
        <v>299</v>
      </c>
      <c r="E1101">
        <v>131</v>
      </c>
      <c r="F1101">
        <v>6</v>
      </c>
      <c r="G1101">
        <v>0.72742886865731005</v>
      </c>
      <c r="H1101">
        <v>1</v>
      </c>
      <c r="I1101" t="s">
        <v>14991</v>
      </c>
    </row>
    <row r="1102" spans="3:9" x14ac:dyDescent="0.25">
      <c r="C1102" s="3" t="str">
        <f>HYPERLINK("http://amigo.geneontology.org/amigo/term/GO:0007165","GO:0007165")</f>
        <v>GO:0007165</v>
      </c>
      <c r="D1102" t="s">
        <v>5347</v>
      </c>
      <c r="E1102">
        <v>111</v>
      </c>
      <c r="F1102">
        <v>5</v>
      </c>
      <c r="G1102">
        <v>0.73198374283107004</v>
      </c>
      <c r="H1102">
        <v>1</v>
      </c>
      <c r="I1102" t="s">
        <v>14992</v>
      </c>
    </row>
    <row r="1103" spans="3:9" x14ac:dyDescent="0.25">
      <c r="C1103" s="3" t="str">
        <f>HYPERLINK("http://amigo.geneontology.org/amigo/term/GO:0015399","GO:0015399")</f>
        <v>GO:0015399</v>
      </c>
      <c r="D1103" t="s">
        <v>10180</v>
      </c>
      <c r="E1103">
        <v>69</v>
      </c>
      <c r="F1103">
        <v>3</v>
      </c>
      <c r="G1103">
        <v>0.73475469590765097</v>
      </c>
      <c r="H1103">
        <v>1</v>
      </c>
      <c r="I1103" t="s">
        <v>14988</v>
      </c>
    </row>
    <row r="1104" spans="3:9" x14ac:dyDescent="0.25">
      <c r="C1104" s="3" t="str">
        <f>HYPERLINK("http://amigo.geneontology.org/amigo/term/GO:0015405","GO:0015405")</f>
        <v>GO:0015405</v>
      </c>
      <c r="D1104" t="s">
        <v>10182</v>
      </c>
      <c r="E1104">
        <v>69</v>
      </c>
      <c r="F1104">
        <v>3</v>
      </c>
      <c r="G1104">
        <v>0.73475469590765097</v>
      </c>
      <c r="H1104">
        <v>1</v>
      </c>
      <c r="I1104" t="s">
        <v>14988</v>
      </c>
    </row>
    <row r="1105" spans="3:9" x14ac:dyDescent="0.25">
      <c r="C1105" s="3" t="str">
        <f>HYPERLINK("http://amigo.geneontology.org/amigo/term/GO:0004499","GO:0004499")</f>
        <v>GO:0004499</v>
      </c>
      <c r="D1105" t="s">
        <v>14993</v>
      </c>
      <c r="E1105">
        <v>24</v>
      </c>
      <c r="F1105">
        <v>1</v>
      </c>
      <c r="G1105">
        <v>0.74036468022986401</v>
      </c>
      <c r="H1105">
        <v>1</v>
      </c>
      <c r="I1105" t="s">
        <v>14106</v>
      </c>
    </row>
    <row r="1106" spans="3:9" x14ac:dyDescent="0.25">
      <c r="C1106" s="3" t="str">
        <f>HYPERLINK("http://amigo.geneontology.org/amigo/term/GO:0045454","GO:0045454")</f>
        <v>GO:0045454</v>
      </c>
      <c r="D1106" t="s">
        <v>14994</v>
      </c>
      <c r="E1106">
        <v>24</v>
      </c>
      <c r="F1106">
        <v>1</v>
      </c>
      <c r="G1106">
        <v>0.74036468022986401</v>
      </c>
      <c r="H1106">
        <v>1</v>
      </c>
      <c r="I1106" t="s">
        <v>14204</v>
      </c>
    </row>
    <row r="1107" spans="3:9" x14ac:dyDescent="0.25">
      <c r="C1107" s="3" t="str">
        <f>HYPERLINK("http://amigo.geneontology.org/amigo/term/GO:0016773","GO:0016773")</f>
        <v>GO:0016773</v>
      </c>
      <c r="D1107" t="s">
        <v>791</v>
      </c>
      <c r="E1107">
        <v>174</v>
      </c>
      <c r="F1107">
        <v>8</v>
      </c>
      <c r="G1107">
        <v>0.74107801790173</v>
      </c>
      <c r="H1107">
        <v>1</v>
      </c>
      <c r="I1107" t="s">
        <v>14995</v>
      </c>
    </row>
    <row r="1108" spans="3:9" x14ac:dyDescent="0.25">
      <c r="C1108" s="3" t="str">
        <f>HYPERLINK("http://amigo.geneontology.org/amigo/term/GO:0043603","GO:0043603")</f>
        <v>GO:0043603</v>
      </c>
      <c r="D1108" t="s">
        <v>14996</v>
      </c>
      <c r="E1108">
        <v>216</v>
      </c>
      <c r="F1108">
        <v>10</v>
      </c>
      <c r="G1108">
        <v>0.74945482484381998</v>
      </c>
      <c r="H1108">
        <v>1</v>
      </c>
      <c r="I1108" t="s">
        <v>14997</v>
      </c>
    </row>
    <row r="1109" spans="3:9" x14ac:dyDescent="0.25">
      <c r="C1109" s="3" t="str">
        <f>HYPERLINK("http://amigo.geneontology.org/amigo/term/GO:0043492","GO:0043492")</f>
        <v>GO:0043492</v>
      </c>
      <c r="D1109" t="s">
        <v>10121</v>
      </c>
      <c r="E1109">
        <v>71</v>
      </c>
      <c r="F1109">
        <v>3</v>
      </c>
      <c r="G1109">
        <v>0.75234080191900699</v>
      </c>
      <c r="H1109">
        <v>1</v>
      </c>
      <c r="I1109" t="s">
        <v>14988</v>
      </c>
    </row>
    <row r="1110" spans="3:9" x14ac:dyDescent="0.25">
      <c r="C1110" s="3" t="str">
        <f>HYPERLINK("http://amigo.geneontology.org/amigo/term/GO:0072341","GO:0072341")</f>
        <v>GO:0072341</v>
      </c>
      <c r="D1110" t="s">
        <v>13490</v>
      </c>
      <c r="E1110">
        <v>25</v>
      </c>
      <c r="F1110">
        <v>1</v>
      </c>
      <c r="G1110">
        <v>0.75457799788971902</v>
      </c>
      <c r="H1110">
        <v>1</v>
      </c>
      <c r="I1110" t="s">
        <v>13454</v>
      </c>
    </row>
    <row r="1111" spans="3:9" x14ac:dyDescent="0.25">
      <c r="C1111" s="3" t="str">
        <f>HYPERLINK("http://amigo.geneontology.org/amigo/term/GO:0031177","GO:0031177")</f>
        <v>GO:0031177</v>
      </c>
      <c r="D1111" t="s">
        <v>9843</v>
      </c>
      <c r="E1111">
        <v>25</v>
      </c>
      <c r="F1111">
        <v>1</v>
      </c>
      <c r="G1111">
        <v>0.75457799788971902</v>
      </c>
      <c r="H1111">
        <v>1</v>
      </c>
      <c r="I1111" t="s">
        <v>13454</v>
      </c>
    </row>
    <row r="1112" spans="3:9" x14ac:dyDescent="0.25">
      <c r="C1112" s="3" t="str">
        <f>HYPERLINK("http://amigo.geneontology.org/amigo/term/GO:0018193","GO:0018193")</f>
        <v>GO:0018193</v>
      </c>
      <c r="D1112" t="s">
        <v>14998</v>
      </c>
      <c r="E1112">
        <v>25</v>
      </c>
      <c r="F1112">
        <v>1</v>
      </c>
      <c r="G1112">
        <v>0.75457799788971902</v>
      </c>
      <c r="H1112">
        <v>1</v>
      </c>
      <c r="I1112" t="s">
        <v>13610</v>
      </c>
    </row>
    <row r="1113" spans="3:9" x14ac:dyDescent="0.25">
      <c r="C1113" s="3" t="str">
        <f>HYPERLINK("http://amigo.geneontology.org/amigo/term/GO:0007005","GO:0007005")</f>
        <v>GO:0007005</v>
      </c>
      <c r="D1113" t="s">
        <v>14999</v>
      </c>
      <c r="E1113">
        <v>25</v>
      </c>
      <c r="F1113">
        <v>1</v>
      </c>
      <c r="G1113">
        <v>0.75457799788971902</v>
      </c>
      <c r="H1113">
        <v>1</v>
      </c>
      <c r="I1113" t="s">
        <v>14197</v>
      </c>
    </row>
    <row r="1114" spans="3:9" x14ac:dyDescent="0.25">
      <c r="C1114" s="3" t="str">
        <f>HYPERLINK("http://amigo.geneontology.org/amigo/term/GO:0048193","GO:0048193")</f>
        <v>GO:0048193</v>
      </c>
      <c r="D1114" t="s">
        <v>15000</v>
      </c>
      <c r="E1114">
        <v>25</v>
      </c>
      <c r="F1114">
        <v>1</v>
      </c>
      <c r="G1114">
        <v>0.75457799788971902</v>
      </c>
      <c r="H1114">
        <v>1</v>
      </c>
      <c r="I1114" t="s">
        <v>14481</v>
      </c>
    </row>
    <row r="1115" spans="3:9" x14ac:dyDescent="0.25">
      <c r="C1115" s="3" t="str">
        <f>HYPERLINK("http://amigo.geneontology.org/amigo/term/GO:0016765","GO:0016765")</f>
        <v>GO:0016765</v>
      </c>
      <c r="D1115" t="s">
        <v>12936</v>
      </c>
      <c r="E1115">
        <v>25</v>
      </c>
      <c r="F1115">
        <v>1</v>
      </c>
      <c r="G1115">
        <v>0.75457799788971902</v>
      </c>
      <c r="H1115">
        <v>1</v>
      </c>
      <c r="I1115" t="s">
        <v>14277</v>
      </c>
    </row>
    <row r="1116" spans="3:9" x14ac:dyDescent="0.25">
      <c r="C1116" s="3" t="str">
        <f>HYPERLINK("http://amigo.geneontology.org/amigo/term/GO:0006644","GO:0006644")</f>
        <v>GO:0006644</v>
      </c>
      <c r="D1116" t="s">
        <v>483</v>
      </c>
      <c r="E1116">
        <v>49</v>
      </c>
      <c r="F1116">
        <v>2</v>
      </c>
      <c r="G1116">
        <v>0.75606109776095898</v>
      </c>
      <c r="H1116">
        <v>1</v>
      </c>
      <c r="I1116" t="s">
        <v>14906</v>
      </c>
    </row>
    <row r="1117" spans="3:9" x14ac:dyDescent="0.25">
      <c r="C1117" s="3" t="str">
        <f>HYPERLINK("http://amigo.geneontology.org/amigo/term/GO:0007154","GO:0007154")</f>
        <v>GO:0007154</v>
      </c>
      <c r="D1117" t="s">
        <v>6677</v>
      </c>
      <c r="E1117">
        <v>115</v>
      </c>
      <c r="F1117">
        <v>5</v>
      </c>
      <c r="G1117">
        <v>0.759918289504526</v>
      </c>
      <c r="H1117">
        <v>1</v>
      </c>
      <c r="I1117" t="s">
        <v>14992</v>
      </c>
    </row>
    <row r="1118" spans="3:9" x14ac:dyDescent="0.25">
      <c r="C1118" s="3" t="str">
        <f>HYPERLINK("http://amigo.geneontology.org/amigo/term/GO:0008610","GO:0008610")</f>
        <v>GO:0008610</v>
      </c>
      <c r="D1118" t="s">
        <v>564</v>
      </c>
      <c r="E1118">
        <v>72</v>
      </c>
      <c r="F1118">
        <v>3</v>
      </c>
      <c r="G1118">
        <v>0.76077756623235304</v>
      </c>
      <c r="H1118">
        <v>1</v>
      </c>
      <c r="I1118" t="s">
        <v>15001</v>
      </c>
    </row>
    <row r="1119" spans="3:9" x14ac:dyDescent="0.25">
      <c r="C1119" s="3" t="str">
        <f>HYPERLINK("http://amigo.geneontology.org/amigo/term/GO:0034220","GO:0034220")</f>
        <v>GO:0034220</v>
      </c>
      <c r="D1119" t="s">
        <v>362</v>
      </c>
      <c r="E1119">
        <v>72</v>
      </c>
      <c r="F1119">
        <v>3</v>
      </c>
      <c r="G1119">
        <v>0.76077756623235304</v>
      </c>
      <c r="H1119">
        <v>1</v>
      </c>
      <c r="I1119" t="s">
        <v>14743</v>
      </c>
    </row>
    <row r="1120" spans="3:9" x14ac:dyDescent="0.25">
      <c r="C1120" s="3" t="str">
        <f>HYPERLINK("http://amigo.geneontology.org/amigo/term/GO:0007049","GO:0007049")</f>
        <v>GO:0007049</v>
      </c>
      <c r="D1120" t="s">
        <v>15002</v>
      </c>
      <c r="E1120">
        <v>50</v>
      </c>
      <c r="F1120">
        <v>2</v>
      </c>
      <c r="G1120">
        <v>0.76595607029715096</v>
      </c>
      <c r="H1120">
        <v>1</v>
      </c>
      <c r="I1120" t="s">
        <v>14984</v>
      </c>
    </row>
    <row r="1121" spans="3:9" x14ac:dyDescent="0.25">
      <c r="C1121" s="3" t="str">
        <f>HYPERLINK("http://amigo.geneontology.org/amigo/term/GO:0010605","GO:0010605")</f>
        <v>GO:0010605</v>
      </c>
      <c r="D1121" t="s">
        <v>7497</v>
      </c>
      <c r="E1121">
        <v>26</v>
      </c>
      <c r="F1121">
        <v>1</v>
      </c>
      <c r="G1121">
        <v>0.76801532013845197</v>
      </c>
      <c r="H1121">
        <v>1</v>
      </c>
      <c r="I1121" t="s">
        <v>13711</v>
      </c>
    </row>
    <row r="1122" spans="3:9" x14ac:dyDescent="0.25">
      <c r="C1122" s="3" t="str">
        <f>HYPERLINK("http://amigo.geneontology.org/amigo/term/GO:0016667","GO:0016667")</f>
        <v>GO:0016667</v>
      </c>
      <c r="D1122" t="s">
        <v>6347</v>
      </c>
      <c r="E1122">
        <v>26</v>
      </c>
      <c r="F1122">
        <v>1</v>
      </c>
      <c r="G1122">
        <v>0.76801532013845197</v>
      </c>
      <c r="H1122">
        <v>1</v>
      </c>
      <c r="I1122" t="s">
        <v>14204</v>
      </c>
    </row>
    <row r="1123" spans="3:9" x14ac:dyDescent="0.25">
      <c r="C1123" s="3" t="str">
        <f>HYPERLINK("http://amigo.geneontology.org/amigo/term/GO:0000785","GO:0000785")</f>
        <v>GO:0000785</v>
      </c>
      <c r="D1123" t="s">
        <v>15003</v>
      </c>
      <c r="E1123">
        <v>27</v>
      </c>
      <c r="F1123">
        <v>1</v>
      </c>
      <c r="G1123">
        <v>0.78071889936887795</v>
      </c>
      <c r="H1123">
        <v>1</v>
      </c>
      <c r="I1123" t="s">
        <v>13764</v>
      </c>
    </row>
    <row r="1124" spans="3:9" x14ac:dyDescent="0.25">
      <c r="C1124" s="3" t="str">
        <f>HYPERLINK("http://amigo.geneontology.org/amigo/term/GO:0004674","GO:0004674")</f>
        <v>GO:0004674</v>
      </c>
      <c r="D1124" t="s">
        <v>1322</v>
      </c>
      <c r="E1124">
        <v>27</v>
      </c>
      <c r="F1124">
        <v>1</v>
      </c>
      <c r="G1124">
        <v>0.78071889936887795</v>
      </c>
      <c r="H1124">
        <v>1</v>
      </c>
      <c r="I1124" t="s">
        <v>14507</v>
      </c>
    </row>
    <row r="1125" spans="3:9" x14ac:dyDescent="0.25">
      <c r="C1125" s="3" t="str">
        <f>HYPERLINK("http://amigo.geneontology.org/amigo/term/GO:0016810","GO:0016810")</f>
        <v>GO:0016810</v>
      </c>
      <c r="D1125" t="s">
        <v>15004</v>
      </c>
      <c r="E1125">
        <v>75</v>
      </c>
      <c r="F1125">
        <v>3</v>
      </c>
      <c r="G1125">
        <v>0.78470013169603403</v>
      </c>
      <c r="H1125">
        <v>1</v>
      </c>
      <c r="I1125" t="s">
        <v>15005</v>
      </c>
    </row>
    <row r="1126" spans="3:9" x14ac:dyDescent="0.25">
      <c r="C1126" s="3" t="str">
        <f>HYPERLINK("http://amigo.geneontology.org/amigo/term/GO:0016407","GO:0016407")</f>
        <v>GO:0016407</v>
      </c>
      <c r="D1126" t="s">
        <v>13498</v>
      </c>
      <c r="E1126">
        <v>75</v>
      </c>
      <c r="F1126">
        <v>3</v>
      </c>
      <c r="G1126">
        <v>0.78470013169603403</v>
      </c>
      <c r="H1126">
        <v>1</v>
      </c>
      <c r="I1126" t="s">
        <v>15006</v>
      </c>
    </row>
    <row r="1127" spans="3:9" x14ac:dyDescent="0.25">
      <c r="C1127" s="3" t="str">
        <f>HYPERLINK("http://amigo.geneontology.org/amigo/term/GO:0042592","GO:0042592")</f>
        <v>GO:0042592</v>
      </c>
      <c r="D1127" t="s">
        <v>15007</v>
      </c>
      <c r="E1127">
        <v>52</v>
      </c>
      <c r="F1127">
        <v>2</v>
      </c>
      <c r="G1127">
        <v>0.78470494650635003</v>
      </c>
      <c r="H1127">
        <v>1</v>
      </c>
      <c r="I1127" t="s">
        <v>14966</v>
      </c>
    </row>
    <row r="1128" spans="3:9" x14ac:dyDescent="0.25">
      <c r="C1128" s="3" t="str">
        <f>HYPERLINK("http://amigo.geneontology.org/amigo/term/GO:0004175","GO:0004175")</f>
        <v>GO:0004175</v>
      </c>
      <c r="D1128" t="s">
        <v>4314</v>
      </c>
      <c r="E1128">
        <v>98</v>
      </c>
      <c r="F1128">
        <v>4</v>
      </c>
      <c r="G1128">
        <v>0.79019434986499104</v>
      </c>
      <c r="H1128">
        <v>1</v>
      </c>
      <c r="I1128" t="s">
        <v>15008</v>
      </c>
    </row>
    <row r="1129" spans="3:9" x14ac:dyDescent="0.25">
      <c r="C1129" s="3" t="str">
        <f>HYPERLINK("http://amigo.geneontology.org/amigo/term/GO:0015031","GO:0015031")</f>
        <v>GO:0015031</v>
      </c>
      <c r="D1129" t="s">
        <v>15009</v>
      </c>
      <c r="E1129">
        <v>98</v>
      </c>
      <c r="F1129">
        <v>4</v>
      </c>
      <c r="G1129">
        <v>0.79019434986499104</v>
      </c>
      <c r="H1129">
        <v>1</v>
      </c>
      <c r="I1129" t="s">
        <v>15010</v>
      </c>
    </row>
    <row r="1130" spans="3:9" x14ac:dyDescent="0.25">
      <c r="C1130" s="3" t="str">
        <f>HYPERLINK("http://amigo.geneontology.org/amigo/term/GO:0070085","GO:0070085")</f>
        <v>GO:0070085</v>
      </c>
      <c r="D1130" t="s">
        <v>15011</v>
      </c>
      <c r="E1130">
        <v>28</v>
      </c>
      <c r="F1130">
        <v>1</v>
      </c>
      <c r="G1130">
        <v>0.79272869358430598</v>
      </c>
      <c r="H1130">
        <v>1</v>
      </c>
      <c r="I1130" t="s">
        <v>13727</v>
      </c>
    </row>
    <row r="1131" spans="3:9" x14ac:dyDescent="0.25">
      <c r="C1131" s="3" t="str">
        <f>HYPERLINK("http://amigo.geneontology.org/amigo/term/GO:1903047","GO:1903047")</f>
        <v>GO:1903047</v>
      </c>
      <c r="D1131" t="s">
        <v>15012</v>
      </c>
      <c r="E1131">
        <v>28</v>
      </c>
      <c r="F1131">
        <v>1</v>
      </c>
      <c r="G1131">
        <v>0.79272869358430598</v>
      </c>
      <c r="H1131">
        <v>1</v>
      </c>
      <c r="I1131" t="s">
        <v>13779</v>
      </c>
    </row>
    <row r="1132" spans="3:9" x14ac:dyDescent="0.25">
      <c r="C1132" s="3" t="str">
        <f>HYPERLINK("http://amigo.geneontology.org/amigo/term/GO:0016709","GO:0016709")</f>
        <v>GO:0016709</v>
      </c>
      <c r="D1132" t="s">
        <v>15013</v>
      </c>
      <c r="E1132">
        <v>28</v>
      </c>
      <c r="F1132">
        <v>1</v>
      </c>
      <c r="G1132">
        <v>0.79272869358430598</v>
      </c>
      <c r="H1132">
        <v>1</v>
      </c>
      <c r="I1132" t="s">
        <v>14106</v>
      </c>
    </row>
    <row r="1133" spans="3:9" x14ac:dyDescent="0.25">
      <c r="C1133" s="3" t="str">
        <f>HYPERLINK("http://amigo.geneontology.org/amigo/term/GO:0016043","GO:0016043")</f>
        <v>GO:0016043</v>
      </c>
      <c r="D1133" t="s">
        <v>15014</v>
      </c>
      <c r="E1133">
        <v>227</v>
      </c>
      <c r="F1133">
        <v>10</v>
      </c>
      <c r="G1133">
        <v>0.80150006524201201</v>
      </c>
      <c r="H1133">
        <v>1</v>
      </c>
      <c r="I1133" t="s">
        <v>15015</v>
      </c>
    </row>
    <row r="1134" spans="3:9" x14ac:dyDescent="0.25">
      <c r="C1134" s="3" t="str">
        <f>HYPERLINK("http://amigo.geneontology.org/amigo/term/GO:0140101","GO:0140101")</f>
        <v>GO:0140101</v>
      </c>
      <c r="D1134" t="s">
        <v>10253</v>
      </c>
      <c r="E1134">
        <v>54</v>
      </c>
      <c r="F1134">
        <v>2</v>
      </c>
      <c r="G1134">
        <v>0.802123590477683</v>
      </c>
      <c r="H1134">
        <v>1</v>
      </c>
      <c r="I1134" t="s">
        <v>14944</v>
      </c>
    </row>
    <row r="1135" spans="3:9" x14ac:dyDescent="0.25">
      <c r="C1135" s="3" t="str">
        <f>HYPERLINK("http://amigo.geneontology.org/amigo/term/GO:0000278","GO:0000278")</f>
        <v>GO:0000278</v>
      </c>
      <c r="D1135" t="s">
        <v>15016</v>
      </c>
      <c r="E1135">
        <v>29</v>
      </c>
      <c r="F1135">
        <v>1</v>
      </c>
      <c r="G1135">
        <v>0.80408249063578396</v>
      </c>
      <c r="H1135">
        <v>1</v>
      </c>
      <c r="I1135" t="s">
        <v>13779</v>
      </c>
    </row>
    <row r="1136" spans="3:9" x14ac:dyDescent="0.25">
      <c r="C1136" s="3" t="str">
        <f>HYPERLINK("http://amigo.geneontology.org/amigo/term/GO:0008757","GO:0008757")</f>
        <v>GO:0008757</v>
      </c>
      <c r="D1136" t="s">
        <v>15017</v>
      </c>
      <c r="E1136">
        <v>29</v>
      </c>
      <c r="F1136">
        <v>1</v>
      </c>
      <c r="G1136">
        <v>0.80408249063578396</v>
      </c>
      <c r="H1136">
        <v>1</v>
      </c>
      <c r="I1136" t="s">
        <v>13872</v>
      </c>
    </row>
    <row r="1137" spans="3:9" x14ac:dyDescent="0.25">
      <c r="C1137" s="3" t="str">
        <f>HYPERLINK("http://amigo.geneontology.org/amigo/term/GO:0006725","GO:0006725")</f>
        <v>GO:0006725</v>
      </c>
      <c r="D1137" t="s">
        <v>6854</v>
      </c>
      <c r="E1137">
        <v>763</v>
      </c>
      <c r="F1137">
        <v>37</v>
      </c>
      <c r="G1137">
        <v>0.80611202365828105</v>
      </c>
      <c r="H1137">
        <v>1</v>
      </c>
      <c r="I1137" t="s">
        <v>15018</v>
      </c>
    </row>
    <row r="1138" spans="3:9" x14ac:dyDescent="0.25">
      <c r="C1138" s="3" t="str">
        <f>HYPERLINK("http://amigo.geneontology.org/amigo/term/GO:0036211","GO:0036211")</f>
        <v>GO:0036211</v>
      </c>
      <c r="D1138" t="s">
        <v>6999</v>
      </c>
      <c r="E1138">
        <v>187</v>
      </c>
      <c r="F1138">
        <v>8</v>
      </c>
      <c r="G1138">
        <v>0.80868396431921896</v>
      </c>
      <c r="H1138">
        <v>1</v>
      </c>
      <c r="I1138" t="s">
        <v>15019</v>
      </c>
    </row>
    <row r="1139" spans="3:9" x14ac:dyDescent="0.25">
      <c r="C1139" s="3" t="str">
        <f>HYPERLINK("http://amigo.geneontology.org/amigo/term/GO:0006464","GO:0006464")</f>
        <v>GO:0006464</v>
      </c>
      <c r="D1139" t="s">
        <v>7002</v>
      </c>
      <c r="E1139">
        <v>187</v>
      </c>
      <c r="F1139">
        <v>8</v>
      </c>
      <c r="G1139">
        <v>0.80868396431921896</v>
      </c>
      <c r="H1139">
        <v>1</v>
      </c>
      <c r="I1139" t="s">
        <v>15019</v>
      </c>
    </row>
    <row r="1140" spans="3:9" x14ac:dyDescent="0.25">
      <c r="C1140" s="3" t="str">
        <f>HYPERLINK("http://amigo.geneontology.org/amigo/term/GO:0045184","GO:0045184")</f>
        <v>GO:0045184</v>
      </c>
      <c r="D1140" t="s">
        <v>15020</v>
      </c>
      <c r="E1140">
        <v>101</v>
      </c>
      <c r="F1140">
        <v>4</v>
      </c>
      <c r="G1140">
        <v>0.80935419520293295</v>
      </c>
      <c r="H1140">
        <v>1</v>
      </c>
      <c r="I1140" t="s">
        <v>15010</v>
      </c>
    </row>
    <row r="1141" spans="3:9" x14ac:dyDescent="0.25">
      <c r="C1141" s="3" t="str">
        <f>HYPERLINK("http://amigo.geneontology.org/amigo/term/GO:0022804","GO:0022804")</f>
        <v>GO:0022804</v>
      </c>
      <c r="D1141" t="s">
        <v>676</v>
      </c>
      <c r="E1141">
        <v>101</v>
      </c>
      <c r="F1141">
        <v>4</v>
      </c>
      <c r="G1141">
        <v>0.80935419520293295</v>
      </c>
      <c r="H1141">
        <v>1</v>
      </c>
      <c r="I1141" t="s">
        <v>15021</v>
      </c>
    </row>
    <row r="1142" spans="3:9" x14ac:dyDescent="0.25">
      <c r="C1142" s="3" t="str">
        <f>HYPERLINK("http://amigo.geneontology.org/amigo/term/GO:0098805","GO:0098805")</f>
        <v>GO:0098805</v>
      </c>
      <c r="D1142" t="s">
        <v>15022</v>
      </c>
      <c r="E1142">
        <v>55</v>
      </c>
      <c r="F1142">
        <v>2</v>
      </c>
      <c r="G1142">
        <v>0.810356029341882</v>
      </c>
      <c r="H1142">
        <v>1</v>
      </c>
      <c r="I1142" t="s">
        <v>14572</v>
      </c>
    </row>
    <row r="1143" spans="3:9" x14ac:dyDescent="0.25">
      <c r="C1143" s="3" t="str">
        <f>HYPERLINK("http://amigo.geneontology.org/amigo/term/GO:0006950","GO:0006950")</f>
        <v>GO:0006950</v>
      </c>
      <c r="D1143" t="s">
        <v>7156</v>
      </c>
      <c r="E1143">
        <v>188</v>
      </c>
      <c r="F1143">
        <v>8</v>
      </c>
      <c r="G1143">
        <v>0.81327884630393699</v>
      </c>
      <c r="H1143">
        <v>1</v>
      </c>
      <c r="I1143" t="s">
        <v>15023</v>
      </c>
    </row>
    <row r="1144" spans="3:9" x14ac:dyDescent="0.25">
      <c r="C1144" s="3" t="str">
        <f>HYPERLINK("http://amigo.geneontology.org/amigo/term/GO:0032268","GO:0032268")</f>
        <v>GO:0032268</v>
      </c>
      <c r="D1144" t="s">
        <v>7306</v>
      </c>
      <c r="E1144">
        <v>30</v>
      </c>
      <c r="F1144">
        <v>1</v>
      </c>
      <c r="G1144">
        <v>0.81481602577614098</v>
      </c>
      <c r="H1144">
        <v>1</v>
      </c>
      <c r="I1144" t="s">
        <v>14315</v>
      </c>
    </row>
    <row r="1145" spans="3:9" x14ac:dyDescent="0.25">
      <c r="C1145" s="3" t="str">
        <f>HYPERLINK("http://amigo.geneontology.org/amigo/term/GO:0015833","GO:0015833")</f>
        <v>GO:0015833</v>
      </c>
      <c r="D1145" t="s">
        <v>15024</v>
      </c>
      <c r="E1145">
        <v>102</v>
      </c>
      <c r="F1145">
        <v>4</v>
      </c>
      <c r="G1145">
        <v>0.81541621688629096</v>
      </c>
      <c r="H1145">
        <v>1</v>
      </c>
      <c r="I1145" t="s">
        <v>15010</v>
      </c>
    </row>
    <row r="1146" spans="3:9" x14ac:dyDescent="0.25">
      <c r="C1146" s="3" t="str">
        <f>HYPERLINK("http://amigo.geneontology.org/amigo/term/GO:0042623","GO:0042623")</f>
        <v>GO:0042623</v>
      </c>
      <c r="D1146" t="s">
        <v>10265</v>
      </c>
      <c r="E1146">
        <v>102</v>
      </c>
      <c r="F1146">
        <v>4</v>
      </c>
      <c r="G1146">
        <v>0.81541621688629096</v>
      </c>
      <c r="H1146">
        <v>1</v>
      </c>
      <c r="I1146" t="s">
        <v>15025</v>
      </c>
    </row>
    <row r="1147" spans="3:9" x14ac:dyDescent="0.25">
      <c r="C1147" s="3" t="str">
        <f>HYPERLINK("http://amigo.geneontology.org/amigo/term/GO:0004497","GO:0004497")</f>
        <v>GO:0004497</v>
      </c>
      <c r="D1147" t="s">
        <v>783</v>
      </c>
      <c r="E1147">
        <v>80</v>
      </c>
      <c r="F1147">
        <v>3</v>
      </c>
      <c r="G1147">
        <v>0.82015989092780195</v>
      </c>
      <c r="H1147">
        <v>1</v>
      </c>
      <c r="I1147" t="s">
        <v>15026</v>
      </c>
    </row>
    <row r="1148" spans="3:9" x14ac:dyDescent="0.25">
      <c r="C1148" s="3" t="str">
        <f>HYPERLINK("http://amigo.geneontology.org/amigo/term/GO:0042886","GO:0042886")</f>
        <v>GO:0042886</v>
      </c>
      <c r="D1148" t="s">
        <v>15027</v>
      </c>
      <c r="E1148">
        <v>103</v>
      </c>
      <c r="F1148">
        <v>4</v>
      </c>
      <c r="G1148">
        <v>0.821319758879969</v>
      </c>
      <c r="H1148">
        <v>1</v>
      </c>
      <c r="I1148" t="s">
        <v>15010</v>
      </c>
    </row>
    <row r="1149" spans="3:9" x14ac:dyDescent="0.25">
      <c r="C1149" s="3" t="str">
        <f>HYPERLINK("http://amigo.geneontology.org/amigo/term/GO:0006631","GO:0006631")</f>
        <v>GO:0006631</v>
      </c>
      <c r="D1149" t="s">
        <v>335</v>
      </c>
      <c r="E1149">
        <v>31</v>
      </c>
      <c r="F1149">
        <v>1</v>
      </c>
      <c r="G1149">
        <v>0.82496309285475899</v>
      </c>
      <c r="H1149">
        <v>1</v>
      </c>
      <c r="I1149" t="s">
        <v>13453</v>
      </c>
    </row>
    <row r="1150" spans="3:9" x14ac:dyDescent="0.25">
      <c r="C1150" s="3" t="str">
        <f>HYPERLINK("http://amigo.geneontology.org/amigo/term/GO:0006886","GO:0006886")</f>
        <v>GO:0006886</v>
      </c>
      <c r="D1150" t="s">
        <v>15028</v>
      </c>
      <c r="E1150">
        <v>82</v>
      </c>
      <c r="F1150">
        <v>3</v>
      </c>
      <c r="G1150">
        <v>0.83289099922342102</v>
      </c>
      <c r="H1150">
        <v>1</v>
      </c>
      <c r="I1150" t="s">
        <v>15029</v>
      </c>
    </row>
    <row r="1151" spans="3:9" x14ac:dyDescent="0.25">
      <c r="C1151" s="3" t="str">
        <f>HYPERLINK("http://amigo.geneontology.org/amigo/term/GO:0033218","GO:0033218")</f>
        <v>GO:0033218</v>
      </c>
      <c r="D1151" t="s">
        <v>13491</v>
      </c>
      <c r="E1151">
        <v>32</v>
      </c>
      <c r="F1151">
        <v>1</v>
      </c>
      <c r="G1151">
        <v>0.83455564949387495</v>
      </c>
      <c r="H1151">
        <v>1</v>
      </c>
      <c r="I1151" t="s">
        <v>13454</v>
      </c>
    </row>
    <row r="1152" spans="3:9" x14ac:dyDescent="0.25">
      <c r="C1152" s="3" t="str">
        <f>HYPERLINK("http://amigo.geneontology.org/amigo/term/GO:0006865","GO:0006865")</f>
        <v>GO:0006865</v>
      </c>
      <c r="D1152" t="s">
        <v>5232</v>
      </c>
      <c r="E1152">
        <v>32</v>
      </c>
      <c r="F1152">
        <v>1</v>
      </c>
      <c r="G1152">
        <v>0.83455564949387495</v>
      </c>
      <c r="H1152">
        <v>1</v>
      </c>
      <c r="I1152" t="s">
        <v>13668</v>
      </c>
    </row>
    <row r="1153" spans="3:9" x14ac:dyDescent="0.25">
      <c r="C1153" s="3" t="str">
        <f>HYPERLINK("http://amigo.geneontology.org/amigo/term/GO:0015291","GO:0015291")</f>
        <v>GO:0015291</v>
      </c>
      <c r="D1153" t="s">
        <v>439</v>
      </c>
      <c r="E1153">
        <v>32</v>
      </c>
      <c r="F1153">
        <v>1</v>
      </c>
      <c r="G1153">
        <v>0.83455564949387495</v>
      </c>
      <c r="H1153">
        <v>1</v>
      </c>
      <c r="I1153" t="s">
        <v>14022</v>
      </c>
    </row>
    <row r="1154" spans="3:9" x14ac:dyDescent="0.25">
      <c r="C1154" s="3" t="str">
        <f>HYPERLINK("http://amigo.geneontology.org/amigo/term/GO:0005794","GO:0005794")</f>
        <v>GO:0005794</v>
      </c>
      <c r="D1154" t="s">
        <v>15030</v>
      </c>
      <c r="E1154">
        <v>32</v>
      </c>
      <c r="F1154">
        <v>1</v>
      </c>
      <c r="G1154">
        <v>0.83455564949387495</v>
      </c>
      <c r="H1154">
        <v>1</v>
      </c>
      <c r="I1154" t="s">
        <v>14178</v>
      </c>
    </row>
    <row r="1155" spans="3:9" x14ac:dyDescent="0.25">
      <c r="C1155" s="3" t="str">
        <f>HYPERLINK("http://amigo.geneontology.org/amigo/term/GO:0005739","GO:0005739")</f>
        <v>GO:0005739</v>
      </c>
      <c r="D1155" t="s">
        <v>15031</v>
      </c>
      <c r="E1155">
        <v>128</v>
      </c>
      <c r="F1155">
        <v>5</v>
      </c>
      <c r="G1155">
        <v>0.83560325543218394</v>
      </c>
      <c r="H1155">
        <v>1</v>
      </c>
      <c r="I1155" t="s">
        <v>15032</v>
      </c>
    </row>
    <row r="1156" spans="3:9" x14ac:dyDescent="0.25">
      <c r="C1156" s="3" t="str">
        <f>HYPERLINK("http://amigo.geneontology.org/amigo/term/GO:0015318","GO:0015318")</f>
        <v>GO:0015318</v>
      </c>
      <c r="D1156" t="s">
        <v>231</v>
      </c>
      <c r="E1156">
        <v>173</v>
      </c>
      <c r="F1156">
        <v>7</v>
      </c>
      <c r="G1156">
        <v>0.84112910183288103</v>
      </c>
      <c r="H1156">
        <v>1</v>
      </c>
      <c r="I1156" t="s">
        <v>15033</v>
      </c>
    </row>
    <row r="1157" spans="3:9" x14ac:dyDescent="0.25">
      <c r="C1157" s="3" t="str">
        <f>HYPERLINK("http://amigo.geneontology.org/amigo/term/GO:0016788","GO:0016788")</f>
        <v>GO:0016788</v>
      </c>
      <c r="D1157" t="s">
        <v>115</v>
      </c>
      <c r="E1157">
        <v>216</v>
      </c>
      <c r="F1157">
        <v>9</v>
      </c>
      <c r="G1157">
        <v>0.84193785530140897</v>
      </c>
      <c r="H1157">
        <v>1</v>
      </c>
      <c r="I1157" t="s">
        <v>15034</v>
      </c>
    </row>
    <row r="1158" spans="3:9" x14ac:dyDescent="0.25">
      <c r="C1158" s="3" t="str">
        <f>HYPERLINK("http://amigo.geneontology.org/amigo/term/GO:0051246","GO:0051246")</f>
        <v>GO:0051246</v>
      </c>
      <c r="D1158" t="s">
        <v>7327</v>
      </c>
      <c r="E1158">
        <v>33</v>
      </c>
      <c r="F1158">
        <v>1</v>
      </c>
      <c r="G1158">
        <v>0.84362391660427904</v>
      </c>
      <c r="H1158">
        <v>1</v>
      </c>
      <c r="I1158" t="s">
        <v>14315</v>
      </c>
    </row>
    <row r="1159" spans="3:9" x14ac:dyDescent="0.25">
      <c r="C1159" s="3" t="str">
        <f>HYPERLINK("http://amigo.geneontology.org/amigo/term/GO:0033554","GO:0033554")</f>
        <v>GO:0033554</v>
      </c>
      <c r="D1159" t="s">
        <v>15035</v>
      </c>
      <c r="E1159">
        <v>130</v>
      </c>
      <c r="F1159">
        <v>5</v>
      </c>
      <c r="G1159">
        <v>0.84531931215462097</v>
      </c>
      <c r="H1159">
        <v>1</v>
      </c>
      <c r="I1159" t="s">
        <v>15036</v>
      </c>
    </row>
    <row r="1160" spans="3:9" x14ac:dyDescent="0.25">
      <c r="C1160" s="3" t="str">
        <f>HYPERLINK("http://amigo.geneontology.org/amigo/term/GO:0051641","GO:0051641")</f>
        <v>GO:0051641</v>
      </c>
      <c r="D1160" t="s">
        <v>15037</v>
      </c>
      <c r="E1160">
        <v>130</v>
      </c>
      <c r="F1160">
        <v>5</v>
      </c>
      <c r="G1160">
        <v>0.84531931215462097</v>
      </c>
      <c r="H1160">
        <v>1</v>
      </c>
      <c r="I1160" t="s">
        <v>14980</v>
      </c>
    </row>
    <row r="1161" spans="3:9" x14ac:dyDescent="0.25">
      <c r="C1161" s="3" t="str">
        <f>HYPERLINK("http://amigo.geneontology.org/amigo/term/GO:0032559","GO:0032559")</f>
        <v>GO:0032559</v>
      </c>
      <c r="D1161" t="s">
        <v>7026</v>
      </c>
      <c r="E1161">
        <v>485</v>
      </c>
      <c r="F1161">
        <v>22</v>
      </c>
      <c r="G1161">
        <v>0.849056122417293</v>
      </c>
      <c r="H1161">
        <v>1</v>
      </c>
      <c r="I1161" t="s">
        <v>15038</v>
      </c>
    </row>
    <row r="1162" spans="3:9" x14ac:dyDescent="0.25">
      <c r="C1162" s="3" t="str">
        <f>HYPERLINK("http://amigo.geneontology.org/amigo/term/GO:1901265","GO:1901265")</f>
        <v>GO:1901265</v>
      </c>
      <c r="D1162" t="s">
        <v>7052</v>
      </c>
      <c r="E1162">
        <v>939</v>
      </c>
      <c r="F1162">
        <v>45</v>
      </c>
      <c r="G1162">
        <v>0.85212177341161899</v>
      </c>
      <c r="H1162">
        <v>1</v>
      </c>
      <c r="I1162" t="s">
        <v>15039</v>
      </c>
    </row>
    <row r="1163" spans="3:9" x14ac:dyDescent="0.25">
      <c r="C1163" s="3" t="str">
        <f>HYPERLINK("http://amigo.geneontology.org/amigo/term/GO:0000166","GO:0000166")</f>
        <v>GO:0000166</v>
      </c>
      <c r="D1163" t="s">
        <v>7055</v>
      </c>
      <c r="E1163">
        <v>939</v>
      </c>
      <c r="F1163">
        <v>45</v>
      </c>
      <c r="G1163">
        <v>0.85212177341161899</v>
      </c>
      <c r="H1163">
        <v>1</v>
      </c>
      <c r="I1163" t="s">
        <v>15039</v>
      </c>
    </row>
    <row r="1164" spans="3:9" x14ac:dyDescent="0.25">
      <c r="C1164" s="3" t="str">
        <f>HYPERLINK("http://amigo.geneontology.org/amigo/term/GO:0030554","GO:0030554")</f>
        <v>GO:0030554</v>
      </c>
      <c r="D1164" t="s">
        <v>7029</v>
      </c>
      <c r="E1164">
        <v>487</v>
      </c>
      <c r="F1164">
        <v>22</v>
      </c>
      <c r="G1164">
        <v>0.85413583187409803</v>
      </c>
      <c r="H1164">
        <v>1</v>
      </c>
      <c r="I1164" t="s">
        <v>15038</v>
      </c>
    </row>
    <row r="1165" spans="3:9" x14ac:dyDescent="0.25">
      <c r="C1165" s="3" t="str">
        <f>HYPERLINK("http://amigo.geneontology.org/amigo/term/GO:0035556","GO:0035556")</f>
        <v>GO:0035556</v>
      </c>
      <c r="D1165" t="s">
        <v>10407</v>
      </c>
      <c r="E1165">
        <v>86</v>
      </c>
      <c r="F1165">
        <v>3</v>
      </c>
      <c r="G1165">
        <v>0.856045962046035</v>
      </c>
      <c r="H1165">
        <v>1</v>
      </c>
      <c r="I1165" t="s">
        <v>15040</v>
      </c>
    </row>
    <row r="1166" spans="3:9" x14ac:dyDescent="0.25">
      <c r="C1166" s="3" t="str">
        <f>HYPERLINK("http://amigo.geneontology.org/amigo/term/GO:0044255","GO:0044255")</f>
        <v>GO:0044255</v>
      </c>
      <c r="D1166" t="s">
        <v>258</v>
      </c>
      <c r="E1166">
        <v>110</v>
      </c>
      <c r="F1166">
        <v>4</v>
      </c>
      <c r="G1166">
        <v>0.85841562240065505</v>
      </c>
      <c r="H1166">
        <v>1</v>
      </c>
      <c r="I1166" t="s">
        <v>15041</v>
      </c>
    </row>
    <row r="1167" spans="3:9" x14ac:dyDescent="0.25">
      <c r="C1167" s="3" t="str">
        <f>HYPERLINK("http://amigo.geneontology.org/amigo/term/GO:0051726","GO:0051726")</f>
        <v>GO:0051726</v>
      </c>
      <c r="D1167" t="s">
        <v>15042</v>
      </c>
      <c r="E1167">
        <v>35</v>
      </c>
      <c r="F1167">
        <v>1</v>
      </c>
      <c r="G1167">
        <v>0.86030034191401095</v>
      </c>
      <c r="H1167">
        <v>1</v>
      </c>
      <c r="I1167" t="s">
        <v>14315</v>
      </c>
    </row>
    <row r="1168" spans="3:9" x14ac:dyDescent="0.25">
      <c r="C1168" s="3" t="str">
        <f>HYPERLINK("http://amigo.geneontology.org/amigo/term/GO:0015075","GO:0015075")</f>
        <v>GO:0015075</v>
      </c>
      <c r="D1168" t="s">
        <v>246</v>
      </c>
      <c r="E1168">
        <v>179</v>
      </c>
      <c r="F1168">
        <v>7</v>
      </c>
      <c r="G1168">
        <v>0.86497989351606197</v>
      </c>
      <c r="H1168">
        <v>1</v>
      </c>
      <c r="I1168" t="s">
        <v>15033</v>
      </c>
    </row>
    <row r="1169" spans="3:9" x14ac:dyDescent="0.25">
      <c r="C1169" s="3" t="str">
        <f>HYPERLINK("http://amigo.geneontology.org/amigo/term/GO:0005524","GO:0005524")</f>
        <v>GO:0005524</v>
      </c>
      <c r="D1169" t="s">
        <v>6927</v>
      </c>
      <c r="E1169">
        <v>473</v>
      </c>
      <c r="F1169">
        <v>21</v>
      </c>
      <c r="G1169">
        <v>0.86917879489556404</v>
      </c>
      <c r="H1169">
        <v>1</v>
      </c>
      <c r="I1169" t="s">
        <v>15043</v>
      </c>
    </row>
    <row r="1170" spans="3:9" x14ac:dyDescent="0.25">
      <c r="C1170" s="3" t="str">
        <f>HYPERLINK("http://amigo.geneontology.org/amigo/term/GO:0008080","GO:0008080")</f>
        <v>GO:0008080</v>
      </c>
      <c r="D1170" t="s">
        <v>13495</v>
      </c>
      <c r="E1170">
        <v>64</v>
      </c>
      <c r="F1170">
        <v>2</v>
      </c>
      <c r="G1170">
        <v>0.87171132566519205</v>
      </c>
      <c r="H1170">
        <v>1</v>
      </c>
      <c r="I1170" t="s">
        <v>15044</v>
      </c>
    </row>
    <row r="1171" spans="3:9" x14ac:dyDescent="0.25">
      <c r="C1171" s="3" t="str">
        <f>HYPERLINK("http://amigo.geneontology.org/amigo/term/GO:0051716","GO:0051716")</f>
        <v>GO:0051716</v>
      </c>
      <c r="D1171" t="s">
        <v>6687</v>
      </c>
      <c r="E1171">
        <v>246</v>
      </c>
      <c r="F1171">
        <v>10</v>
      </c>
      <c r="G1171">
        <v>0.87193260032179098</v>
      </c>
      <c r="H1171">
        <v>0.87193260032179098</v>
      </c>
      <c r="I1171" t="s">
        <v>15045</v>
      </c>
    </row>
    <row r="1172" spans="3:9" x14ac:dyDescent="0.25">
      <c r="C1172" s="3" t="str">
        <f>HYPERLINK("http://amigo.geneontology.org/amigo/term/GO:0008104","GO:0008104")</f>
        <v>GO:0008104</v>
      </c>
      <c r="D1172" t="s">
        <v>15046</v>
      </c>
      <c r="E1172">
        <v>113</v>
      </c>
      <c r="F1172">
        <v>4</v>
      </c>
      <c r="G1172">
        <v>0.87219195381445402</v>
      </c>
      <c r="H1172">
        <v>0.87219195381445402</v>
      </c>
      <c r="I1172" t="s">
        <v>15010</v>
      </c>
    </row>
    <row r="1173" spans="3:9" x14ac:dyDescent="0.25">
      <c r="C1173" s="3" t="str">
        <f>HYPERLINK("http://amigo.geneontology.org/amigo/term/GO:0006399","GO:0006399")</f>
        <v>GO:0006399</v>
      </c>
      <c r="D1173" t="s">
        <v>13217</v>
      </c>
      <c r="E1173">
        <v>65</v>
      </c>
      <c r="F1173">
        <v>2</v>
      </c>
      <c r="G1173">
        <v>0.87726848153706105</v>
      </c>
      <c r="H1173">
        <v>0.87726848153706105</v>
      </c>
      <c r="I1173" t="s">
        <v>14944</v>
      </c>
    </row>
    <row r="1174" spans="3:9" x14ac:dyDescent="0.25">
      <c r="C1174" s="3" t="str">
        <f>HYPERLINK("http://amigo.geneontology.org/amigo/term/GO:0098588","GO:0098588")</f>
        <v>GO:0098588</v>
      </c>
      <c r="D1174" t="s">
        <v>15047</v>
      </c>
      <c r="E1174">
        <v>65</v>
      </c>
      <c r="F1174">
        <v>2</v>
      </c>
      <c r="G1174">
        <v>0.87726848153706105</v>
      </c>
      <c r="H1174">
        <v>0.87726848153706105</v>
      </c>
      <c r="I1174" t="s">
        <v>14572</v>
      </c>
    </row>
    <row r="1175" spans="3:9" x14ac:dyDescent="0.25">
      <c r="C1175" s="3" t="str">
        <f>HYPERLINK("http://amigo.geneontology.org/amigo/term/GO:0034641","GO:0034641")</f>
        <v>GO:0034641</v>
      </c>
      <c r="D1175" t="s">
        <v>6861</v>
      </c>
      <c r="E1175">
        <v>896</v>
      </c>
      <c r="F1175">
        <v>42</v>
      </c>
      <c r="G1175">
        <v>0.88004109372681305</v>
      </c>
      <c r="H1175">
        <v>0.88004109372681305</v>
      </c>
      <c r="I1175" t="s">
        <v>15048</v>
      </c>
    </row>
    <row r="1176" spans="3:9" x14ac:dyDescent="0.25">
      <c r="C1176" s="3" t="str">
        <f>HYPERLINK("http://amigo.geneontology.org/amigo/term/GO:0044454","GO:0044454")</f>
        <v>GO:0044454</v>
      </c>
      <c r="D1176" t="s">
        <v>15049</v>
      </c>
      <c r="E1176">
        <v>38</v>
      </c>
      <c r="F1176">
        <v>1</v>
      </c>
      <c r="G1176">
        <v>0.88204851266109296</v>
      </c>
      <c r="H1176">
        <v>0.88204851266109296</v>
      </c>
      <c r="I1176" t="s">
        <v>13764</v>
      </c>
    </row>
    <row r="1177" spans="3:9" x14ac:dyDescent="0.25">
      <c r="C1177" s="3" t="str">
        <f>HYPERLINK("http://amigo.geneontology.org/amigo/term/GO:0009116","GO:0009116")</f>
        <v>GO:0009116</v>
      </c>
      <c r="D1177" t="s">
        <v>6161</v>
      </c>
      <c r="E1177">
        <v>38</v>
      </c>
      <c r="F1177">
        <v>1</v>
      </c>
      <c r="G1177">
        <v>0.88204851266109296</v>
      </c>
      <c r="H1177">
        <v>0.88204851266109296</v>
      </c>
      <c r="I1177" t="s">
        <v>13980</v>
      </c>
    </row>
    <row r="1178" spans="3:9" x14ac:dyDescent="0.25">
      <c r="C1178" s="3" t="str">
        <f>HYPERLINK("http://amigo.geneontology.org/amigo/term/GO:0016410","GO:0016410")</f>
        <v>GO:0016410</v>
      </c>
      <c r="D1178" t="s">
        <v>13496</v>
      </c>
      <c r="E1178">
        <v>66</v>
      </c>
      <c r="F1178">
        <v>2</v>
      </c>
      <c r="G1178">
        <v>0.88260328104233798</v>
      </c>
      <c r="H1178">
        <v>0.88260328104233798</v>
      </c>
      <c r="I1178" t="s">
        <v>15044</v>
      </c>
    </row>
    <row r="1179" spans="3:9" x14ac:dyDescent="0.25">
      <c r="C1179" s="3" t="str">
        <f>HYPERLINK("http://amigo.geneontology.org/amigo/term/GO:0006468","GO:0006468")</f>
        <v>GO:0006468</v>
      </c>
      <c r="D1179" t="s">
        <v>1478</v>
      </c>
      <c r="E1179">
        <v>67</v>
      </c>
      <c r="F1179">
        <v>2</v>
      </c>
      <c r="G1179">
        <v>0.88772336264280305</v>
      </c>
      <c r="H1179">
        <v>0.88772336264280305</v>
      </c>
      <c r="I1179" t="s">
        <v>15050</v>
      </c>
    </row>
    <row r="1180" spans="3:9" x14ac:dyDescent="0.25">
      <c r="C1180" s="3" t="str">
        <f>HYPERLINK("http://amigo.geneontology.org/amigo/term/GO:0015849","GO:0015849")</f>
        <v>GO:0015849</v>
      </c>
      <c r="D1180" t="s">
        <v>5320</v>
      </c>
      <c r="E1180">
        <v>39</v>
      </c>
      <c r="F1180">
        <v>1</v>
      </c>
      <c r="G1180">
        <v>0.88851966658090298</v>
      </c>
      <c r="H1180">
        <v>0.88851966658090298</v>
      </c>
      <c r="I1180" t="s">
        <v>13668</v>
      </c>
    </row>
    <row r="1181" spans="3:9" x14ac:dyDescent="0.25">
      <c r="C1181" s="3" t="str">
        <f>HYPERLINK("http://amigo.geneontology.org/amigo/term/GO:0046942","GO:0046942")</f>
        <v>GO:0046942</v>
      </c>
      <c r="D1181" t="s">
        <v>5322</v>
      </c>
      <c r="E1181">
        <v>39</v>
      </c>
      <c r="F1181">
        <v>1</v>
      </c>
      <c r="G1181">
        <v>0.88851966658090298</v>
      </c>
      <c r="H1181">
        <v>0.88851966658090298</v>
      </c>
      <c r="I1181" t="s">
        <v>13668</v>
      </c>
    </row>
    <row r="1182" spans="3:9" x14ac:dyDescent="0.25">
      <c r="C1182" s="3" t="str">
        <f>HYPERLINK("http://amigo.geneontology.org/amigo/term/GO:1901657","GO:1901657")</f>
        <v>GO:1901657</v>
      </c>
      <c r="D1182" t="s">
        <v>6288</v>
      </c>
      <c r="E1182">
        <v>39</v>
      </c>
      <c r="F1182">
        <v>1</v>
      </c>
      <c r="G1182">
        <v>0.88851966658090298</v>
      </c>
      <c r="H1182">
        <v>0.88851966658090298</v>
      </c>
      <c r="I1182" t="s">
        <v>13980</v>
      </c>
    </row>
    <row r="1183" spans="3:9" x14ac:dyDescent="0.25">
      <c r="C1183" s="3" t="str">
        <f>HYPERLINK("http://amigo.geneontology.org/amigo/term/GO:0005515","GO:0005515")</f>
        <v>GO:0005515</v>
      </c>
      <c r="D1183" t="s">
        <v>6859</v>
      </c>
      <c r="E1183">
        <v>625</v>
      </c>
      <c r="F1183">
        <v>28</v>
      </c>
      <c r="G1183">
        <v>0.89136967332306904</v>
      </c>
      <c r="H1183">
        <v>0.89136967332306904</v>
      </c>
      <c r="I1183" t="s">
        <v>15051</v>
      </c>
    </row>
    <row r="1184" spans="3:9" x14ac:dyDescent="0.25">
      <c r="C1184" s="3" t="str">
        <f>HYPERLINK("http://amigo.geneontology.org/amigo/term/GO:0032553","GO:0032553")</f>
        <v>GO:0032553</v>
      </c>
      <c r="D1184" t="s">
        <v>7031</v>
      </c>
      <c r="E1184">
        <v>627</v>
      </c>
      <c r="F1184">
        <v>28</v>
      </c>
      <c r="G1184">
        <v>0.89496989481391498</v>
      </c>
      <c r="H1184">
        <v>0.89496989481391498</v>
      </c>
      <c r="I1184" t="s">
        <v>15052</v>
      </c>
    </row>
    <row r="1185" spans="3:9" x14ac:dyDescent="0.25">
      <c r="C1185" s="3" t="str">
        <f>HYPERLINK("http://amigo.geneontology.org/amigo/term/GO:0098796","GO:0098796")</f>
        <v>GO:0098796</v>
      </c>
      <c r="D1185" t="s">
        <v>8809</v>
      </c>
      <c r="E1185">
        <v>95</v>
      </c>
      <c r="F1185">
        <v>3</v>
      </c>
      <c r="G1185">
        <v>0.898145265695102</v>
      </c>
      <c r="H1185">
        <v>0.898145265695102</v>
      </c>
      <c r="I1185" t="s">
        <v>15053</v>
      </c>
    </row>
    <row r="1186" spans="3:9" x14ac:dyDescent="0.25">
      <c r="C1186" s="3" t="str">
        <f>HYPERLINK("http://amigo.geneontology.org/amigo/term/GO:0097367","GO:0097367")</f>
        <v>GO:0097367</v>
      </c>
      <c r="D1186" t="s">
        <v>7019</v>
      </c>
      <c r="E1186">
        <v>649</v>
      </c>
      <c r="F1186">
        <v>29</v>
      </c>
      <c r="G1186">
        <v>0.89825074275307604</v>
      </c>
      <c r="H1186">
        <v>0.89825074275307604</v>
      </c>
      <c r="I1186" t="s">
        <v>15054</v>
      </c>
    </row>
    <row r="1187" spans="3:9" x14ac:dyDescent="0.25">
      <c r="C1187" s="3" t="str">
        <f>HYPERLINK("http://amigo.geneontology.org/amigo/term/GO:0000228","GO:0000228")</f>
        <v>GO:0000228</v>
      </c>
      <c r="D1187" t="s">
        <v>15055</v>
      </c>
      <c r="E1187">
        <v>41</v>
      </c>
      <c r="F1187">
        <v>1</v>
      </c>
      <c r="G1187">
        <v>0.90041907801777499</v>
      </c>
      <c r="H1187">
        <v>0.90041907801777499</v>
      </c>
      <c r="I1187" t="s">
        <v>13764</v>
      </c>
    </row>
    <row r="1188" spans="3:9" x14ac:dyDescent="0.25">
      <c r="C1188" s="3" t="str">
        <f>HYPERLINK("http://amigo.geneontology.org/amigo/term/GO:0006397","GO:0006397")</f>
        <v>GO:0006397</v>
      </c>
      <c r="D1188" t="s">
        <v>15056</v>
      </c>
      <c r="E1188">
        <v>41</v>
      </c>
      <c r="F1188">
        <v>1</v>
      </c>
      <c r="G1188">
        <v>0.90041907801777499</v>
      </c>
      <c r="H1188">
        <v>0.90041907801777499</v>
      </c>
      <c r="I1188" t="s">
        <v>14184</v>
      </c>
    </row>
    <row r="1189" spans="3:9" x14ac:dyDescent="0.25">
      <c r="C1189" s="3" t="str">
        <f>HYPERLINK("http://amigo.geneontology.org/amigo/term/GO:0071705","GO:0071705")</f>
        <v>GO:0071705</v>
      </c>
      <c r="D1189" t="s">
        <v>13436</v>
      </c>
      <c r="E1189">
        <v>144</v>
      </c>
      <c r="F1189">
        <v>5</v>
      </c>
      <c r="G1189">
        <v>0.90081531542344095</v>
      </c>
      <c r="H1189">
        <v>0.90081531542344095</v>
      </c>
      <c r="I1189" t="s">
        <v>15057</v>
      </c>
    </row>
    <row r="1190" spans="3:9" x14ac:dyDescent="0.25">
      <c r="C1190" s="3" t="str">
        <f>HYPERLINK("http://amigo.geneontology.org/amigo/term/GO:0017111","GO:0017111")</f>
        <v>GO:0017111</v>
      </c>
      <c r="D1190" t="s">
        <v>10193</v>
      </c>
      <c r="E1190">
        <v>214</v>
      </c>
      <c r="F1190">
        <v>8</v>
      </c>
      <c r="G1190">
        <v>0.90537264654796001</v>
      </c>
      <c r="H1190">
        <v>0.90537264654796001</v>
      </c>
      <c r="I1190" t="s">
        <v>15058</v>
      </c>
    </row>
    <row r="1191" spans="3:9" x14ac:dyDescent="0.25">
      <c r="C1191" s="3" t="str">
        <f>HYPERLINK("http://amigo.geneontology.org/amigo/term/GO:0007264","GO:0007264")</f>
        <v>GO:0007264</v>
      </c>
      <c r="D1191" t="s">
        <v>15059</v>
      </c>
      <c r="E1191">
        <v>42</v>
      </c>
      <c r="F1191">
        <v>1</v>
      </c>
      <c r="G1191">
        <v>0.90588492621950201</v>
      </c>
      <c r="H1191">
        <v>0.90588492621950201</v>
      </c>
      <c r="I1191" t="s">
        <v>13779</v>
      </c>
    </row>
    <row r="1192" spans="3:9" x14ac:dyDescent="0.25">
      <c r="C1192" s="3" t="str">
        <f>HYPERLINK("http://amigo.geneontology.org/amigo/term/GO:0005740","GO:0005740")</f>
        <v>GO:0005740</v>
      </c>
      <c r="D1192" t="s">
        <v>15060</v>
      </c>
      <c r="E1192">
        <v>71</v>
      </c>
      <c r="F1192">
        <v>2</v>
      </c>
      <c r="G1192">
        <v>0.90620327795468003</v>
      </c>
      <c r="H1192">
        <v>0.90620327795468003</v>
      </c>
      <c r="I1192" t="s">
        <v>15061</v>
      </c>
    </row>
    <row r="1193" spans="3:9" x14ac:dyDescent="0.25">
      <c r="C1193" s="3" t="str">
        <f>HYPERLINK("http://amigo.geneontology.org/amigo/term/GO:0033036","GO:0033036")</f>
        <v>GO:0033036</v>
      </c>
      <c r="D1193" t="s">
        <v>6692</v>
      </c>
      <c r="E1193">
        <v>122</v>
      </c>
      <c r="F1193">
        <v>4</v>
      </c>
      <c r="G1193">
        <v>0.90680747772256598</v>
      </c>
      <c r="H1193">
        <v>0.90680747772256598</v>
      </c>
      <c r="I1193" t="s">
        <v>15010</v>
      </c>
    </row>
    <row r="1194" spans="3:9" x14ac:dyDescent="0.25">
      <c r="C1194" s="3" t="str">
        <f>HYPERLINK("http://amigo.geneontology.org/amigo/term/GO:0043412","GO:0043412")</f>
        <v>GO:0043412</v>
      </c>
      <c r="D1194" t="s">
        <v>7041</v>
      </c>
      <c r="E1194">
        <v>215</v>
      </c>
      <c r="F1194">
        <v>8</v>
      </c>
      <c r="G1194">
        <v>0.90797315866149098</v>
      </c>
      <c r="H1194">
        <v>0.90797315866149098</v>
      </c>
      <c r="I1194" t="s">
        <v>15019</v>
      </c>
    </row>
    <row r="1195" spans="3:9" x14ac:dyDescent="0.25">
      <c r="C1195" s="3" t="str">
        <f>HYPERLINK("http://amigo.geneontology.org/amigo/term/GO:0070727","GO:0070727")</f>
        <v>GO:0070727</v>
      </c>
      <c r="D1195" t="s">
        <v>15062</v>
      </c>
      <c r="E1195">
        <v>98</v>
      </c>
      <c r="F1195">
        <v>3</v>
      </c>
      <c r="G1195">
        <v>0.90950358759960703</v>
      </c>
      <c r="H1195">
        <v>0.90950358759960703</v>
      </c>
      <c r="I1195" t="s">
        <v>15029</v>
      </c>
    </row>
    <row r="1196" spans="3:9" x14ac:dyDescent="0.25">
      <c r="C1196" s="3" t="str">
        <f>HYPERLINK("http://amigo.geneontology.org/amigo/term/GO:0034613","GO:0034613")</f>
        <v>GO:0034613</v>
      </c>
      <c r="D1196" t="s">
        <v>15063</v>
      </c>
      <c r="E1196">
        <v>98</v>
      </c>
      <c r="F1196">
        <v>3</v>
      </c>
      <c r="G1196">
        <v>0.90950358759960703</v>
      </c>
      <c r="H1196">
        <v>0.90950358759960703</v>
      </c>
      <c r="I1196" t="s">
        <v>15029</v>
      </c>
    </row>
    <row r="1197" spans="3:9" x14ac:dyDescent="0.25">
      <c r="C1197" s="3" t="str">
        <f>HYPERLINK("http://amigo.geneontology.org/amigo/term/GO:0015711","GO:0015711")</f>
        <v>GO:0015711</v>
      </c>
      <c r="D1197" t="s">
        <v>7210</v>
      </c>
      <c r="E1197">
        <v>43</v>
      </c>
      <c r="F1197">
        <v>1</v>
      </c>
      <c r="G1197">
        <v>0.91105156782682295</v>
      </c>
      <c r="H1197">
        <v>0.91105156782682295</v>
      </c>
      <c r="I1197" t="s">
        <v>13668</v>
      </c>
    </row>
    <row r="1198" spans="3:9" x14ac:dyDescent="0.25">
      <c r="C1198" s="3" t="str">
        <f>HYPERLINK("http://amigo.geneontology.org/amigo/term/GO:0006325","GO:0006325")</f>
        <v>GO:0006325</v>
      </c>
      <c r="D1198" t="s">
        <v>15064</v>
      </c>
      <c r="E1198">
        <v>43</v>
      </c>
      <c r="F1198">
        <v>1</v>
      </c>
      <c r="G1198">
        <v>0.91105156782682295</v>
      </c>
      <c r="H1198">
        <v>0.91105156782682295</v>
      </c>
      <c r="I1198" t="s">
        <v>13764</v>
      </c>
    </row>
    <row r="1199" spans="3:9" x14ac:dyDescent="0.25">
      <c r="C1199" s="3" t="str">
        <f>HYPERLINK("http://amigo.geneontology.org/amigo/term/GO:0016462","GO:0016462")</f>
        <v>GO:0016462</v>
      </c>
      <c r="D1199" t="s">
        <v>10208</v>
      </c>
      <c r="E1199">
        <v>221</v>
      </c>
      <c r="F1199">
        <v>8</v>
      </c>
      <c r="G1199">
        <v>0.92233688515642998</v>
      </c>
      <c r="H1199">
        <v>0.92233688515642998</v>
      </c>
      <c r="I1199" t="s">
        <v>15058</v>
      </c>
    </row>
    <row r="1200" spans="3:9" x14ac:dyDescent="0.25">
      <c r="C1200" s="3" t="str">
        <f>HYPERLINK("http://amigo.geneontology.org/amigo/term/GO:0044444","GO:0044444")</f>
        <v>GO:0044444</v>
      </c>
      <c r="D1200" t="s">
        <v>13508</v>
      </c>
      <c r="E1200">
        <v>522</v>
      </c>
      <c r="F1200">
        <v>22</v>
      </c>
      <c r="G1200">
        <v>0.92360851009525402</v>
      </c>
      <c r="H1200">
        <v>0.92360851009525402</v>
      </c>
      <c r="I1200" t="s">
        <v>15065</v>
      </c>
    </row>
    <row r="1201" spans="3:9" x14ac:dyDescent="0.25">
      <c r="C1201" s="3" t="str">
        <f>HYPERLINK("http://amigo.geneontology.org/amigo/term/GO:0005743","GO:0005743")</f>
        <v>GO:0005743</v>
      </c>
      <c r="D1201" t="s">
        <v>15066</v>
      </c>
      <c r="E1201">
        <v>46</v>
      </c>
      <c r="F1201">
        <v>1</v>
      </c>
      <c r="G1201">
        <v>0.92491520235638003</v>
      </c>
      <c r="H1201">
        <v>0.92491520235638003</v>
      </c>
      <c r="I1201" t="s">
        <v>13975</v>
      </c>
    </row>
    <row r="1202" spans="3:9" x14ac:dyDescent="0.25">
      <c r="C1202" s="3" t="str">
        <f>HYPERLINK("http://amigo.geneontology.org/amigo/term/GO:0071702","GO:0071702")</f>
        <v>GO:0071702</v>
      </c>
      <c r="D1202" t="s">
        <v>13446</v>
      </c>
      <c r="E1202">
        <v>153</v>
      </c>
      <c r="F1202">
        <v>5</v>
      </c>
      <c r="G1202">
        <v>0.92658999809907405</v>
      </c>
      <c r="H1202">
        <v>0.92658999809907405</v>
      </c>
      <c r="I1202" t="s">
        <v>15057</v>
      </c>
    </row>
    <row r="1203" spans="3:9" x14ac:dyDescent="0.25">
      <c r="C1203" s="3" t="str">
        <f>HYPERLINK("http://amigo.geneontology.org/amigo/term/GO:0004672","GO:0004672")</f>
        <v>GO:0004672</v>
      </c>
      <c r="D1203" t="s">
        <v>1481</v>
      </c>
      <c r="E1203">
        <v>129</v>
      </c>
      <c r="F1203">
        <v>4</v>
      </c>
      <c r="G1203">
        <v>0.92771753990500905</v>
      </c>
      <c r="H1203">
        <v>0.92771753990500905</v>
      </c>
      <c r="I1203" t="s">
        <v>15067</v>
      </c>
    </row>
    <row r="1204" spans="3:9" x14ac:dyDescent="0.25">
      <c r="C1204" s="3" t="str">
        <f>HYPERLINK("http://amigo.geneontology.org/amigo/term/GO:0016818","GO:0016818")</f>
        <v>GO:0016818</v>
      </c>
      <c r="D1204" t="s">
        <v>10218</v>
      </c>
      <c r="E1204">
        <v>224</v>
      </c>
      <c r="F1204">
        <v>8</v>
      </c>
      <c r="G1204">
        <v>0.92876709261724399</v>
      </c>
      <c r="H1204">
        <v>0.92876709261724399</v>
      </c>
      <c r="I1204" t="s">
        <v>15058</v>
      </c>
    </row>
    <row r="1205" spans="3:9" x14ac:dyDescent="0.25">
      <c r="C1205" s="3" t="str">
        <f>HYPERLINK("http://amigo.geneontology.org/amigo/term/GO:0019866","GO:0019866")</f>
        <v>GO:0019866</v>
      </c>
      <c r="D1205" t="s">
        <v>15068</v>
      </c>
      <c r="E1205">
        <v>47</v>
      </c>
      <c r="F1205">
        <v>1</v>
      </c>
      <c r="G1205">
        <v>0.92903971059175094</v>
      </c>
      <c r="H1205">
        <v>0.92903971059175094</v>
      </c>
      <c r="I1205" t="s">
        <v>13975</v>
      </c>
    </row>
    <row r="1206" spans="3:9" x14ac:dyDescent="0.25">
      <c r="C1206" s="3" t="str">
        <f>HYPERLINK("http://amigo.geneontology.org/amigo/term/GO:0003723","GO:0003723")</f>
        <v>GO:0003723</v>
      </c>
      <c r="D1206" t="s">
        <v>15069</v>
      </c>
      <c r="E1206">
        <v>155</v>
      </c>
      <c r="F1206">
        <v>5</v>
      </c>
      <c r="G1206">
        <v>0.93144093645084902</v>
      </c>
      <c r="H1206">
        <v>0.93144093645084902</v>
      </c>
      <c r="I1206" t="s">
        <v>15070</v>
      </c>
    </row>
    <row r="1207" spans="3:9" x14ac:dyDescent="0.25">
      <c r="C1207" s="3" t="str">
        <f>HYPERLINK("http://amigo.geneontology.org/amigo/term/GO:0044427","GO:0044427")</f>
        <v>GO:0044427</v>
      </c>
      <c r="D1207" t="s">
        <v>15071</v>
      </c>
      <c r="E1207">
        <v>78</v>
      </c>
      <c r="F1207">
        <v>2</v>
      </c>
      <c r="G1207">
        <v>0.93188221641878199</v>
      </c>
      <c r="H1207">
        <v>0.93188221641878199</v>
      </c>
      <c r="I1207" t="s">
        <v>15072</v>
      </c>
    </row>
    <row r="1208" spans="3:9" x14ac:dyDescent="0.25">
      <c r="C1208" s="3" t="str">
        <f>HYPERLINK("http://amigo.geneontology.org/amigo/term/GO:0016817","GO:0016817")</f>
        <v>GO:0016817</v>
      </c>
      <c r="D1208" t="s">
        <v>10225</v>
      </c>
      <c r="E1208">
        <v>226</v>
      </c>
      <c r="F1208">
        <v>8</v>
      </c>
      <c r="G1208">
        <v>0.93279367423008197</v>
      </c>
      <c r="H1208">
        <v>0.93279367423008197</v>
      </c>
      <c r="I1208" t="s">
        <v>15058</v>
      </c>
    </row>
    <row r="1209" spans="3:9" x14ac:dyDescent="0.25">
      <c r="C1209" s="3" t="str">
        <f>HYPERLINK("http://amigo.geneontology.org/amigo/term/GO:0071949","GO:0071949")</f>
        <v>GO:0071949</v>
      </c>
      <c r="D1209" t="s">
        <v>10156</v>
      </c>
      <c r="E1209">
        <v>48</v>
      </c>
      <c r="F1209">
        <v>1</v>
      </c>
      <c r="G1209">
        <v>0.93293826246774503</v>
      </c>
      <c r="H1209">
        <v>0.93293826246774503</v>
      </c>
      <c r="I1209" t="s">
        <v>14245</v>
      </c>
    </row>
    <row r="1210" spans="3:9" x14ac:dyDescent="0.25">
      <c r="C1210" s="3" t="str">
        <f>HYPERLINK("http://amigo.geneontology.org/amigo/term/GO:0016071","GO:0016071")</f>
        <v>GO:0016071</v>
      </c>
      <c r="D1210" t="s">
        <v>15073</v>
      </c>
      <c r="E1210">
        <v>49</v>
      </c>
      <c r="F1210">
        <v>1</v>
      </c>
      <c r="G1210">
        <v>0.93662320339800798</v>
      </c>
      <c r="H1210">
        <v>0.93662320339800798</v>
      </c>
      <c r="I1210" t="s">
        <v>14184</v>
      </c>
    </row>
    <row r="1211" spans="3:9" x14ac:dyDescent="0.25">
      <c r="C1211" s="3" t="str">
        <f>HYPERLINK("http://amigo.geneontology.org/amigo/term/GO:0032555","GO:0032555")</f>
        <v>GO:0032555</v>
      </c>
      <c r="D1211" t="s">
        <v>7046</v>
      </c>
      <c r="E1211">
        <v>578</v>
      </c>
      <c r="F1211">
        <v>24</v>
      </c>
      <c r="G1211">
        <v>0.94272261358499898</v>
      </c>
      <c r="H1211">
        <v>0.94272261358499898</v>
      </c>
      <c r="I1211" t="s">
        <v>15074</v>
      </c>
    </row>
    <row r="1212" spans="3:9" x14ac:dyDescent="0.25">
      <c r="C1212" s="3" t="str">
        <f>HYPERLINK("http://amigo.geneontology.org/amigo/term/GO:0140097","GO:0140097")</f>
        <v>GO:0140097</v>
      </c>
      <c r="D1212" t="s">
        <v>15075</v>
      </c>
      <c r="E1212">
        <v>51</v>
      </c>
      <c r="F1212">
        <v>1</v>
      </c>
      <c r="G1212">
        <v>0.94339830721581897</v>
      </c>
      <c r="H1212">
        <v>0.94339830721581897</v>
      </c>
      <c r="I1212" t="s">
        <v>14030</v>
      </c>
    </row>
    <row r="1213" spans="3:9" x14ac:dyDescent="0.25">
      <c r="C1213" s="3" t="str">
        <f>HYPERLINK("http://amigo.geneontology.org/amigo/term/GO:0017076","GO:0017076")</f>
        <v>GO:0017076</v>
      </c>
      <c r="D1213" t="s">
        <v>7057</v>
      </c>
      <c r="E1213">
        <v>580</v>
      </c>
      <c r="F1213">
        <v>24</v>
      </c>
      <c r="G1213">
        <v>0.94498460259274097</v>
      </c>
      <c r="H1213">
        <v>0.94498460259274097</v>
      </c>
      <c r="I1213" t="s">
        <v>15074</v>
      </c>
    </row>
    <row r="1214" spans="3:9" x14ac:dyDescent="0.25">
      <c r="C1214" s="3" t="str">
        <f>HYPERLINK("http://amigo.geneontology.org/amigo/term/GO:0043233","GO:0043233")</f>
        <v>GO:0043233</v>
      </c>
      <c r="D1214" t="s">
        <v>8836</v>
      </c>
      <c r="E1214">
        <v>137</v>
      </c>
      <c r="F1214">
        <v>4</v>
      </c>
      <c r="G1214">
        <v>0.94637650796402895</v>
      </c>
      <c r="H1214">
        <v>0.94637650796402895</v>
      </c>
      <c r="I1214" t="s">
        <v>15076</v>
      </c>
    </row>
    <row r="1215" spans="3:9" x14ac:dyDescent="0.25">
      <c r="C1215" s="3" t="str">
        <f>HYPERLINK("http://amigo.geneontology.org/amigo/term/GO:0070013","GO:0070013")</f>
        <v>GO:0070013</v>
      </c>
      <c r="D1215" t="s">
        <v>8837</v>
      </c>
      <c r="E1215">
        <v>137</v>
      </c>
      <c r="F1215">
        <v>4</v>
      </c>
      <c r="G1215">
        <v>0.94637650796402895</v>
      </c>
      <c r="H1215">
        <v>0.94637650796402895</v>
      </c>
      <c r="I1215" t="s">
        <v>15076</v>
      </c>
    </row>
    <row r="1216" spans="3:9" x14ac:dyDescent="0.25">
      <c r="C1216" s="3" t="str">
        <f>HYPERLINK("http://amigo.geneontology.org/amigo/term/GO:0043604","GO:0043604")</f>
        <v>GO:0043604</v>
      </c>
      <c r="D1216" t="s">
        <v>15077</v>
      </c>
      <c r="E1216">
        <v>187</v>
      </c>
      <c r="F1216">
        <v>6</v>
      </c>
      <c r="G1216">
        <v>0.94740028816667299</v>
      </c>
      <c r="H1216">
        <v>0.94740028816667299</v>
      </c>
      <c r="I1216" t="s">
        <v>15078</v>
      </c>
    </row>
    <row r="1217" spans="3:9" x14ac:dyDescent="0.25">
      <c r="C1217" s="3" t="str">
        <f>HYPERLINK("http://amigo.geneontology.org/amigo/term/GO:0031975","GO:0031975")</f>
        <v>GO:0031975</v>
      </c>
      <c r="D1217" t="s">
        <v>15079</v>
      </c>
      <c r="E1217">
        <v>84</v>
      </c>
      <c r="F1217">
        <v>2</v>
      </c>
      <c r="G1217">
        <v>0.94845976839697299</v>
      </c>
      <c r="H1217">
        <v>0.94845976839697299</v>
      </c>
      <c r="I1217" t="s">
        <v>15061</v>
      </c>
    </row>
    <row r="1218" spans="3:9" x14ac:dyDescent="0.25">
      <c r="C1218" s="3" t="str">
        <f>HYPERLINK("http://amigo.geneontology.org/amigo/term/GO:0031967","GO:0031967")</f>
        <v>GO:0031967</v>
      </c>
      <c r="D1218" t="s">
        <v>15080</v>
      </c>
      <c r="E1218">
        <v>84</v>
      </c>
      <c r="F1218">
        <v>2</v>
      </c>
      <c r="G1218">
        <v>0.94845976839697299</v>
      </c>
      <c r="H1218">
        <v>0.94845976839697299</v>
      </c>
      <c r="I1218" t="s">
        <v>15061</v>
      </c>
    </row>
    <row r="1219" spans="3:9" x14ac:dyDescent="0.25">
      <c r="C1219" s="3" t="str">
        <f>HYPERLINK("http://amigo.geneontology.org/amigo/term/GO:0044451","GO:0044451")</f>
        <v>GO:0044451</v>
      </c>
      <c r="D1219" t="s">
        <v>8760</v>
      </c>
      <c r="E1219">
        <v>53</v>
      </c>
      <c r="F1219">
        <v>1</v>
      </c>
      <c r="G1219">
        <v>0.94945097587354699</v>
      </c>
      <c r="H1219">
        <v>0.94945097587354699</v>
      </c>
      <c r="I1219" t="s">
        <v>14184</v>
      </c>
    </row>
    <row r="1220" spans="3:9" x14ac:dyDescent="0.25">
      <c r="C1220" s="3" t="str">
        <f>HYPERLINK("http://amigo.geneontology.org/amigo/term/GO:0043565","GO:0043565")</f>
        <v>GO:0043565</v>
      </c>
      <c r="D1220" t="s">
        <v>5129</v>
      </c>
      <c r="E1220">
        <v>54</v>
      </c>
      <c r="F1220">
        <v>1</v>
      </c>
      <c r="G1220">
        <v>0.952230737861954</v>
      </c>
      <c r="H1220">
        <v>0.952230737861954</v>
      </c>
      <c r="I1220" t="s">
        <v>13877</v>
      </c>
    </row>
    <row r="1221" spans="3:9" x14ac:dyDescent="0.25">
      <c r="C1221" s="3" t="str">
        <f>HYPERLINK("http://amigo.geneontology.org/amigo/term/GO:0035639","GO:0035639")</f>
        <v>GO:0035639</v>
      </c>
      <c r="D1221" t="s">
        <v>6966</v>
      </c>
      <c r="E1221">
        <v>566</v>
      </c>
      <c r="F1221">
        <v>23</v>
      </c>
      <c r="G1221">
        <v>0.95230443876955495</v>
      </c>
      <c r="H1221">
        <v>0.95230443876955495</v>
      </c>
      <c r="I1221" t="s">
        <v>15081</v>
      </c>
    </row>
    <row r="1222" spans="3:9" x14ac:dyDescent="0.25">
      <c r="C1222" s="3" t="str">
        <f>HYPERLINK("http://amigo.geneontology.org/amigo/term/GO:0044267","GO:0044267")</f>
        <v>GO:0044267</v>
      </c>
      <c r="D1222" t="s">
        <v>7194</v>
      </c>
      <c r="E1222">
        <v>395</v>
      </c>
      <c r="F1222">
        <v>15</v>
      </c>
      <c r="G1222">
        <v>0.95242996331951701</v>
      </c>
      <c r="H1222">
        <v>0.95242996331951701</v>
      </c>
      <c r="I1222" t="s">
        <v>15082</v>
      </c>
    </row>
    <row r="1223" spans="3:9" x14ac:dyDescent="0.25">
      <c r="C1223" s="3" t="str">
        <f>HYPERLINK("http://amigo.geneontology.org/amigo/term/GO:0005694","GO:0005694")</f>
        <v>GO:0005694</v>
      </c>
      <c r="D1223" t="s">
        <v>15083</v>
      </c>
      <c r="E1223">
        <v>86</v>
      </c>
      <c r="F1223">
        <v>2</v>
      </c>
      <c r="G1223">
        <v>0.95307591275175996</v>
      </c>
      <c r="H1223">
        <v>0.95307591275175996</v>
      </c>
      <c r="I1223" t="s">
        <v>15072</v>
      </c>
    </row>
    <row r="1224" spans="3:9" x14ac:dyDescent="0.25">
      <c r="C1224" s="3" t="str">
        <f>HYPERLINK("http://amigo.geneontology.org/amigo/term/GO:0044429","GO:0044429")</f>
        <v>GO:0044429</v>
      </c>
      <c r="D1224" t="s">
        <v>15084</v>
      </c>
      <c r="E1224">
        <v>86</v>
      </c>
      <c r="F1224">
        <v>2</v>
      </c>
      <c r="G1224">
        <v>0.95307591275175996</v>
      </c>
      <c r="H1224">
        <v>0.95307591275175996</v>
      </c>
      <c r="I1224" t="s">
        <v>15061</v>
      </c>
    </row>
    <row r="1225" spans="3:9" x14ac:dyDescent="0.25">
      <c r="C1225" s="3" t="str">
        <f>HYPERLINK("http://amigo.geneontology.org/amigo/term/GO:0008237","GO:0008237")</f>
        <v>GO:0008237</v>
      </c>
      <c r="D1225" t="s">
        <v>15085</v>
      </c>
      <c r="E1225">
        <v>55</v>
      </c>
      <c r="F1225">
        <v>1</v>
      </c>
      <c r="G1225">
        <v>0.95485804727872203</v>
      </c>
      <c r="H1225">
        <v>0.95485804727872203</v>
      </c>
      <c r="I1225" t="s">
        <v>13949</v>
      </c>
    </row>
    <row r="1226" spans="3:9" x14ac:dyDescent="0.25">
      <c r="C1226" s="3" t="str">
        <f>HYPERLINK("http://amigo.geneontology.org/amigo/term/GO:0031090","GO:0031090")</f>
        <v>GO:0031090</v>
      </c>
      <c r="D1226" t="s">
        <v>15086</v>
      </c>
      <c r="E1226">
        <v>117</v>
      </c>
      <c r="F1226">
        <v>3</v>
      </c>
      <c r="G1226">
        <v>0.95842988940235996</v>
      </c>
      <c r="H1226">
        <v>0.95842988940235996</v>
      </c>
      <c r="I1226" t="s">
        <v>15087</v>
      </c>
    </row>
    <row r="1227" spans="3:9" x14ac:dyDescent="0.25">
      <c r="C1227" s="3" t="str">
        <f>HYPERLINK("http://amigo.geneontology.org/amigo/term/GO:0044430","GO:0044430")</f>
        <v>GO:0044430</v>
      </c>
      <c r="D1227" t="s">
        <v>1548</v>
      </c>
      <c r="E1227">
        <v>57</v>
      </c>
      <c r="F1227">
        <v>1</v>
      </c>
      <c r="G1227">
        <v>0.95968820775068797</v>
      </c>
      <c r="H1227">
        <v>0.95968820775068797</v>
      </c>
      <c r="I1227" t="s">
        <v>13671</v>
      </c>
    </row>
    <row r="1228" spans="3:9" x14ac:dyDescent="0.25">
      <c r="C1228" s="3" t="str">
        <f>HYPERLINK("http://amigo.geneontology.org/amigo/term/GO:0005654","GO:0005654")</f>
        <v>GO:0005654</v>
      </c>
      <c r="D1228" t="s">
        <v>8764</v>
      </c>
      <c r="E1228">
        <v>57</v>
      </c>
      <c r="F1228">
        <v>1</v>
      </c>
      <c r="G1228">
        <v>0.95968820775068797</v>
      </c>
      <c r="H1228">
        <v>0.95968820775068797</v>
      </c>
      <c r="I1228" t="s">
        <v>14184</v>
      </c>
    </row>
    <row r="1229" spans="3:9" x14ac:dyDescent="0.25">
      <c r="C1229" s="3" t="str">
        <f>HYPERLINK("http://amigo.geneontology.org/amigo/term/GO:0046914","GO:0046914")</f>
        <v>GO:0046914</v>
      </c>
      <c r="D1229" t="s">
        <v>5615</v>
      </c>
      <c r="E1229">
        <v>743</v>
      </c>
      <c r="F1229">
        <v>31</v>
      </c>
      <c r="G1229">
        <v>0.96130099069526898</v>
      </c>
      <c r="H1229">
        <v>0.96130099069526898</v>
      </c>
      <c r="I1229" t="s">
        <v>15088</v>
      </c>
    </row>
    <row r="1230" spans="3:9" x14ac:dyDescent="0.25">
      <c r="C1230" s="3" t="str">
        <f>HYPERLINK("http://amigo.geneontology.org/amigo/term/GO:0006820","GO:0006820")</f>
        <v>GO:0006820</v>
      </c>
      <c r="D1230" t="s">
        <v>5482</v>
      </c>
      <c r="E1230">
        <v>58</v>
      </c>
      <c r="F1230">
        <v>1</v>
      </c>
      <c r="G1230">
        <v>0.96190639610106299</v>
      </c>
      <c r="H1230">
        <v>0.96190639610106299</v>
      </c>
      <c r="I1230" t="s">
        <v>13668</v>
      </c>
    </row>
    <row r="1231" spans="3:9" x14ac:dyDescent="0.25">
      <c r="C1231" s="3" t="str">
        <f>HYPERLINK("http://amigo.geneontology.org/amigo/term/GO:0005856","GO:0005856")</f>
        <v>GO:0005856</v>
      </c>
      <c r="D1231" t="s">
        <v>759</v>
      </c>
      <c r="E1231">
        <v>58</v>
      </c>
      <c r="F1231">
        <v>1</v>
      </c>
      <c r="G1231">
        <v>0.96190639610106299</v>
      </c>
      <c r="H1231">
        <v>0.96190639610106299</v>
      </c>
      <c r="I1231" t="s">
        <v>13671</v>
      </c>
    </row>
    <row r="1232" spans="3:9" x14ac:dyDescent="0.25">
      <c r="C1232" s="3" t="str">
        <f>HYPERLINK("http://amigo.geneontology.org/amigo/term/GO:0034660","GO:0034660")</f>
        <v>GO:0034660</v>
      </c>
      <c r="D1232" t="s">
        <v>15089</v>
      </c>
      <c r="E1232">
        <v>92</v>
      </c>
      <c r="F1232">
        <v>2</v>
      </c>
      <c r="G1232">
        <v>0.964673750332675</v>
      </c>
      <c r="H1232">
        <v>0.964673750332675</v>
      </c>
      <c r="I1232" t="s">
        <v>14944</v>
      </c>
    </row>
    <row r="1233" spans="3:9" x14ac:dyDescent="0.25">
      <c r="C1233" s="3" t="str">
        <f>HYPERLINK("http://amigo.geneontology.org/amigo/term/GO:0006518","GO:0006518")</f>
        <v>GO:0006518</v>
      </c>
      <c r="D1233" t="s">
        <v>15090</v>
      </c>
      <c r="E1233">
        <v>175</v>
      </c>
      <c r="F1233">
        <v>5</v>
      </c>
      <c r="G1233">
        <v>0.96631979261463996</v>
      </c>
      <c r="H1233">
        <v>0.96631979261463996</v>
      </c>
      <c r="I1233" t="s">
        <v>15091</v>
      </c>
    </row>
    <row r="1234" spans="3:9" x14ac:dyDescent="0.25">
      <c r="C1234" s="3" t="str">
        <f>HYPERLINK("http://amigo.geneontology.org/amigo/term/GO:0022857","GO:0022857")</f>
        <v>GO:0022857</v>
      </c>
      <c r="D1234" t="s">
        <v>261</v>
      </c>
      <c r="E1234">
        <v>299</v>
      </c>
      <c r="F1234">
        <v>10</v>
      </c>
      <c r="G1234">
        <v>0.96944941477753199</v>
      </c>
      <c r="H1234">
        <v>0.96944941477753199</v>
      </c>
      <c r="I1234" t="s">
        <v>15092</v>
      </c>
    </row>
    <row r="1235" spans="3:9" x14ac:dyDescent="0.25">
      <c r="C1235" s="3" t="str">
        <f>HYPERLINK("http://amigo.geneontology.org/amigo/term/GO:0001883","GO:0001883")</f>
        <v>GO:0001883</v>
      </c>
      <c r="D1235" t="s">
        <v>15093</v>
      </c>
      <c r="E1235">
        <v>96</v>
      </c>
      <c r="F1235">
        <v>2</v>
      </c>
      <c r="G1235">
        <v>0.97082013025198599</v>
      </c>
      <c r="H1235">
        <v>0.97082013025198599</v>
      </c>
      <c r="I1235" t="s">
        <v>14983</v>
      </c>
    </row>
    <row r="1236" spans="3:9" x14ac:dyDescent="0.25">
      <c r="C1236" s="3" t="str">
        <f>HYPERLINK("http://amigo.geneontology.org/amigo/term/GO:0032550","GO:0032550")</f>
        <v>GO:0032550</v>
      </c>
      <c r="D1236" t="s">
        <v>15094</v>
      </c>
      <c r="E1236">
        <v>96</v>
      </c>
      <c r="F1236">
        <v>2</v>
      </c>
      <c r="G1236">
        <v>0.97082013025198599</v>
      </c>
      <c r="H1236">
        <v>0.97082013025198599</v>
      </c>
      <c r="I1236" t="s">
        <v>14983</v>
      </c>
    </row>
    <row r="1237" spans="3:9" x14ac:dyDescent="0.25">
      <c r="C1237" s="3" t="str">
        <f>HYPERLINK("http://amigo.geneontology.org/amigo/term/GO:0019001","GO:0019001")</f>
        <v>GO:0019001</v>
      </c>
      <c r="D1237" t="s">
        <v>15095</v>
      </c>
      <c r="E1237">
        <v>96</v>
      </c>
      <c r="F1237">
        <v>2</v>
      </c>
      <c r="G1237">
        <v>0.97082013025198599</v>
      </c>
      <c r="H1237">
        <v>0.97082013025198599</v>
      </c>
      <c r="I1237" t="s">
        <v>14983</v>
      </c>
    </row>
    <row r="1238" spans="3:9" x14ac:dyDescent="0.25">
      <c r="C1238" s="3" t="str">
        <f>HYPERLINK("http://amigo.geneontology.org/amigo/term/GO:0032561","GO:0032561")</f>
        <v>GO:0032561</v>
      </c>
      <c r="D1238" t="s">
        <v>15096</v>
      </c>
      <c r="E1238">
        <v>96</v>
      </c>
      <c r="F1238">
        <v>2</v>
      </c>
      <c r="G1238">
        <v>0.97082013025198599</v>
      </c>
      <c r="H1238">
        <v>0.97082013025198599</v>
      </c>
      <c r="I1238" t="s">
        <v>14983</v>
      </c>
    </row>
    <row r="1239" spans="3:9" x14ac:dyDescent="0.25">
      <c r="C1239" s="3" t="str">
        <f>HYPERLINK("http://amigo.geneontology.org/amigo/term/GO:0005525","GO:0005525")</f>
        <v>GO:0005525</v>
      </c>
      <c r="D1239" t="s">
        <v>15097</v>
      </c>
      <c r="E1239">
        <v>96</v>
      </c>
      <c r="F1239">
        <v>2</v>
      </c>
      <c r="G1239">
        <v>0.97082013025198599</v>
      </c>
      <c r="H1239">
        <v>0.97082013025198599</v>
      </c>
      <c r="I1239" t="s">
        <v>14983</v>
      </c>
    </row>
    <row r="1240" spans="3:9" x14ac:dyDescent="0.25">
      <c r="C1240" s="3" t="str">
        <f>HYPERLINK("http://amigo.geneontology.org/amigo/term/GO:1990234","GO:1990234")</f>
        <v>GO:1990234</v>
      </c>
      <c r="D1240" t="s">
        <v>8795</v>
      </c>
      <c r="E1240">
        <v>63</v>
      </c>
      <c r="F1240">
        <v>1</v>
      </c>
      <c r="G1240">
        <v>0.971299299267949</v>
      </c>
      <c r="H1240">
        <v>0.971299299267949</v>
      </c>
      <c r="I1240" t="s">
        <v>13664</v>
      </c>
    </row>
    <row r="1241" spans="3:9" x14ac:dyDescent="0.25">
      <c r="C1241" s="3" t="str">
        <f>HYPERLINK("http://amigo.geneontology.org/amigo/term/GO:0006139","GO:0006139")</f>
        <v>GO:0006139</v>
      </c>
      <c r="D1241" t="s">
        <v>6849</v>
      </c>
      <c r="E1241">
        <v>676</v>
      </c>
      <c r="F1241">
        <v>27</v>
      </c>
      <c r="G1241">
        <v>0.97234894595759702</v>
      </c>
      <c r="H1241">
        <v>0.97234894595759702</v>
      </c>
      <c r="I1241" t="s">
        <v>15098</v>
      </c>
    </row>
    <row r="1242" spans="3:9" x14ac:dyDescent="0.25">
      <c r="C1242" s="3" t="str">
        <f>HYPERLINK("http://amigo.geneontology.org/amigo/term/GO:0012505","GO:0012505")</f>
        <v>GO:0012505</v>
      </c>
      <c r="D1242" t="s">
        <v>15099</v>
      </c>
      <c r="E1242">
        <v>127</v>
      </c>
      <c r="F1242">
        <v>3</v>
      </c>
      <c r="G1242">
        <v>0.972873415009054</v>
      </c>
      <c r="H1242">
        <v>0.972873415009054</v>
      </c>
      <c r="I1242" t="s">
        <v>15100</v>
      </c>
    </row>
    <row r="1243" spans="3:9" x14ac:dyDescent="0.25">
      <c r="C1243" s="3" t="str">
        <f>HYPERLINK("http://amigo.geneontology.org/amigo/term/GO:0006281","GO:0006281")</f>
        <v>GO:0006281</v>
      </c>
      <c r="D1243" t="s">
        <v>15101</v>
      </c>
      <c r="E1243">
        <v>98</v>
      </c>
      <c r="F1243">
        <v>2</v>
      </c>
      <c r="G1243">
        <v>0.973493818945395</v>
      </c>
      <c r="H1243">
        <v>0.973493818945395</v>
      </c>
      <c r="I1243" t="s">
        <v>15102</v>
      </c>
    </row>
    <row r="1244" spans="3:9" x14ac:dyDescent="0.25">
      <c r="C1244" s="3" t="str">
        <f>HYPERLINK("http://amigo.geneontology.org/amigo/term/GO:0032549","GO:0032549")</f>
        <v>GO:0032549</v>
      </c>
      <c r="D1244" t="s">
        <v>15103</v>
      </c>
      <c r="E1244">
        <v>98</v>
      </c>
      <c r="F1244">
        <v>2</v>
      </c>
      <c r="G1244">
        <v>0.973493818945395</v>
      </c>
      <c r="H1244">
        <v>0.973493818945395</v>
      </c>
      <c r="I1244" t="s">
        <v>14983</v>
      </c>
    </row>
    <row r="1245" spans="3:9" x14ac:dyDescent="0.25">
      <c r="C1245" s="3" t="str">
        <f>HYPERLINK("http://amigo.geneontology.org/amigo/term/GO:0031966","GO:0031966")</f>
        <v>GO:0031966</v>
      </c>
      <c r="D1245" t="s">
        <v>15104</v>
      </c>
      <c r="E1245">
        <v>65</v>
      </c>
      <c r="F1245">
        <v>1</v>
      </c>
      <c r="G1245">
        <v>0.97437399167775796</v>
      </c>
      <c r="H1245">
        <v>0.97437399167775796</v>
      </c>
      <c r="I1245" t="s">
        <v>13975</v>
      </c>
    </row>
    <row r="1246" spans="3:9" x14ac:dyDescent="0.25">
      <c r="C1246" s="3" t="str">
        <f>HYPERLINK("http://amigo.geneontology.org/amigo/term/GO:0019538","GO:0019538")</f>
        <v>GO:0019538</v>
      </c>
      <c r="D1246" t="s">
        <v>7094</v>
      </c>
      <c r="E1246">
        <v>486</v>
      </c>
      <c r="F1246">
        <v>18</v>
      </c>
      <c r="G1246">
        <v>0.97445318912114498</v>
      </c>
      <c r="H1246">
        <v>0.97445318912114498</v>
      </c>
      <c r="I1246" t="s">
        <v>15105</v>
      </c>
    </row>
    <row r="1247" spans="3:9" x14ac:dyDescent="0.25">
      <c r="C1247" s="3" t="str">
        <f>HYPERLINK("http://amigo.geneontology.org/amigo/term/GO:0001882","GO:0001882")</f>
        <v>GO:0001882</v>
      </c>
      <c r="D1247" t="s">
        <v>15106</v>
      </c>
      <c r="E1247">
        <v>99</v>
      </c>
      <c r="F1247">
        <v>2</v>
      </c>
      <c r="G1247">
        <v>0.97474055173089602</v>
      </c>
      <c r="H1247">
        <v>0.97474055173089602</v>
      </c>
      <c r="I1247" t="s">
        <v>14983</v>
      </c>
    </row>
    <row r="1248" spans="3:9" x14ac:dyDescent="0.25">
      <c r="C1248" s="3" t="str">
        <f>HYPERLINK("http://amigo.geneontology.org/amigo/term/GO:0008270","GO:0008270")</f>
        <v>GO:0008270</v>
      </c>
      <c r="D1248" t="s">
        <v>15107</v>
      </c>
      <c r="E1248">
        <v>555</v>
      </c>
      <c r="F1248">
        <v>21</v>
      </c>
      <c r="G1248">
        <v>0.97652838260601205</v>
      </c>
      <c r="H1248">
        <v>0.97652838260601205</v>
      </c>
      <c r="I1248" t="s">
        <v>15108</v>
      </c>
    </row>
    <row r="1249" spans="3:9" x14ac:dyDescent="0.25">
      <c r="C1249" s="3" t="str">
        <f>HYPERLINK("http://amigo.geneontology.org/amigo/term/GO:0006357","GO:0006357")</f>
        <v>GO:0006357</v>
      </c>
      <c r="D1249" t="s">
        <v>15109</v>
      </c>
      <c r="E1249">
        <v>103</v>
      </c>
      <c r="F1249">
        <v>2</v>
      </c>
      <c r="G1249">
        <v>0.97918504599954004</v>
      </c>
      <c r="H1249">
        <v>0.97918504599954004</v>
      </c>
      <c r="I1249" t="s">
        <v>15110</v>
      </c>
    </row>
    <row r="1250" spans="3:9" x14ac:dyDescent="0.25">
      <c r="C1250" s="3" t="str">
        <f>HYPERLINK("http://amigo.geneontology.org/amigo/term/GO:0051276","GO:0051276")</f>
        <v>GO:0051276</v>
      </c>
      <c r="D1250" t="s">
        <v>13182</v>
      </c>
      <c r="E1250">
        <v>69</v>
      </c>
      <c r="F1250">
        <v>1</v>
      </c>
      <c r="G1250">
        <v>0.97957273023319602</v>
      </c>
      <c r="H1250">
        <v>0.97957273023319602</v>
      </c>
      <c r="I1250" t="s">
        <v>13764</v>
      </c>
    </row>
    <row r="1251" spans="3:9" x14ac:dyDescent="0.25">
      <c r="C1251" s="3" t="str">
        <f>HYPERLINK("http://amigo.geneontology.org/amigo/term/GO:0006974","GO:0006974")</f>
        <v>GO:0006974</v>
      </c>
      <c r="D1251" t="s">
        <v>15111</v>
      </c>
      <c r="E1251">
        <v>105</v>
      </c>
      <c r="F1251">
        <v>2</v>
      </c>
      <c r="G1251">
        <v>0.98111376455736699</v>
      </c>
      <c r="H1251">
        <v>0.98111376455736699</v>
      </c>
      <c r="I1251" t="s">
        <v>15102</v>
      </c>
    </row>
    <row r="1252" spans="3:9" x14ac:dyDescent="0.25">
      <c r="C1252" s="3" t="str">
        <f>HYPERLINK("http://amigo.geneontology.org/amigo/term/GO:0140098","GO:0140098")</f>
        <v>GO:0140098</v>
      </c>
      <c r="D1252" t="s">
        <v>8848</v>
      </c>
      <c r="E1252">
        <v>111</v>
      </c>
      <c r="F1252">
        <v>2</v>
      </c>
      <c r="G1252">
        <v>0.98591756322535795</v>
      </c>
      <c r="H1252">
        <v>0.98591756322535795</v>
      </c>
      <c r="I1252" t="s">
        <v>14944</v>
      </c>
    </row>
    <row r="1253" spans="3:9" x14ac:dyDescent="0.25">
      <c r="C1253" s="3" t="str">
        <f>HYPERLINK("http://amigo.geneontology.org/amigo/term/GO:0006629","GO:0006629")</f>
        <v>GO:0006629</v>
      </c>
      <c r="D1253" t="s">
        <v>182</v>
      </c>
      <c r="E1253">
        <v>172</v>
      </c>
      <c r="F1253">
        <v>4</v>
      </c>
      <c r="G1253">
        <v>0.98668128336969396</v>
      </c>
      <c r="H1253">
        <v>0.98668128336969396</v>
      </c>
      <c r="I1253" t="s">
        <v>15041</v>
      </c>
    </row>
    <row r="1254" spans="3:9" x14ac:dyDescent="0.25">
      <c r="C1254" s="3" t="str">
        <f>HYPERLINK("http://amigo.geneontology.org/amigo/term/GO:0031981","GO:0031981")</f>
        <v>GO:0031981</v>
      </c>
      <c r="D1254" t="s">
        <v>8816</v>
      </c>
      <c r="E1254">
        <v>113</v>
      </c>
      <c r="F1254">
        <v>2</v>
      </c>
      <c r="G1254">
        <v>0.98723733989422602</v>
      </c>
      <c r="H1254">
        <v>0.98723733989422602</v>
      </c>
      <c r="I1254" t="s">
        <v>15112</v>
      </c>
    </row>
    <row r="1255" spans="3:9" x14ac:dyDescent="0.25">
      <c r="C1255" s="3" t="str">
        <f>HYPERLINK("http://amigo.geneontology.org/amigo/term/GO:0005783","GO:0005783")</f>
        <v>GO:0005783</v>
      </c>
      <c r="D1255" t="s">
        <v>15113</v>
      </c>
      <c r="E1255">
        <v>78</v>
      </c>
      <c r="F1255">
        <v>1</v>
      </c>
      <c r="G1255">
        <v>0.98774201348763202</v>
      </c>
      <c r="H1255">
        <v>0.98774201348763202</v>
      </c>
      <c r="I1255" t="s">
        <v>13619</v>
      </c>
    </row>
    <row r="1256" spans="3:9" x14ac:dyDescent="0.25">
      <c r="C1256" s="3" t="str">
        <f>HYPERLINK("http://amigo.geneontology.org/amigo/term/GO:0022607","GO:0022607")</f>
        <v>GO:0022607</v>
      </c>
      <c r="D1256" t="s">
        <v>15114</v>
      </c>
      <c r="E1256">
        <v>80</v>
      </c>
      <c r="F1256">
        <v>1</v>
      </c>
      <c r="G1256">
        <v>0.98905820766529295</v>
      </c>
      <c r="H1256">
        <v>0.98905820766529295</v>
      </c>
      <c r="I1256" t="s">
        <v>13779</v>
      </c>
    </row>
    <row r="1257" spans="3:9" x14ac:dyDescent="0.25">
      <c r="C1257" s="3" t="str">
        <f>HYPERLINK("http://amigo.geneontology.org/amigo/term/GO:0006810","GO:0006810")</f>
        <v>GO:0006810</v>
      </c>
      <c r="D1257" t="s">
        <v>318</v>
      </c>
      <c r="E1257">
        <v>722</v>
      </c>
      <c r="F1257">
        <v>27</v>
      </c>
      <c r="G1257">
        <v>0.990253699289253</v>
      </c>
      <c r="H1257">
        <v>0.990253699289253</v>
      </c>
      <c r="I1257" t="s">
        <v>15115</v>
      </c>
    </row>
    <row r="1258" spans="3:9" x14ac:dyDescent="0.25">
      <c r="C1258" s="3" t="str">
        <f>HYPERLINK("http://amigo.geneontology.org/amigo/term/GO:0051234","GO:0051234")</f>
        <v>GO:0051234</v>
      </c>
      <c r="D1258" t="s">
        <v>344</v>
      </c>
      <c r="E1258">
        <v>726</v>
      </c>
      <c r="F1258">
        <v>27</v>
      </c>
      <c r="G1258">
        <v>0.99114722618194695</v>
      </c>
      <c r="H1258">
        <v>0.99114722618194695</v>
      </c>
      <c r="I1258" t="s">
        <v>15115</v>
      </c>
    </row>
    <row r="1259" spans="3:9" x14ac:dyDescent="0.25">
      <c r="C1259" s="3" t="str">
        <f>HYPERLINK("http://amigo.geneontology.org/amigo/term/GO:0006351","GO:0006351")</f>
        <v>GO:0006351</v>
      </c>
      <c r="D1259" t="s">
        <v>6814</v>
      </c>
      <c r="E1259">
        <v>221</v>
      </c>
      <c r="F1259">
        <v>5</v>
      </c>
      <c r="G1259">
        <v>0.99437699631092402</v>
      </c>
      <c r="H1259">
        <v>0.99437699631092402</v>
      </c>
      <c r="I1259" t="s">
        <v>15116</v>
      </c>
    </row>
    <row r="1260" spans="3:9" x14ac:dyDescent="0.25">
      <c r="C1260" s="3" t="str">
        <f>HYPERLINK("http://amigo.geneontology.org/amigo/term/GO:0032774","GO:0032774")</f>
        <v>GO:0032774</v>
      </c>
      <c r="D1260" t="s">
        <v>6817</v>
      </c>
      <c r="E1260">
        <v>222</v>
      </c>
      <c r="F1260">
        <v>5</v>
      </c>
      <c r="G1260">
        <v>0.99460247575903804</v>
      </c>
      <c r="H1260">
        <v>0.99460247575903804</v>
      </c>
      <c r="I1260" t="s">
        <v>15116</v>
      </c>
    </row>
    <row r="1261" spans="3:9" x14ac:dyDescent="0.25">
      <c r="C1261" s="3" t="str">
        <f>HYPERLINK("http://amigo.geneontology.org/amigo/term/GO:0097659","GO:0097659")</f>
        <v>GO:0097659</v>
      </c>
      <c r="D1261" t="s">
        <v>6816</v>
      </c>
      <c r="E1261">
        <v>222</v>
      </c>
      <c r="F1261">
        <v>5</v>
      </c>
      <c r="G1261">
        <v>0.99460247575903804</v>
      </c>
      <c r="H1261">
        <v>0.99460247575903804</v>
      </c>
      <c r="I1261" t="s">
        <v>15116</v>
      </c>
    </row>
    <row r="1262" spans="3:9" x14ac:dyDescent="0.25">
      <c r="C1262" s="3" t="str">
        <f>HYPERLINK("http://amigo.geneontology.org/amigo/term/GO:0043043","GO:0043043")</f>
        <v>GO:0043043</v>
      </c>
      <c r="D1262" t="s">
        <v>15117</v>
      </c>
      <c r="E1262">
        <v>166</v>
      </c>
      <c r="F1262">
        <v>3</v>
      </c>
      <c r="G1262">
        <v>0.99529757886433601</v>
      </c>
      <c r="H1262">
        <v>0.99529757886433601</v>
      </c>
      <c r="I1262" t="s">
        <v>15118</v>
      </c>
    </row>
    <row r="1263" spans="3:9" x14ac:dyDescent="0.25">
      <c r="C1263" s="3" t="str">
        <f>HYPERLINK("http://amigo.geneontology.org/amigo/term/GO:0006259","GO:0006259")</f>
        <v>GO:0006259</v>
      </c>
      <c r="D1263" t="s">
        <v>5359</v>
      </c>
      <c r="E1263">
        <v>147</v>
      </c>
      <c r="F1263">
        <v>2</v>
      </c>
      <c r="G1263">
        <v>0.99769079373910396</v>
      </c>
      <c r="H1263">
        <v>0.99769079373910396</v>
      </c>
      <c r="I1263" t="s">
        <v>15102</v>
      </c>
    </row>
    <row r="1264" spans="3:9" x14ac:dyDescent="0.25">
      <c r="C1264" s="3" t="str">
        <f>HYPERLINK("http://amigo.geneontology.org/amigo/term/GO:0055085","GO:0055085")</f>
        <v>GO:0055085</v>
      </c>
      <c r="D1264" t="s">
        <v>240</v>
      </c>
      <c r="E1264">
        <v>480</v>
      </c>
      <c r="F1264">
        <v>14</v>
      </c>
      <c r="G1264">
        <v>0.99786990030343603</v>
      </c>
      <c r="H1264">
        <v>0.99786990030343603</v>
      </c>
      <c r="I1264" t="s">
        <v>15119</v>
      </c>
    </row>
    <row r="1265" spans="3:9" x14ac:dyDescent="0.25">
      <c r="C1265" s="3" t="str">
        <f>HYPERLINK("http://amigo.geneontology.org/amigo/term/GO:0050794","GO:0050794")</f>
        <v>GO:0050794</v>
      </c>
      <c r="D1265" t="s">
        <v>6855</v>
      </c>
      <c r="E1265">
        <v>484</v>
      </c>
      <c r="F1265">
        <v>14</v>
      </c>
      <c r="G1265">
        <v>0.99813125168016803</v>
      </c>
      <c r="H1265">
        <v>0.99813125168016803</v>
      </c>
      <c r="I1265" t="s">
        <v>15120</v>
      </c>
    </row>
    <row r="1266" spans="3:9" x14ac:dyDescent="0.25">
      <c r="C1266" s="3" t="str">
        <f>HYPERLINK("http://amigo.geneontology.org/amigo/term/GO:0006412","GO:0006412")</f>
        <v>GO:0006412</v>
      </c>
      <c r="D1266" t="s">
        <v>15121</v>
      </c>
      <c r="E1266">
        <v>159</v>
      </c>
      <c r="F1266">
        <v>2</v>
      </c>
      <c r="G1266">
        <v>0.998754407814474</v>
      </c>
      <c r="H1266">
        <v>0.998754407814474</v>
      </c>
      <c r="I1266" t="s">
        <v>14944</v>
      </c>
    </row>
    <row r="1267" spans="3:9" x14ac:dyDescent="0.25">
      <c r="C1267" s="3" t="str">
        <f>HYPERLINK("http://amigo.geneontology.org/amigo/term/GO:1901363","GO:1901363")</f>
        <v>GO:1901363</v>
      </c>
      <c r="D1267" t="s">
        <v>6873</v>
      </c>
      <c r="E1267">
        <v>1692</v>
      </c>
      <c r="F1267">
        <v>69</v>
      </c>
      <c r="G1267">
        <v>0.99883358109460096</v>
      </c>
      <c r="H1267">
        <v>0.99883358109460096</v>
      </c>
      <c r="I1267" t="s">
        <v>15122</v>
      </c>
    </row>
    <row r="1268" spans="3:9" x14ac:dyDescent="0.25">
      <c r="C1268" s="3" t="str">
        <f>HYPERLINK("http://amigo.geneontology.org/amigo/term/GO:0097159","GO:0097159")</f>
        <v>GO:0097159</v>
      </c>
      <c r="D1268" t="s">
        <v>6874</v>
      </c>
      <c r="E1268">
        <v>1693</v>
      </c>
      <c r="F1268">
        <v>69</v>
      </c>
      <c r="G1268">
        <v>0.99885880568872798</v>
      </c>
      <c r="H1268">
        <v>0.99885880568872798</v>
      </c>
      <c r="I1268" t="s">
        <v>15122</v>
      </c>
    </row>
    <row r="1269" spans="3:9" x14ac:dyDescent="0.25">
      <c r="C1269" s="3" t="str">
        <f>HYPERLINK("http://amigo.geneontology.org/amigo/term/GO:0050789","GO:0050789")</f>
        <v>GO:0050789</v>
      </c>
      <c r="D1269" t="s">
        <v>6858</v>
      </c>
      <c r="E1269">
        <v>502</v>
      </c>
      <c r="F1269">
        <v>14</v>
      </c>
      <c r="G1269">
        <v>0.99897493963828299</v>
      </c>
      <c r="H1269">
        <v>0.99897493963828299</v>
      </c>
      <c r="I1269" t="s">
        <v>15120</v>
      </c>
    </row>
    <row r="1270" spans="3:9" x14ac:dyDescent="0.25">
      <c r="C1270" s="3" t="str">
        <f>HYPERLINK("http://amigo.geneontology.org/amigo/term/GO:0044085","GO:0044085")</f>
        <v>GO:0044085</v>
      </c>
      <c r="D1270" t="s">
        <v>15123</v>
      </c>
      <c r="E1270">
        <v>124</v>
      </c>
      <c r="F1270">
        <v>1</v>
      </c>
      <c r="G1270">
        <v>0.99910923002742402</v>
      </c>
      <c r="H1270">
        <v>0.99910923002742402</v>
      </c>
      <c r="I1270" t="s">
        <v>13779</v>
      </c>
    </row>
    <row r="1271" spans="3:9" x14ac:dyDescent="0.25">
      <c r="C1271" s="3" t="str">
        <f>HYPERLINK("http://amigo.geneontology.org/amigo/term/GO:0044260","GO:0044260")</f>
        <v>GO:0044260</v>
      </c>
      <c r="D1271" t="s">
        <v>6866</v>
      </c>
      <c r="E1271">
        <v>791</v>
      </c>
      <c r="F1271">
        <v>26</v>
      </c>
      <c r="G1271">
        <v>0.99912447144783401</v>
      </c>
      <c r="H1271">
        <v>0.99912447144783401</v>
      </c>
      <c r="I1271" t="s">
        <v>15124</v>
      </c>
    </row>
    <row r="1272" spans="3:9" x14ac:dyDescent="0.25">
      <c r="C1272" s="3" t="str">
        <f>HYPERLINK("http://amigo.geneontology.org/amigo/term/GO:0006396","GO:0006396")</f>
        <v>GO:0006396</v>
      </c>
      <c r="D1272" t="s">
        <v>15125</v>
      </c>
      <c r="E1272">
        <v>128</v>
      </c>
      <c r="F1272">
        <v>1</v>
      </c>
      <c r="G1272">
        <v>0.99929148325496098</v>
      </c>
      <c r="H1272">
        <v>0.99929148325496098</v>
      </c>
      <c r="I1272" t="s">
        <v>14184</v>
      </c>
    </row>
    <row r="1273" spans="3:9" x14ac:dyDescent="0.25">
      <c r="C1273" s="3" t="str">
        <f>HYPERLINK("http://amigo.geneontology.org/amigo/term/GO:0044428","GO:0044428")</f>
        <v>GO:0044428</v>
      </c>
      <c r="D1273" t="s">
        <v>15126</v>
      </c>
      <c r="E1273">
        <v>170</v>
      </c>
      <c r="F1273">
        <v>2</v>
      </c>
      <c r="G1273">
        <v>0.99929638014692801</v>
      </c>
      <c r="H1273">
        <v>0.99929638014692801</v>
      </c>
      <c r="I1273" t="s">
        <v>15112</v>
      </c>
    </row>
    <row r="1274" spans="3:9" x14ac:dyDescent="0.25">
      <c r="C1274" s="3" t="str">
        <f>HYPERLINK("http://amigo.geneontology.org/amigo/term/GO:0016021","GO:0016021")</f>
        <v>GO:0016021</v>
      </c>
      <c r="D1274" t="s">
        <v>203</v>
      </c>
      <c r="E1274">
        <v>1074</v>
      </c>
      <c r="F1274">
        <v>38</v>
      </c>
      <c r="G1274">
        <v>0.99943364062087803</v>
      </c>
      <c r="H1274">
        <v>0.99943364062087803</v>
      </c>
      <c r="I1274" t="s">
        <v>15127</v>
      </c>
    </row>
    <row r="1275" spans="3:9" x14ac:dyDescent="0.25">
      <c r="C1275" s="3" t="str">
        <f>HYPERLINK("http://amigo.geneontology.org/amigo/term/GO:0031224","GO:0031224")</f>
        <v>GO:0031224</v>
      </c>
      <c r="D1275" t="s">
        <v>191</v>
      </c>
      <c r="E1275">
        <v>1077</v>
      </c>
      <c r="F1275">
        <v>38</v>
      </c>
      <c r="G1275">
        <v>0.99947719687151304</v>
      </c>
      <c r="H1275">
        <v>0.99947719687151304</v>
      </c>
      <c r="I1275" t="s">
        <v>15127</v>
      </c>
    </row>
    <row r="1276" spans="3:9" x14ac:dyDescent="0.25">
      <c r="C1276" s="3" t="str">
        <f>HYPERLINK("http://amigo.geneontology.org/amigo/term/GO:0031323","GO:0031323")</f>
        <v>GO:0031323</v>
      </c>
      <c r="D1276" t="s">
        <v>6845</v>
      </c>
      <c r="E1276">
        <v>312</v>
      </c>
      <c r="F1276">
        <v>6</v>
      </c>
      <c r="G1276">
        <v>0.99958694794656799</v>
      </c>
      <c r="H1276">
        <v>0.99958694794656799</v>
      </c>
      <c r="I1276" t="s">
        <v>15128</v>
      </c>
    </row>
    <row r="1277" spans="3:9" x14ac:dyDescent="0.25">
      <c r="C1277" s="3" t="str">
        <f>HYPERLINK("http://amigo.geneontology.org/amigo/term/GO:0044425","GO:0044425")</f>
        <v>GO:0044425</v>
      </c>
      <c r="D1277" t="s">
        <v>215</v>
      </c>
      <c r="E1277">
        <v>1161</v>
      </c>
      <c r="F1277">
        <v>41</v>
      </c>
      <c r="G1277">
        <v>0.99968254496021902</v>
      </c>
      <c r="H1277">
        <v>0.99968254496021902</v>
      </c>
      <c r="I1277" t="s">
        <v>15129</v>
      </c>
    </row>
    <row r="1278" spans="3:9" x14ac:dyDescent="0.25">
      <c r="C1278" s="3" t="str">
        <f>HYPERLINK("http://amigo.geneontology.org/amigo/term/GO:0019222","GO:0019222")</f>
        <v>GO:0019222</v>
      </c>
      <c r="D1278" t="s">
        <v>6848</v>
      </c>
      <c r="E1278">
        <v>326</v>
      </c>
      <c r="F1278">
        <v>6</v>
      </c>
      <c r="G1278">
        <v>0.99977522304720801</v>
      </c>
      <c r="H1278">
        <v>0.99977522304720801</v>
      </c>
      <c r="I1278" t="s">
        <v>15128</v>
      </c>
    </row>
    <row r="1279" spans="3:9" x14ac:dyDescent="0.25">
      <c r="C1279" s="3" t="str">
        <f>HYPERLINK("http://amigo.geneontology.org/amigo/term/GO:0044464","GO:0044464")</f>
        <v>GO:0044464</v>
      </c>
      <c r="D1279" t="s">
        <v>6869</v>
      </c>
      <c r="E1279">
        <v>1509</v>
      </c>
      <c r="F1279">
        <v>56</v>
      </c>
      <c r="G1279">
        <v>0.99984567611460595</v>
      </c>
      <c r="H1279">
        <v>0.99984567611460595</v>
      </c>
      <c r="I1279" t="s">
        <v>15130</v>
      </c>
    </row>
    <row r="1280" spans="3:9" x14ac:dyDescent="0.25">
      <c r="C1280" s="3" t="str">
        <f>HYPERLINK("http://amigo.geneontology.org/amigo/term/GO:0051171","GO:0051171")</f>
        <v>GO:0051171</v>
      </c>
      <c r="D1280" t="s">
        <v>6843</v>
      </c>
      <c r="E1280">
        <v>310</v>
      </c>
      <c r="F1280">
        <v>5</v>
      </c>
      <c r="G1280">
        <v>0.99988536136668105</v>
      </c>
      <c r="H1280">
        <v>0.99988536136668105</v>
      </c>
      <c r="I1280" t="s">
        <v>15131</v>
      </c>
    </row>
    <row r="1281" spans="3:9" x14ac:dyDescent="0.25">
      <c r="C1281" s="3" t="str">
        <f>HYPERLINK("http://amigo.geneontology.org/amigo/term/GO:0044424","GO:0044424")</f>
        <v>GO:0044424</v>
      </c>
      <c r="D1281" t="s">
        <v>6867</v>
      </c>
      <c r="E1281">
        <v>1374</v>
      </c>
      <c r="F1281">
        <v>48</v>
      </c>
      <c r="G1281">
        <v>0.99994104575520204</v>
      </c>
      <c r="H1281">
        <v>0.99994104575520204</v>
      </c>
      <c r="I1281" t="s">
        <v>15132</v>
      </c>
    </row>
    <row r="1282" spans="3:9" x14ac:dyDescent="0.25">
      <c r="C1282" s="3" t="str">
        <f>HYPERLINK("http://amigo.geneontology.org/amigo/term/GO:0009889","GO:0009889")</f>
        <v>GO:0009889</v>
      </c>
      <c r="D1282" t="s">
        <v>6834</v>
      </c>
      <c r="E1282">
        <v>295</v>
      </c>
      <c r="F1282">
        <v>4</v>
      </c>
      <c r="G1282">
        <v>0.99995135118599399</v>
      </c>
      <c r="H1282">
        <v>0.99995135118599399</v>
      </c>
      <c r="I1282" t="s">
        <v>15133</v>
      </c>
    </row>
    <row r="1283" spans="3:9" x14ac:dyDescent="0.25">
      <c r="C1283" s="3" t="str">
        <f>HYPERLINK("http://amigo.geneontology.org/amigo/term/GO:0031326","GO:0031326")</f>
        <v>GO:0031326</v>
      </c>
      <c r="D1283" t="s">
        <v>6833</v>
      </c>
      <c r="E1283">
        <v>295</v>
      </c>
      <c r="F1283">
        <v>4</v>
      </c>
      <c r="G1283">
        <v>0.99995135118599399</v>
      </c>
      <c r="H1283">
        <v>0.99995135118599399</v>
      </c>
      <c r="I1283" t="s">
        <v>15133</v>
      </c>
    </row>
    <row r="1284" spans="3:9" x14ac:dyDescent="0.25">
      <c r="C1284" s="3" t="str">
        <f>HYPERLINK("http://amigo.geneontology.org/amigo/term/GO:0005622","GO:0005622")</f>
        <v>GO:0005622</v>
      </c>
      <c r="D1284" t="s">
        <v>6868</v>
      </c>
      <c r="E1284">
        <v>1472</v>
      </c>
      <c r="F1284">
        <v>52</v>
      </c>
      <c r="G1284">
        <v>0.99995775211626403</v>
      </c>
      <c r="H1284">
        <v>0.99995775211626403</v>
      </c>
      <c r="I1284" t="s">
        <v>15134</v>
      </c>
    </row>
    <row r="1285" spans="3:9" x14ac:dyDescent="0.25">
      <c r="C1285" s="3" t="str">
        <f>HYPERLINK("http://amigo.geneontology.org/amigo/term/GO:0043228","GO:0043228")</f>
        <v>GO:0043228</v>
      </c>
      <c r="D1285" t="s">
        <v>15135</v>
      </c>
      <c r="E1285">
        <v>265</v>
      </c>
      <c r="F1285">
        <v>3</v>
      </c>
      <c r="G1285">
        <v>0.99996340849105703</v>
      </c>
      <c r="H1285">
        <v>0.99996340849105703</v>
      </c>
      <c r="I1285" t="s">
        <v>15136</v>
      </c>
    </row>
    <row r="1286" spans="3:9" x14ac:dyDescent="0.25">
      <c r="C1286" s="3" t="str">
        <f>HYPERLINK("http://amigo.geneontology.org/amigo/term/GO:0043232","GO:0043232")</f>
        <v>GO:0043232</v>
      </c>
      <c r="D1286" t="s">
        <v>15137</v>
      </c>
      <c r="E1286">
        <v>265</v>
      </c>
      <c r="F1286">
        <v>3</v>
      </c>
      <c r="G1286">
        <v>0.99996340849105703</v>
      </c>
      <c r="H1286">
        <v>0.99996340849105703</v>
      </c>
      <c r="I1286" t="s">
        <v>15136</v>
      </c>
    </row>
    <row r="1287" spans="3:9" x14ac:dyDescent="0.25">
      <c r="C1287" s="3" t="str">
        <f>HYPERLINK("http://amigo.geneontology.org/amigo/term/GO:0016070","GO:0016070")</f>
        <v>GO:0016070</v>
      </c>
      <c r="D1287" t="s">
        <v>6822</v>
      </c>
      <c r="E1287">
        <v>399</v>
      </c>
      <c r="F1287">
        <v>7</v>
      </c>
      <c r="G1287">
        <v>0.99996593556654401</v>
      </c>
      <c r="H1287">
        <v>0.99996593556654401</v>
      </c>
      <c r="I1287" t="s">
        <v>15138</v>
      </c>
    </row>
    <row r="1288" spans="3:9" x14ac:dyDescent="0.25">
      <c r="C1288" s="3" t="str">
        <f>HYPERLINK("http://amigo.geneontology.org/amigo/term/GO:0044422","GO:0044422")</f>
        <v>GO:0044422</v>
      </c>
      <c r="D1288" t="s">
        <v>15139</v>
      </c>
      <c r="E1288">
        <v>461</v>
      </c>
      <c r="F1288">
        <v>9</v>
      </c>
      <c r="G1288">
        <v>0.99996980700013005</v>
      </c>
      <c r="H1288">
        <v>0.99996980700013005</v>
      </c>
      <c r="I1288" t="s">
        <v>15140</v>
      </c>
    </row>
    <row r="1289" spans="3:9" x14ac:dyDescent="0.25">
      <c r="C1289" s="3" t="str">
        <f>HYPERLINK("http://amigo.geneontology.org/amigo/term/GO:0044446","GO:0044446")</f>
        <v>GO:0044446</v>
      </c>
      <c r="D1289" t="s">
        <v>15141</v>
      </c>
      <c r="E1289">
        <v>461</v>
      </c>
      <c r="F1289">
        <v>9</v>
      </c>
      <c r="G1289">
        <v>0.99996980700013005</v>
      </c>
      <c r="H1289">
        <v>0.99996980700013005</v>
      </c>
      <c r="I1289" t="s">
        <v>15140</v>
      </c>
    </row>
    <row r="1290" spans="3:9" x14ac:dyDescent="0.25">
      <c r="C1290" s="3" t="str">
        <f>HYPERLINK("http://amigo.geneontology.org/amigo/term/GO:0051252","GO:0051252")</f>
        <v>GO:0051252</v>
      </c>
      <c r="D1290" t="s">
        <v>6827</v>
      </c>
      <c r="E1290">
        <v>272</v>
      </c>
      <c r="F1290">
        <v>3</v>
      </c>
      <c r="G1290">
        <v>0.99997444125401203</v>
      </c>
      <c r="H1290">
        <v>0.99997444125401203</v>
      </c>
      <c r="I1290" t="s">
        <v>15142</v>
      </c>
    </row>
    <row r="1291" spans="3:9" x14ac:dyDescent="0.25">
      <c r="C1291" s="3" t="str">
        <f>HYPERLINK("http://amigo.geneontology.org/amigo/term/GO:2001141","GO:2001141")</f>
        <v>GO:2001141</v>
      </c>
      <c r="D1291" t="s">
        <v>6826</v>
      </c>
      <c r="E1291">
        <v>272</v>
      </c>
      <c r="F1291">
        <v>3</v>
      </c>
      <c r="G1291">
        <v>0.99997444125401203</v>
      </c>
      <c r="H1291">
        <v>0.99997444125401203</v>
      </c>
      <c r="I1291" t="s">
        <v>15142</v>
      </c>
    </row>
    <row r="1292" spans="3:9" x14ac:dyDescent="0.25">
      <c r="C1292" s="3" t="str">
        <f>HYPERLINK("http://amigo.geneontology.org/amigo/term/GO:1903506","GO:1903506")</f>
        <v>GO:1903506</v>
      </c>
      <c r="D1292" t="s">
        <v>6825</v>
      </c>
      <c r="E1292">
        <v>272</v>
      </c>
      <c r="F1292">
        <v>3</v>
      </c>
      <c r="G1292">
        <v>0.99997444125401203</v>
      </c>
      <c r="H1292">
        <v>0.99997444125401203</v>
      </c>
      <c r="I1292" t="s">
        <v>15142</v>
      </c>
    </row>
    <row r="1293" spans="3:9" x14ac:dyDescent="0.25">
      <c r="C1293" s="3" t="str">
        <f>HYPERLINK("http://amigo.geneontology.org/amigo/term/GO:0006355","GO:0006355")</f>
        <v>GO:0006355</v>
      </c>
      <c r="D1293" t="s">
        <v>6824</v>
      </c>
      <c r="E1293">
        <v>272</v>
      </c>
      <c r="F1293">
        <v>3</v>
      </c>
      <c r="G1293">
        <v>0.99997444125401203</v>
      </c>
      <c r="H1293">
        <v>0.99997444125401203</v>
      </c>
      <c r="I1293" t="s">
        <v>15142</v>
      </c>
    </row>
    <row r="1294" spans="3:9" x14ac:dyDescent="0.25">
      <c r="C1294" s="3" t="str">
        <f>HYPERLINK("http://amigo.geneontology.org/amigo/term/GO:0034645","GO:0034645")</f>
        <v>GO:0034645</v>
      </c>
      <c r="D1294" t="s">
        <v>6835</v>
      </c>
      <c r="E1294">
        <v>468</v>
      </c>
      <c r="F1294">
        <v>9</v>
      </c>
      <c r="G1294">
        <v>0.99997759620655502</v>
      </c>
      <c r="H1294">
        <v>0.99997759620655502</v>
      </c>
      <c r="I1294" t="s">
        <v>15143</v>
      </c>
    </row>
    <row r="1295" spans="3:9" x14ac:dyDescent="0.25">
      <c r="C1295" s="3" t="str">
        <f>HYPERLINK("http://amigo.geneontology.org/amigo/term/GO:0080090","GO:0080090")</f>
        <v>GO:0080090</v>
      </c>
      <c r="D1295" t="s">
        <v>6844</v>
      </c>
      <c r="E1295">
        <v>312</v>
      </c>
      <c r="F1295">
        <v>4</v>
      </c>
      <c r="G1295">
        <v>0.99997888377918698</v>
      </c>
      <c r="H1295">
        <v>0.99997888377918698</v>
      </c>
      <c r="I1295" t="s">
        <v>15144</v>
      </c>
    </row>
    <row r="1296" spans="3:9" x14ac:dyDescent="0.25">
      <c r="C1296" s="3" t="str">
        <f>HYPERLINK("http://amigo.geneontology.org/amigo/term/GO:0019219","GO:0019219")</f>
        <v>GO:0019219</v>
      </c>
      <c r="D1296" t="s">
        <v>6830</v>
      </c>
      <c r="E1296">
        <v>277</v>
      </c>
      <c r="F1296">
        <v>3</v>
      </c>
      <c r="G1296">
        <v>0.99998023994567198</v>
      </c>
      <c r="H1296">
        <v>0.99998023994567198</v>
      </c>
      <c r="I1296" t="s">
        <v>15142</v>
      </c>
    </row>
    <row r="1297" spans="3:9" x14ac:dyDescent="0.25">
      <c r="C1297" s="3" t="str">
        <f>HYPERLINK("http://amigo.geneontology.org/amigo/term/GO:0009059","GO:0009059")</f>
        <v>GO:0009059</v>
      </c>
      <c r="D1297" t="s">
        <v>6836</v>
      </c>
      <c r="E1297">
        <v>477</v>
      </c>
      <c r="F1297">
        <v>9</v>
      </c>
      <c r="G1297">
        <v>0.99998478188310103</v>
      </c>
      <c r="H1297">
        <v>0.99998478188310103</v>
      </c>
      <c r="I1297" t="s">
        <v>15143</v>
      </c>
    </row>
    <row r="1298" spans="3:9" x14ac:dyDescent="0.25">
      <c r="C1298" s="3" t="str">
        <f>HYPERLINK("http://amigo.geneontology.org/amigo/term/GO:0060255","GO:0060255")</f>
        <v>GO:0060255</v>
      </c>
      <c r="D1298" t="s">
        <v>6847</v>
      </c>
      <c r="E1298">
        <v>319</v>
      </c>
      <c r="F1298">
        <v>4</v>
      </c>
      <c r="G1298">
        <v>0.99998507222058197</v>
      </c>
      <c r="H1298">
        <v>0.99998507222058197</v>
      </c>
      <c r="I1298" t="s">
        <v>15144</v>
      </c>
    </row>
    <row r="1299" spans="3:9" x14ac:dyDescent="0.25">
      <c r="C1299" s="3" t="str">
        <f>HYPERLINK("http://amigo.geneontology.org/amigo/term/GO:2000112","GO:2000112")</f>
        <v>GO:2000112</v>
      </c>
      <c r="D1299" t="s">
        <v>6831</v>
      </c>
      <c r="E1299">
        <v>292</v>
      </c>
      <c r="F1299">
        <v>3</v>
      </c>
      <c r="G1299">
        <v>0.999990912604661</v>
      </c>
      <c r="H1299">
        <v>0.999990912604661</v>
      </c>
      <c r="I1299" t="s">
        <v>15142</v>
      </c>
    </row>
    <row r="1300" spans="3:9" x14ac:dyDescent="0.25">
      <c r="C1300" s="3" t="str">
        <f>HYPERLINK("http://amigo.geneontology.org/amigo/term/GO:0010556","GO:0010556")</f>
        <v>GO:0010556</v>
      </c>
      <c r="D1300" t="s">
        <v>6832</v>
      </c>
      <c r="E1300">
        <v>293</v>
      </c>
      <c r="F1300">
        <v>3</v>
      </c>
      <c r="G1300">
        <v>0.99999137336954602</v>
      </c>
      <c r="H1300">
        <v>0.99999137336954602</v>
      </c>
      <c r="I1300" t="s">
        <v>15142</v>
      </c>
    </row>
    <row r="1301" spans="3:9" x14ac:dyDescent="0.25">
      <c r="C1301" s="3" t="str">
        <f>HYPERLINK("http://amigo.geneontology.org/amigo/term/GO:0043170","GO:0043170")</f>
        <v>GO:0043170</v>
      </c>
      <c r="D1301" t="s">
        <v>6870</v>
      </c>
      <c r="E1301">
        <v>1036</v>
      </c>
      <c r="F1301">
        <v>30</v>
      </c>
      <c r="G1301">
        <v>0.99999268419003895</v>
      </c>
      <c r="H1301">
        <v>0.99999268419003895</v>
      </c>
      <c r="I1301" t="s">
        <v>15145</v>
      </c>
    </row>
    <row r="1302" spans="3:9" x14ac:dyDescent="0.25">
      <c r="C1302" s="3" t="str">
        <f>HYPERLINK("http://amigo.geneontology.org/amigo/term/GO:0010468","GO:0010468")</f>
        <v>GO:0010468</v>
      </c>
      <c r="D1302" t="s">
        <v>6837</v>
      </c>
      <c r="E1302">
        <v>297</v>
      </c>
      <c r="F1302">
        <v>3</v>
      </c>
      <c r="G1302">
        <v>0.99999299647360496</v>
      </c>
      <c r="H1302">
        <v>0.99999299647360496</v>
      </c>
      <c r="I1302" t="s">
        <v>15142</v>
      </c>
    </row>
    <row r="1303" spans="3:9" x14ac:dyDescent="0.25">
      <c r="C1303" s="3" t="str">
        <f>HYPERLINK("http://amigo.geneontology.org/amigo/term/GO:0003677","GO:0003677")</f>
        <v>GO:0003677</v>
      </c>
      <c r="D1303" t="s">
        <v>6850</v>
      </c>
      <c r="E1303">
        <v>369</v>
      </c>
      <c r="F1303">
        <v>5</v>
      </c>
      <c r="G1303">
        <v>0.99999300806082003</v>
      </c>
      <c r="H1303">
        <v>0.99999300806082003</v>
      </c>
      <c r="I1303" t="s">
        <v>15146</v>
      </c>
    </row>
    <row r="1304" spans="3:9" x14ac:dyDescent="0.25">
      <c r="C1304" s="3" t="str">
        <f>HYPERLINK("http://amigo.geneontology.org/amigo/term/GO:0000981","GO:0000981")</f>
        <v>GO:0000981</v>
      </c>
      <c r="D1304" t="s">
        <v>15147</v>
      </c>
      <c r="E1304">
        <v>262</v>
      </c>
      <c r="F1304">
        <v>2</v>
      </c>
      <c r="G1304">
        <v>0.99999490641941902</v>
      </c>
      <c r="H1304">
        <v>0.99999490641941902</v>
      </c>
      <c r="I1304" t="s">
        <v>15148</v>
      </c>
    </row>
    <row r="1305" spans="3:9" x14ac:dyDescent="0.25">
      <c r="C1305" s="3" t="str">
        <f>HYPERLINK("http://amigo.geneontology.org/amigo/term/GO:0003700","GO:0003700")</f>
        <v>GO:0003700</v>
      </c>
      <c r="D1305" t="s">
        <v>5173</v>
      </c>
      <c r="E1305">
        <v>311</v>
      </c>
      <c r="F1305">
        <v>3</v>
      </c>
      <c r="G1305">
        <v>0.99999663591450305</v>
      </c>
      <c r="H1305">
        <v>0.99999663591450305</v>
      </c>
      <c r="I1305" t="s">
        <v>15149</v>
      </c>
    </row>
    <row r="1306" spans="3:9" x14ac:dyDescent="0.25">
      <c r="C1306" s="3" t="str">
        <f>HYPERLINK("http://amigo.geneontology.org/amigo/term/GO:0010467","GO:0010467")</f>
        <v>GO:0010467</v>
      </c>
      <c r="D1306" t="s">
        <v>6840</v>
      </c>
      <c r="E1306">
        <v>513</v>
      </c>
      <c r="F1306">
        <v>8</v>
      </c>
      <c r="G1306">
        <v>0.99999922851603495</v>
      </c>
      <c r="H1306">
        <v>0.99999922851603495</v>
      </c>
      <c r="I1306" t="s">
        <v>15150</v>
      </c>
    </row>
    <row r="1307" spans="3:9" x14ac:dyDescent="0.25">
      <c r="C1307" s="3" t="str">
        <f>HYPERLINK("http://amigo.geneontology.org/amigo/term/GO:0090304","GO:0090304")</f>
        <v>GO:0090304</v>
      </c>
      <c r="D1307" t="s">
        <v>6842</v>
      </c>
      <c r="E1307">
        <v>535</v>
      </c>
      <c r="F1307">
        <v>8</v>
      </c>
      <c r="G1307">
        <v>0.99999972589390496</v>
      </c>
      <c r="H1307">
        <v>0.99999972589390496</v>
      </c>
      <c r="I1307" t="s">
        <v>15151</v>
      </c>
    </row>
    <row r="1308" spans="3:9" x14ac:dyDescent="0.25">
      <c r="C1308" s="3" t="str">
        <f>HYPERLINK("http://amigo.geneontology.org/amigo/term/GO:0043231","GO:0043231")</f>
        <v>GO:0043231</v>
      </c>
      <c r="D1308" t="s">
        <v>6862</v>
      </c>
      <c r="E1308">
        <v>949</v>
      </c>
      <c r="F1308">
        <v>22</v>
      </c>
      <c r="G1308">
        <v>0.999999879498772</v>
      </c>
      <c r="H1308">
        <v>0.999999879498772</v>
      </c>
      <c r="I1308" t="s">
        <v>15152</v>
      </c>
    </row>
    <row r="1309" spans="3:9" x14ac:dyDescent="0.25">
      <c r="C1309" s="3" t="str">
        <f>HYPERLINK("http://amigo.geneontology.org/amigo/term/GO:0043227","GO:0043227")</f>
        <v>GO:0043227</v>
      </c>
      <c r="D1309" t="s">
        <v>6863</v>
      </c>
      <c r="E1309">
        <v>954</v>
      </c>
      <c r="F1309">
        <v>22</v>
      </c>
      <c r="G1309">
        <v>0.99999990152725904</v>
      </c>
      <c r="H1309">
        <v>0.99999990152725904</v>
      </c>
      <c r="I1309" t="s">
        <v>15152</v>
      </c>
    </row>
    <row r="1310" spans="3:9" x14ac:dyDescent="0.25">
      <c r="C1310" s="3" t="str">
        <f>HYPERLINK("http://amigo.geneontology.org/amigo/term/GO:0003676","GO:0003676")</f>
        <v>GO:0003676</v>
      </c>
      <c r="D1310" t="s">
        <v>6865</v>
      </c>
      <c r="E1310">
        <v>716</v>
      </c>
      <c r="F1310">
        <v>13</v>
      </c>
      <c r="G1310">
        <v>0.99999992933868798</v>
      </c>
      <c r="H1310">
        <v>0.99999992933868798</v>
      </c>
      <c r="I1310" t="s">
        <v>15153</v>
      </c>
    </row>
    <row r="1311" spans="3:9" x14ac:dyDescent="0.25">
      <c r="C1311" s="3" t="str">
        <f>HYPERLINK("http://amigo.geneontology.org/amigo/term/GO:0005634","GO:0005634")</f>
        <v>GO:0005634</v>
      </c>
      <c r="D1311" t="s">
        <v>6839</v>
      </c>
      <c r="E1311">
        <v>696</v>
      </c>
      <c r="F1311">
        <v>11</v>
      </c>
      <c r="G1311">
        <v>0.99999998855684002</v>
      </c>
      <c r="H1311">
        <v>0.99999998855684002</v>
      </c>
      <c r="I1311" t="s">
        <v>15154</v>
      </c>
    </row>
    <row r="1312" spans="3:9" x14ac:dyDescent="0.25">
      <c r="C1312" s="3" t="str">
        <f>HYPERLINK("http://amigo.geneontology.org/amigo/term/GO:0043229","GO:0043229")</f>
        <v>GO:0043229</v>
      </c>
      <c r="D1312" t="s">
        <v>6864</v>
      </c>
      <c r="E1312">
        <v>1118</v>
      </c>
      <c r="F1312">
        <v>23</v>
      </c>
      <c r="G1312">
        <v>0.99999999965060704</v>
      </c>
      <c r="H1312">
        <v>0.99999999965060704</v>
      </c>
      <c r="I1312" t="s">
        <v>15155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Notes</vt:lpstr>
      <vt:lpstr>FD1</vt:lpstr>
      <vt:lpstr>FD2</vt:lpstr>
      <vt:lpstr>FD3</vt:lpstr>
      <vt:lpstr>FD4</vt:lpstr>
      <vt:lpstr>FD5</vt:lpstr>
      <vt:lpstr>FD6</vt:lpstr>
      <vt:lpstr>FD7</vt:lpstr>
      <vt:lpstr>FD8</vt:lpstr>
      <vt:lpstr>FD9</vt:lpstr>
      <vt:lpstr>FD10</vt:lpstr>
      <vt:lpstr>FU1</vt:lpstr>
      <vt:lpstr>FU2</vt:lpstr>
      <vt:lpstr>FU3</vt:lpstr>
      <vt:lpstr>FU4</vt:lpstr>
      <vt:lpstr>FU5</vt:lpstr>
      <vt:lpstr>FU6</vt:lpstr>
      <vt:lpstr>FU7</vt:lpstr>
      <vt:lpstr>FU8</vt:lpstr>
      <vt:lpstr>FU9</vt:lpstr>
      <vt:lpstr>FU10</vt:lpstr>
      <vt:lpstr>FU11</vt:lpstr>
      <vt:lpstr>FU12</vt:lpstr>
      <vt:lpstr>FU13</vt:lpstr>
      <vt:lpstr>FU14</vt:lpstr>
      <vt:lpstr>FU15</vt:lpstr>
      <vt:lpstr>FU16</vt:lpstr>
      <vt:lpstr>FU17</vt:lpstr>
      <vt:lpstr>FU18</vt:lpstr>
      <vt:lpstr>FU19</vt:lpstr>
      <vt:lpstr>F1</vt:lpstr>
      <vt:lpstr>F2</vt:lpstr>
      <vt:lpstr>F3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pany</dc:creator>
  <cp:keywords/>
  <dc:description/>
  <cp:lastModifiedBy>Windows User</cp:lastModifiedBy>
  <cp:revision/>
  <dcterms:created xsi:type="dcterms:W3CDTF">2019-06-14T17:12:06Z</dcterms:created>
  <dcterms:modified xsi:type="dcterms:W3CDTF">2020-09-12T21:36:53Z</dcterms:modified>
  <cp:category/>
  <cp:contentStatus/>
</cp:coreProperties>
</file>