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ebastian\Meine Paper\Enhancer Role of LepA in Virulence and Host Cell Invasion in Salmonella Typhimurium\Raw Data\"/>
    </mc:Choice>
  </mc:AlternateContent>
  <xr:revisionPtr revIDLastSave="0" documentId="13_ncr:1_{0C36A81D-7B35-4CAC-8ECC-E02D061D45F3}" xr6:coauthVersionLast="47" xr6:coauthVersionMax="47" xr10:uidLastSave="{00000000-0000-0000-0000-000000000000}"/>
  <bookViews>
    <workbookView xWindow="-120" yWindow="-120" windowWidth="29040" windowHeight="17640" firstSheet="2" activeTab="16" xr2:uid="{74DEA29F-6F8C-431D-BFE9-4EED7A66EED3}"/>
  </bookViews>
  <sheets>
    <sheet name="Fig1A" sheetId="1" r:id="rId1"/>
    <sheet name="Fig1B" sheetId="2" r:id="rId2"/>
    <sheet name="Fig1C" sheetId="3" r:id="rId3"/>
    <sheet name="Fig1D" sheetId="4" r:id="rId4"/>
    <sheet name="Fig1E" sheetId="5" r:id="rId5"/>
    <sheet name="Fig2A" sheetId="6" r:id="rId6"/>
    <sheet name="Fig2B" sheetId="7" r:id="rId7"/>
    <sheet name="Fig2D" sheetId="8" r:id="rId8"/>
    <sheet name="Fig2E" sheetId="9" r:id="rId9"/>
    <sheet name="Fig3" sheetId="10" r:id="rId10"/>
    <sheet name="SFig1A" sheetId="17" r:id="rId11"/>
    <sheet name="SFig1B" sheetId="18" r:id="rId12"/>
    <sheet name="SFig2A" sheetId="19" r:id="rId13"/>
    <sheet name="SFig2B" sheetId="20" r:id="rId14"/>
    <sheet name="SFig3A" sheetId="21" r:id="rId15"/>
    <sheet name="SFig3B" sheetId="22" r:id="rId16"/>
    <sheet name="SFig4" sheetId="23" r:id="rId17"/>
    <sheet name="SFig5A" sheetId="12" r:id="rId18"/>
    <sheet name="SFig5B" sheetId="11" r:id="rId19"/>
    <sheet name="SFig5C" sheetId="13" r:id="rId20"/>
    <sheet name="SFig6A" sheetId="14" r:id="rId21"/>
    <sheet name="SFig7A" sheetId="16" r:id="rId22"/>
  </sheets>
  <externalReferences>
    <externalReference r:id="rId23"/>
    <externalReference r:id="rId2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" i="23" l="1"/>
  <c r="D15" i="23"/>
  <c r="C15" i="23"/>
  <c r="K14" i="21"/>
  <c r="X25" i="22"/>
  <c r="W25" i="22"/>
  <c r="V25" i="22"/>
  <c r="U25" i="22"/>
  <c r="T25" i="22"/>
  <c r="S25" i="22"/>
  <c r="P25" i="22"/>
  <c r="O25" i="22"/>
  <c r="N25" i="22"/>
  <c r="M25" i="22"/>
  <c r="L25" i="22"/>
  <c r="K25" i="22"/>
  <c r="X18" i="22"/>
  <c r="W18" i="22"/>
  <c r="V18" i="22"/>
  <c r="U18" i="22"/>
  <c r="T18" i="22"/>
  <c r="S18" i="22"/>
  <c r="P18" i="22"/>
  <c r="O18" i="22"/>
  <c r="N18" i="22"/>
  <c r="M18" i="22"/>
  <c r="L18" i="22"/>
  <c r="K18" i="22"/>
  <c r="X12" i="22"/>
  <c r="W12" i="22"/>
  <c r="V12" i="22"/>
  <c r="U12" i="22"/>
  <c r="T12" i="22"/>
  <c r="S12" i="22"/>
  <c r="P12" i="22"/>
  <c r="O12" i="22"/>
  <c r="N12" i="22"/>
  <c r="M12" i="22"/>
  <c r="L12" i="22"/>
  <c r="K12" i="22"/>
  <c r="X26" i="21" l="1"/>
  <c r="W26" i="21"/>
  <c r="V26" i="21"/>
  <c r="U26" i="21"/>
  <c r="T26" i="21"/>
  <c r="S26" i="21"/>
  <c r="P26" i="21"/>
  <c r="O26" i="21"/>
  <c r="N26" i="21"/>
  <c r="M26" i="21"/>
  <c r="L26" i="21"/>
  <c r="K26" i="21"/>
  <c r="X20" i="21"/>
  <c r="W20" i="21"/>
  <c r="V20" i="21"/>
  <c r="U20" i="21"/>
  <c r="T20" i="21"/>
  <c r="S20" i="21"/>
  <c r="P20" i="21"/>
  <c r="O20" i="21"/>
  <c r="N20" i="21"/>
  <c r="M20" i="21"/>
  <c r="L20" i="21"/>
  <c r="K20" i="21"/>
  <c r="X14" i="21"/>
  <c r="W14" i="21"/>
  <c r="V14" i="21"/>
  <c r="U14" i="21"/>
  <c r="T14" i="21"/>
  <c r="S14" i="21"/>
  <c r="P14" i="21"/>
  <c r="O14" i="21"/>
  <c r="N14" i="21"/>
  <c r="M14" i="21"/>
  <c r="L14" i="21"/>
  <c r="Q33" i="20" l="1"/>
  <c r="O33" i="20"/>
  <c r="R28" i="20"/>
  <c r="Q28" i="20"/>
  <c r="P28" i="20"/>
  <c r="O28" i="20"/>
  <c r="R27" i="20"/>
  <c r="Q27" i="20"/>
  <c r="P27" i="20"/>
  <c r="O27" i="20"/>
  <c r="R16" i="20"/>
  <c r="Q16" i="20"/>
  <c r="P16" i="20"/>
  <c r="O16" i="20"/>
  <c r="R15" i="20"/>
  <c r="Q15" i="20"/>
  <c r="P15" i="20"/>
  <c r="O15" i="20"/>
  <c r="K33" i="20" l="1"/>
  <c r="I33" i="20"/>
  <c r="L28" i="20"/>
  <c r="K28" i="20"/>
  <c r="L27" i="20"/>
  <c r="K27" i="20"/>
  <c r="J28" i="20"/>
  <c r="I28" i="20"/>
  <c r="J27" i="20"/>
  <c r="I27" i="20"/>
  <c r="L16" i="20"/>
  <c r="K16" i="20"/>
  <c r="J16" i="20"/>
  <c r="I16" i="20"/>
  <c r="L15" i="20"/>
  <c r="K15" i="20"/>
  <c r="J15" i="20"/>
  <c r="I15" i="20"/>
  <c r="E33" i="20" l="1"/>
  <c r="C33" i="20"/>
  <c r="F28" i="20"/>
  <c r="E28" i="20"/>
  <c r="F27" i="20"/>
  <c r="E27" i="20"/>
  <c r="D28" i="20"/>
  <c r="C28" i="20"/>
  <c r="D27" i="20"/>
  <c r="C27" i="20"/>
  <c r="F16" i="20"/>
  <c r="E16" i="20"/>
  <c r="D16" i="20"/>
  <c r="C16" i="20"/>
  <c r="F15" i="20"/>
  <c r="E15" i="20"/>
  <c r="D15" i="20"/>
  <c r="C15" i="20"/>
  <c r="W45" i="19" l="1"/>
  <c r="U45" i="19"/>
  <c r="S45" i="19"/>
  <c r="W44" i="19"/>
  <c r="U44" i="19"/>
  <c r="S44" i="19"/>
  <c r="X40" i="19"/>
  <c r="W40" i="19"/>
  <c r="V40" i="19"/>
  <c r="U40" i="19"/>
  <c r="T40" i="19"/>
  <c r="S40" i="19"/>
  <c r="X39" i="19"/>
  <c r="W39" i="19"/>
  <c r="V39" i="19"/>
  <c r="U39" i="19"/>
  <c r="T39" i="19"/>
  <c r="S39" i="19"/>
  <c r="X30" i="19"/>
  <c r="W30" i="19"/>
  <c r="V30" i="19"/>
  <c r="U30" i="19"/>
  <c r="T30" i="19"/>
  <c r="S30" i="19"/>
  <c r="X29" i="19"/>
  <c r="W29" i="19"/>
  <c r="V29" i="19"/>
  <c r="U29" i="19"/>
  <c r="T29" i="19"/>
  <c r="S29" i="19"/>
  <c r="W18" i="19"/>
  <c r="U18" i="19"/>
  <c r="S18" i="19"/>
  <c r="W17" i="19"/>
  <c r="U17" i="19"/>
  <c r="S17" i="19"/>
  <c r="O45" i="19" l="1"/>
  <c r="M45" i="19"/>
  <c r="K45" i="19"/>
  <c r="O44" i="19"/>
  <c r="M44" i="19"/>
  <c r="K44" i="19"/>
  <c r="P40" i="19"/>
  <c r="O40" i="19"/>
  <c r="N40" i="19"/>
  <c r="M40" i="19"/>
  <c r="L40" i="19"/>
  <c r="K40" i="19"/>
  <c r="P39" i="19"/>
  <c r="O39" i="19"/>
  <c r="N39" i="19"/>
  <c r="M39" i="19"/>
  <c r="L39" i="19"/>
  <c r="K39" i="19"/>
  <c r="P30" i="19"/>
  <c r="O30" i="19"/>
  <c r="N30" i="19"/>
  <c r="M30" i="19"/>
  <c r="L30" i="19"/>
  <c r="K30" i="19"/>
  <c r="P29" i="19"/>
  <c r="O29" i="19"/>
  <c r="N29" i="19"/>
  <c r="M29" i="19"/>
  <c r="L29" i="19"/>
  <c r="K29" i="19"/>
  <c r="O18" i="19"/>
  <c r="M18" i="19"/>
  <c r="K18" i="19"/>
  <c r="O17" i="19"/>
  <c r="M17" i="19"/>
  <c r="K17" i="19"/>
  <c r="G45" i="19" l="1"/>
  <c r="E45" i="19"/>
  <c r="C45" i="19"/>
  <c r="G44" i="19"/>
  <c r="E44" i="19"/>
  <c r="C44" i="19"/>
  <c r="H40" i="19"/>
  <c r="G40" i="19"/>
  <c r="F40" i="19"/>
  <c r="E40" i="19"/>
  <c r="D40" i="19"/>
  <c r="C40" i="19"/>
  <c r="H39" i="19"/>
  <c r="G39" i="19"/>
  <c r="F39" i="19"/>
  <c r="E39" i="19"/>
  <c r="D39" i="19"/>
  <c r="C39" i="19"/>
  <c r="H30" i="19"/>
  <c r="G30" i="19"/>
  <c r="F30" i="19"/>
  <c r="E30" i="19"/>
  <c r="D30" i="19"/>
  <c r="C30" i="19"/>
  <c r="H29" i="19"/>
  <c r="G29" i="19"/>
  <c r="F29" i="19"/>
  <c r="E29" i="19"/>
  <c r="D29" i="19"/>
  <c r="C29" i="19"/>
  <c r="G18" i="19"/>
  <c r="E18" i="19"/>
  <c r="C18" i="19"/>
  <c r="G17" i="19"/>
  <c r="E17" i="19"/>
  <c r="C17" i="19"/>
  <c r="C77" i="1" l="1"/>
  <c r="B77" i="1"/>
  <c r="C76" i="1"/>
  <c r="B76" i="1"/>
  <c r="C75" i="1"/>
  <c r="B75" i="1"/>
  <c r="C74" i="1"/>
  <c r="B74" i="1"/>
  <c r="C73" i="1"/>
  <c r="B73" i="1"/>
  <c r="K18" i="16"/>
  <c r="L18" i="16"/>
  <c r="M18" i="16"/>
  <c r="O18" i="16"/>
  <c r="P18" i="16"/>
  <c r="Q18" i="16"/>
  <c r="K32" i="16"/>
  <c r="O32" i="16"/>
  <c r="K19" i="16"/>
  <c r="L19" i="16"/>
  <c r="M19" i="16"/>
  <c r="N19" i="16"/>
  <c r="O19" i="16"/>
  <c r="P19" i="16"/>
  <c r="Q19" i="16"/>
  <c r="R19" i="16"/>
  <c r="K33" i="16"/>
  <c r="O33" i="16"/>
  <c r="K20" i="16"/>
  <c r="K23" i="16" s="1"/>
  <c r="L20" i="16"/>
  <c r="M20" i="16"/>
  <c r="N20" i="16"/>
  <c r="O20" i="16"/>
  <c r="P20" i="16"/>
  <c r="Q20" i="16"/>
  <c r="R20" i="16"/>
  <c r="K34" i="16"/>
  <c r="O34" i="16"/>
  <c r="K21" i="16"/>
  <c r="L21" i="16"/>
  <c r="M21" i="16"/>
  <c r="N21" i="16"/>
  <c r="O21" i="16"/>
  <c r="P21" i="16"/>
  <c r="Q21" i="16"/>
  <c r="R21" i="16"/>
  <c r="K35" i="16"/>
  <c r="O35" i="16"/>
  <c r="O23" i="16"/>
  <c r="I57" i="16"/>
  <c r="I58" i="16" s="1"/>
  <c r="I64" i="16" s="1"/>
  <c r="H57" i="16"/>
  <c r="H58" i="16" s="1"/>
  <c r="H64" i="16" s="1"/>
  <c r="G57" i="16"/>
  <c r="G58" i="16" s="1"/>
  <c r="G64" i="16" s="1"/>
  <c r="E57" i="16"/>
  <c r="E58" i="16" s="1"/>
  <c r="E64" i="16" s="1"/>
  <c r="D57" i="16"/>
  <c r="D58" i="16" s="1"/>
  <c r="D64" i="16" s="1"/>
  <c r="C57" i="16"/>
  <c r="C58" i="16" s="1"/>
  <c r="C64" i="16" s="1"/>
  <c r="I56" i="16"/>
  <c r="H56" i="16"/>
  <c r="G56" i="16"/>
  <c r="E56" i="16"/>
  <c r="D56" i="16"/>
  <c r="C56" i="16"/>
  <c r="I55" i="16"/>
  <c r="H55" i="16"/>
  <c r="G55" i="16"/>
  <c r="E55" i="16"/>
  <c r="D55" i="16"/>
  <c r="C55" i="16"/>
  <c r="I43" i="16"/>
  <c r="H43" i="16"/>
  <c r="G43" i="16"/>
  <c r="E43" i="16"/>
  <c r="D43" i="16"/>
  <c r="C43" i="16"/>
  <c r="I42" i="16"/>
  <c r="H42" i="16"/>
  <c r="G42" i="16"/>
  <c r="E42" i="16"/>
  <c r="E44" i="16" s="1"/>
  <c r="E50" i="16" s="1"/>
  <c r="D42" i="16"/>
  <c r="C42" i="16"/>
  <c r="I41" i="16"/>
  <c r="I44" i="16" s="1"/>
  <c r="I50" i="16" s="1"/>
  <c r="H41" i="16"/>
  <c r="H44" i="16" s="1"/>
  <c r="H50" i="16" s="1"/>
  <c r="G41" i="16"/>
  <c r="G44" i="16" s="1"/>
  <c r="G50" i="16" s="1"/>
  <c r="F50" i="16" s="1"/>
  <c r="E41" i="16"/>
  <c r="D41" i="16"/>
  <c r="D44" i="16" s="1"/>
  <c r="D50" i="16" s="1"/>
  <c r="C41" i="16"/>
  <c r="C44" i="16" s="1"/>
  <c r="C50" i="16" s="1"/>
  <c r="B50" i="16" s="1"/>
  <c r="G30" i="16"/>
  <c r="G36" i="16" s="1"/>
  <c r="E30" i="16"/>
  <c r="E36" i="16" s="1"/>
  <c r="D30" i="16"/>
  <c r="D36" i="16" s="1"/>
  <c r="C30" i="16"/>
  <c r="C36" i="16" s="1"/>
  <c r="I29" i="16"/>
  <c r="I30" i="16" s="1"/>
  <c r="I36" i="16" s="1"/>
  <c r="H29" i="16"/>
  <c r="H30" i="16" s="1"/>
  <c r="H36" i="16" s="1"/>
  <c r="G29" i="16"/>
  <c r="E29" i="16"/>
  <c r="D29" i="16"/>
  <c r="C29" i="16"/>
  <c r="I28" i="16"/>
  <c r="H28" i="16"/>
  <c r="G28" i="16"/>
  <c r="E28" i="16"/>
  <c r="D28" i="16"/>
  <c r="C28" i="16"/>
  <c r="I27" i="16"/>
  <c r="H27" i="16"/>
  <c r="G27" i="16"/>
  <c r="E27" i="16"/>
  <c r="D27" i="16"/>
  <c r="C27" i="16"/>
  <c r="I15" i="16"/>
  <c r="H15" i="16"/>
  <c r="G15" i="16"/>
  <c r="E15" i="16"/>
  <c r="D15" i="16"/>
  <c r="D16" i="16" s="1"/>
  <c r="D22" i="16" s="1"/>
  <c r="C15" i="16"/>
  <c r="C16" i="16" s="1"/>
  <c r="C22" i="16" s="1"/>
  <c r="I14" i="16"/>
  <c r="H14" i="16"/>
  <c r="G14" i="16"/>
  <c r="E14" i="16"/>
  <c r="E16" i="16" s="1"/>
  <c r="E22" i="16" s="1"/>
  <c r="D14" i="16"/>
  <c r="C14" i="16"/>
  <c r="I13" i="16"/>
  <c r="I16" i="16" s="1"/>
  <c r="I22" i="16" s="1"/>
  <c r="H13" i="16"/>
  <c r="H16" i="16" s="1"/>
  <c r="H22" i="16" s="1"/>
  <c r="G13" i="16"/>
  <c r="G16" i="16" s="1"/>
  <c r="G22" i="16" s="1"/>
  <c r="F22" i="16" s="1"/>
  <c r="E13" i="16"/>
  <c r="D13" i="16"/>
  <c r="C13" i="16"/>
  <c r="K37" i="16" l="1"/>
  <c r="O37" i="16"/>
  <c r="F64" i="16"/>
  <c r="F36" i="16"/>
  <c r="B64" i="16"/>
  <c r="B36" i="16"/>
  <c r="B22" i="16"/>
  <c r="AG33" i="16" l="1"/>
  <c r="AK35" i="16"/>
  <c r="AG35" i="16"/>
  <c r="AN20" i="16"/>
  <c r="AM20" i="16"/>
  <c r="AL20" i="16"/>
  <c r="AK20" i="16"/>
  <c r="AJ20" i="16"/>
  <c r="AI20" i="16"/>
  <c r="AH20" i="16"/>
  <c r="AK34" i="16"/>
  <c r="AG34" i="16"/>
  <c r="AN19" i="16"/>
  <c r="AM19" i="16"/>
  <c r="AL19" i="16"/>
  <c r="AK19" i="16"/>
  <c r="AJ19" i="16"/>
  <c r="AI19" i="16"/>
  <c r="AH19" i="16"/>
  <c r="AG19" i="16"/>
  <c r="AK33" i="16"/>
  <c r="AN18" i="16"/>
  <c r="AM18" i="16"/>
  <c r="AL18" i="16"/>
  <c r="AK18" i="16" s="1"/>
  <c r="AJ18" i="16"/>
  <c r="AI18" i="16"/>
  <c r="AH18" i="16"/>
  <c r="AG18" i="16" s="1"/>
  <c r="AD43" i="16"/>
  <c r="AC43" i="16"/>
  <c r="AB43" i="16"/>
  <c r="Z43" i="16"/>
  <c r="Y43" i="16"/>
  <c r="X43" i="16"/>
  <c r="AD42" i="16"/>
  <c r="AC42" i="16"/>
  <c r="AB42" i="16"/>
  <c r="Z42" i="16"/>
  <c r="Y42" i="16"/>
  <c r="X42" i="16"/>
  <c r="AD41" i="16"/>
  <c r="AD44" i="16" s="1"/>
  <c r="AD50" i="16" s="1"/>
  <c r="AC41" i="16"/>
  <c r="AB41" i="16"/>
  <c r="Z41" i="16"/>
  <c r="Y41" i="16"/>
  <c r="X41" i="16"/>
  <c r="AD29" i="16"/>
  <c r="AC29" i="16"/>
  <c r="AB29" i="16"/>
  <c r="Z29" i="16"/>
  <c r="Y29" i="16"/>
  <c r="X29" i="16"/>
  <c r="AD28" i="16"/>
  <c r="AC28" i="16"/>
  <c r="AB28" i="16"/>
  <c r="Z28" i="16"/>
  <c r="Y28" i="16"/>
  <c r="X28" i="16"/>
  <c r="AD27" i="16"/>
  <c r="AC27" i="16"/>
  <c r="AB27" i="16"/>
  <c r="AB30" i="16" s="1"/>
  <c r="AB36" i="16" s="1"/>
  <c r="Z27" i="16"/>
  <c r="Y27" i="16"/>
  <c r="X27" i="16"/>
  <c r="AD15" i="16"/>
  <c r="AC15" i="16"/>
  <c r="AB15" i="16"/>
  <c r="Z15" i="16"/>
  <c r="Y15" i="16"/>
  <c r="X15" i="16"/>
  <c r="AD14" i="16"/>
  <c r="AC14" i="16"/>
  <c r="AB14" i="16"/>
  <c r="Z14" i="16"/>
  <c r="Y14" i="16"/>
  <c r="X14" i="16"/>
  <c r="X16" i="16" s="1"/>
  <c r="X22" i="16" s="1"/>
  <c r="AD13" i="16"/>
  <c r="AC13" i="16"/>
  <c r="AB13" i="16"/>
  <c r="Z13" i="16"/>
  <c r="Y13" i="16"/>
  <c r="X13" i="16"/>
  <c r="Z16" i="16" l="1"/>
  <c r="Z22" i="16" s="1"/>
  <c r="AG20" i="16"/>
  <c r="Y16" i="16"/>
  <c r="Y22" i="16" s="1"/>
  <c r="AB16" i="16"/>
  <c r="AB22" i="16" s="1"/>
  <c r="AA22" i="16" s="1"/>
  <c r="W22" i="16"/>
  <c r="AG23" i="16"/>
  <c r="X30" i="16"/>
  <c r="X36" i="16" s="1"/>
  <c r="Y30" i="16"/>
  <c r="Y36" i="16" s="1"/>
  <c r="AC30" i="16"/>
  <c r="AC36" i="16" s="1"/>
  <c r="X44" i="16"/>
  <c r="X50" i="16" s="1"/>
  <c r="Y44" i="16"/>
  <c r="Y50" i="16" s="1"/>
  <c r="Z44" i="16"/>
  <c r="Z50" i="16" s="1"/>
  <c r="AB44" i="16"/>
  <c r="AB50" i="16" s="1"/>
  <c r="AA50" i="16" s="1"/>
  <c r="AC16" i="16"/>
  <c r="AC22" i="16" s="1"/>
  <c r="AC44" i="16"/>
  <c r="AC50" i="16" s="1"/>
  <c r="AD30" i="16"/>
  <c r="AD36" i="16" s="1"/>
  <c r="AA36" i="16" s="1"/>
  <c r="Z30" i="16"/>
  <c r="Z36" i="16" s="1"/>
  <c r="AD16" i="16"/>
  <c r="AD22" i="16" s="1"/>
  <c r="AK23" i="16"/>
  <c r="W36" i="16"/>
  <c r="AK38" i="16"/>
  <c r="AG38" i="16"/>
  <c r="W50" i="16" l="1"/>
  <c r="AA38" i="14"/>
  <c r="Z38" i="14"/>
  <c r="AA37" i="14"/>
  <c r="Z37" i="14"/>
  <c r="AA36" i="14"/>
  <c r="Z36" i="14"/>
  <c r="AA35" i="14"/>
  <c r="Z35" i="14"/>
  <c r="AA25" i="14"/>
  <c r="Z25" i="14"/>
  <c r="AA24" i="14"/>
  <c r="Z24" i="14"/>
  <c r="AA23" i="14"/>
  <c r="Z23" i="14"/>
  <c r="AA22" i="14"/>
  <c r="Z22" i="14"/>
  <c r="AA12" i="14"/>
  <c r="Z12" i="14"/>
  <c r="AA11" i="14"/>
  <c r="Z11" i="14"/>
  <c r="AA10" i="14"/>
  <c r="Z10" i="14"/>
  <c r="AA9" i="14"/>
  <c r="Z9" i="14"/>
  <c r="B168" i="10" l="1"/>
  <c r="C168" i="10"/>
  <c r="D168" i="10"/>
  <c r="B169" i="10"/>
  <c r="C169" i="10"/>
  <c r="D169" i="10"/>
  <c r="B171" i="10"/>
  <c r="C171" i="10"/>
  <c r="D171" i="10"/>
  <c r="B112" i="10" l="1"/>
  <c r="C112" i="10"/>
  <c r="D112" i="10"/>
  <c r="B113" i="10"/>
  <c r="C113" i="10"/>
  <c r="D113" i="10"/>
  <c r="B115" i="10"/>
  <c r="C115" i="10"/>
  <c r="D115" i="10"/>
  <c r="D59" i="10"/>
  <c r="C59" i="10"/>
  <c r="B59" i="10"/>
  <c r="D57" i="10"/>
  <c r="C57" i="10"/>
  <c r="B57" i="10"/>
  <c r="D56" i="10"/>
  <c r="C56" i="10"/>
  <c r="B56" i="10"/>
  <c r="M29" i="8"/>
  <c r="N29" i="8"/>
  <c r="P29" i="8"/>
  <c r="Q29" i="8"/>
  <c r="M35" i="8"/>
  <c r="N35" i="8"/>
  <c r="P35" i="8"/>
  <c r="Q35" i="8"/>
  <c r="Q47" i="8" s="1"/>
  <c r="M47" i="8"/>
  <c r="N47" i="8"/>
  <c r="P47" i="8"/>
  <c r="M59" i="8"/>
  <c r="M69" i="8" s="1"/>
  <c r="N59" i="8"/>
  <c r="N69" i="8" s="1"/>
  <c r="Q59" i="8" l="1"/>
  <c r="Q69" i="8" s="1"/>
  <c r="P59" i="8"/>
  <c r="P69" i="8" s="1"/>
  <c r="G29" i="8" l="1"/>
  <c r="H29" i="8"/>
  <c r="J29" i="8"/>
  <c r="K29" i="8"/>
  <c r="G35" i="8"/>
  <c r="H35" i="8"/>
  <c r="J35" i="8"/>
  <c r="K35" i="8"/>
  <c r="G47" i="8"/>
  <c r="H47" i="8"/>
  <c r="K47" i="8"/>
  <c r="G59" i="8"/>
  <c r="G69" i="8" s="1"/>
  <c r="H59" i="8"/>
  <c r="H69" i="8" s="1"/>
  <c r="J47" i="8" l="1"/>
  <c r="K59" i="8"/>
  <c r="K69" i="8" s="1"/>
  <c r="J59" i="8"/>
  <c r="J69" i="8" s="1"/>
  <c r="A29" i="8" l="1"/>
  <c r="B29" i="8"/>
  <c r="D29" i="8"/>
  <c r="E29" i="8"/>
  <c r="A35" i="8"/>
  <c r="B35" i="8"/>
  <c r="B47" i="8" s="1"/>
  <c r="D35" i="8"/>
  <c r="E35" i="8"/>
  <c r="A47" i="8"/>
  <c r="A59" i="8" s="1"/>
  <c r="A69" i="8" s="1"/>
  <c r="E47" i="8"/>
  <c r="B59" i="8" l="1"/>
  <c r="B69" i="8" s="1"/>
  <c r="D47" i="8"/>
  <c r="E59" i="8"/>
  <c r="E69" i="8" s="1"/>
  <c r="D59" i="8"/>
  <c r="D69" i="8" s="1"/>
  <c r="J12" i="7" l="1"/>
  <c r="W24" i="7"/>
  <c r="V24" i="7"/>
  <c r="U24" i="7"/>
  <c r="T24" i="7"/>
  <c r="S24" i="7"/>
  <c r="R24" i="7"/>
  <c r="O24" i="7"/>
  <c r="N24" i="7"/>
  <c r="M24" i="7"/>
  <c r="L24" i="7"/>
  <c r="K24" i="7"/>
  <c r="J24" i="7"/>
  <c r="W18" i="7"/>
  <c r="V18" i="7"/>
  <c r="U18" i="7"/>
  <c r="T18" i="7"/>
  <c r="S18" i="7"/>
  <c r="R18" i="7"/>
  <c r="O18" i="7"/>
  <c r="N18" i="7"/>
  <c r="M18" i="7"/>
  <c r="L18" i="7"/>
  <c r="K18" i="7"/>
  <c r="J18" i="7"/>
  <c r="W12" i="7"/>
  <c r="V12" i="7"/>
  <c r="U12" i="7"/>
  <c r="T12" i="7"/>
  <c r="S12" i="7"/>
  <c r="R12" i="7"/>
  <c r="O12" i="7"/>
  <c r="N12" i="7"/>
  <c r="M12" i="7"/>
  <c r="L12" i="7"/>
  <c r="K12" i="7"/>
  <c r="AH37" i="6"/>
  <c r="AI37" i="6"/>
  <c r="AJ37" i="6"/>
  <c r="AH38" i="6"/>
  <c r="AI38" i="6"/>
  <c r="AJ38" i="6"/>
  <c r="AH39" i="6"/>
  <c r="AI39" i="6"/>
  <c r="AJ39" i="6"/>
  <c r="AH40" i="6"/>
  <c r="AH41" i="6" s="1"/>
  <c r="AI40" i="6"/>
  <c r="AI41" i="6" s="1"/>
  <c r="AJ40" i="6"/>
  <c r="AJ43" i="6" s="1"/>
  <c r="AJ44" i="6" s="1"/>
  <c r="AH43" i="6"/>
  <c r="AI43" i="6"/>
  <c r="AI44" i="6" s="1"/>
  <c r="AD37" i="6"/>
  <c r="AE37" i="6"/>
  <c r="AF37" i="6"/>
  <c r="AD38" i="6"/>
  <c r="AE38" i="6"/>
  <c r="AF38" i="6"/>
  <c r="AD39" i="6"/>
  <c r="AE39" i="6"/>
  <c r="AF39" i="6"/>
  <c r="AD40" i="6"/>
  <c r="AD41" i="6" s="1"/>
  <c r="AE40" i="6"/>
  <c r="AE41" i="6" s="1"/>
  <c r="AF40" i="6"/>
  <c r="AF43" i="6" s="1"/>
  <c r="AJ42" i="6" l="1"/>
  <c r="AJ41" i="6"/>
  <c r="AI42" i="6"/>
  <c r="AH42" i="6"/>
  <c r="AE43" i="6"/>
  <c r="AE44" i="6" s="1"/>
  <c r="AD43" i="6"/>
  <c r="AE42" i="6"/>
  <c r="AF42" i="6"/>
  <c r="AD42" i="6"/>
  <c r="AF41" i="6"/>
  <c r="AF44" i="6" l="1"/>
  <c r="V37" i="6"/>
  <c r="U37" i="6"/>
  <c r="T37" i="6"/>
  <c r="R37" i="6"/>
  <c r="Q37" i="6"/>
  <c r="P37" i="6"/>
  <c r="T38" i="6"/>
  <c r="U38" i="6"/>
  <c r="V38" i="6"/>
  <c r="T39" i="6"/>
  <c r="U39" i="6"/>
  <c r="V39" i="6"/>
  <c r="P38" i="6"/>
  <c r="Q38" i="6"/>
  <c r="R38" i="6"/>
  <c r="P39" i="6"/>
  <c r="Q39" i="6"/>
  <c r="R39" i="6"/>
  <c r="Q40" i="6" l="1"/>
  <c r="P40" i="6"/>
  <c r="P42" i="6" s="1"/>
  <c r="U40" i="6"/>
  <c r="U41" i="6" s="1"/>
  <c r="R40" i="6"/>
  <c r="R41" i="6" s="1"/>
  <c r="V40" i="6"/>
  <c r="T40" i="6"/>
  <c r="T41" i="6"/>
  <c r="T42" i="6"/>
  <c r="T43" i="6"/>
  <c r="U43" i="6"/>
  <c r="U44" i="6" s="1"/>
  <c r="U42" i="6"/>
  <c r="R43" i="6"/>
  <c r="V43" i="6"/>
  <c r="V44" i="6" s="1"/>
  <c r="V41" i="6"/>
  <c r="V42" i="6"/>
  <c r="P41" i="6"/>
  <c r="Q43" i="6"/>
  <c r="Q44" i="6" s="1"/>
  <c r="R42" i="6"/>
  <c r="Q41" i="6"/>
  <c r="P43" i="6" l="1"/>
  <c r="Q42" i="6"/>
  <c r="R44" i="6"/>
  <c r="F37" i="6"/>
  <c r="G37" i="6"/>
  <c r="H37" i="6"/>
  <c r="F38" i="6"/>
  <c r="G38" i="6"/>
  <c r="H38" i="6"/>
  <c r="F39" i="6"/>
  <c r="G39" i="6"/>
  <c r="H39" i="6"/>
  <c r="B37" i="6"/>
  <c r="C37" i="6"/>
  <c r="D37" i="6"/>
  <c r="B38" i="6"/>
  <c r="C38" i="6"/>
  <c r="D38" i="6"/>
  <c r="B39" i="6"/>
  <c r="C39" i="6"/>
  <c r="D39" i="6"/>
  <c r="B40" i="6" l="1"/>
  <c r="B43" i="6" s="1"/>
  <c r="F40" i="6"/>
  <c r="F43" i="6" s="1"/>
  <c r="C40" i="6"/>
  <c r="C41" i="6" s="1"/>
  <c r="D40" i="6"/>
  <c r="D43" i="6" s="1"/>
  <c r="H40" i="6"/>
  <c r="G40" i="6"/>
  <c r="G41" i="6" s="1"/>
  <c r="H42" i="6"/>
  <c r="H43" i="6"/>
  <c r="F42" i="6"/>
  <c r="D42" i="6"/>
  <c r="B42" i="6"/>
  <c r="C43" i="6" l="1"/>
  <c r="C44" i="6" s="1"/>
  <c r="D41" i="6"/>
  <c r="B41" i="6"/>
  <c r="C42" i="6"/>
  <c r="G43" i="6"/>
  <c r="G44" i="6" s="1"/>
  <c r="F41" i="6"/>
  <c r="H41" i="6"/>
  <c r="G42" i="6"/>
  <c r="D44" i="6"/>
  <c r="H44" i="6" l="1"/>
  <c r="P30" i="5"/>
  <c r="Q27" i="5"/>
  <c r="P27" i="5"/>
  <c r="Q26" i="5"/>
  <c r="P26" i="5"/>
  <c r="Q15" i="5"/>
  <c r="P15" i="5"/>
  <c r="Q14" i="5"/>
  <c r="P14" i="5"/>
  <c r="N30" i="5"/>
  <c r="O27" i="5"/>
  <c r="N27" i="5"/>
  <c r="O26" i="5"/>
  <c r="N26" i="5"/>
  <c r="O15" i="5"/>
  <c r="N15" i="5"/>
  <c r="O14" i="5"/>
  <c r="N14" i="5"/>
  <c r="J30" i="5" l="1"/>
  <c r="K27" i="5"/>
  <c r="J27" i="5"/>
  <c r="K26" i="5"/>
  <c r="J26" i="5"/>
  <c r="K15" i="5"/>
  <c r="J15" i="5"/>
  <c r="K14" i="5"/>
  <c r="J14" i="5"/>
  <c r="H30" i="5"/>
  <c r="I27" i="5"/>
  <c r="H27" i="5"/>
  <c r="I26" i="5"/>
  <c r="H26" i="5"/>
  <c r="I15" i="5"/>
  <c r="H15" i="5"/>
  <c r="I14" i="5"/>
  <c r="H14" i="5"/>
  <c r="D30" i="5" l="1"/>
  <c r="B30" i="5"/>
  <c r="E27" i="5"/>
  <c r="D27" i="5"/>
  <c r="C27" i="5"/>
  <c r="B27" i="5"/>
  <c r="E26" i="5"/>
  <c r="D26" i="5"/>
  <c r="C26" i="5"/>
  <c r="B26" i="5"/>
  <c r="E15" i="5"/>
  <c r="D15" i="5"/>
  <c r="C15" i="5"/>
  <c r="B15" i="5"/>
  <c r="E14" i="5"/>
  <c r="D14" i="5"/>
  <c r="C14" i="5"/>
  <c r="B14" i="5"/>
  <c r="V28" i="4" l="1"/>
  <c r="W25" i="4"/>
  <c r="V25" i="4"/>
  <c r="W24" i="4"/>
  <c r="V24" i="4"/>
  <c r="W13" i="4"/>
  <c r="V13" i="4"/>
  <c r="W12" i="4"/>
  <c r="V12" i="4"/>
  <c r="T28" i="4"/>
  <c r="U25" i="4"/>
  <c r="T25" i="4"/>
  <c r="U24" i="4"/>
  <c r="T24" i="4"/>
  <c r="U13" i="4"/>
  <c r="T13" i="4"/>
  <c r="U12" i="4"/>
  <c r="T12" i="4"/>
  <c r="Q13" i="4" l="1"/>
  <c r="P13" i="4"/>
  <c r="Q12" i="4"/>
  <c r="P12" i="4"/>
  <c r="P28" i="4" l="1"/>
  <c r="Q25" i="4"/>
  <c r="P25" i="4"/>
  <c r="Q24" i="4"/>
  <c r="P24" i="4"/>
  <c r="N28" i="4"/>
  <c r="O25" i="4"/>
  <c r="N25" i="4"/>
  <c r="O24" i="4"/>
  <c r="N24" i="4"/>
  <c r="O13" i="4"/>
  <c r="N13" i="4"/>
  <c r="O12" i="4"/>
  <c r="N12" i="4"/>
  <c r="J28" i="4" l="1"/>
  <c r="K25" i="4"/>
  <c r="J25" i="4"/>
  <c r="K24" i="4"/>
  <c r="J24" i="4"/>
  <c r="K13" i="4"/>
  <c r="J13" i="4"/>
  <c r="K12" i="4"/>
  <c r="J12" i="4"/>
  <c r="H28" i="4"/>
  <c r="I25" i="4"/>
  <c r="H25" i="4"/>
  <c r="I24" i="4"/>
  <c r="H24" i="4"/>
  <c r="I13" i="4"/>
  <c r="H13" i="4"/>
  <c r="I12" i="4"/>
  <c r="H12" i="4"/>
  <c r="D28" i="4" l="1"/>
  <c r="E25" i="4"/>
  <c r="D25" i="4"/>
  <c r="E24" i="4"/>
  <c r="D24" i="4"/>
  <c r="E13" i="4"/>
  <c r="D13" i="4"/>
  <c r="E12" i="4"/>
  <c r="D12" i="4"/>
  <c r="B28" i="4"/>
  <c r="C25" i="4"/>
  <c r="B25" i="4"/>
  <c r="C24" i="4"/>
  <c r="B24" i="4"/>
  <c r="C13" i="4"/>
  <c r="B13" i="4"/>
  <c r="C12" i="4"/>
  <c r="B12" i="4"/>
  <c r="H72" i="2" l="1"/>
  <c r="AA34" i="3" l="1"/>
  <c r="Z34" i="3"/>
  <c r="AH34" i="3"/>
  <c r="AF34" i="3"/>
  <c r="AI28" i="3"/>
  <c r="AH28" i="3"/>
  <c r="AG28" i="3"/>
  <c r="AF28" i="3"/>
  <c r="AC28" i="3"/>
  <c r="AB28" i="3"/>
  <c r="AA28" i="3"/>
  <c r="Z28" i="3"/>
  <c r="AI27" i="3"/>
  <c r="AH27" i="3"/>
  <c r="AG27" i="3"/>
  <c r="AF27" i="3"/>
  <c r="AC27" i="3"/>
  <c r="AB27" i="3"/>
  <c r="AA27" i="3"/>
  <c r="Z27" i="3"/>
  <c r="AA15" i="3"/>
  <c r="Z15" i="3"/>
  <c r="AA14" i="3"/>
  <c r="Z14" i="3"/>
  <c r="J35" i="3" l="1"/>
  <c r="H35" i="3"/>
  <c r="P34" i="3" l="1"/>
  <c r="O34" i="3"/>
  <c r="V34" i="3"/>
  <c r="T34" i="3"/>
  <c r="W28" i="3"/>
  <c r="V28" i="3"/>
  <c r="U28" i="3"/>
  <c r="T28" i="3"/>
  <c r="Q28" i="3"/>
  <c r="P28" i="3"/>
  <c r="O28" i="3"/>
  <c r="N28" i="3"/>
  <c r="W27" i="3"/>
  <c r="V27" i="3"/>
  <c r="U27" i="3"/>
  <c r="T27" i="3"/>
  <c r="Q27" i="3"/>
  <c r="P27" i="3"/>
  <c r="O27" i="3"/>
  <c r="N27" i="3"/>
  <c r="O15" i="3"/>
  <c r="N15" i="3"/>
  <c r="O14" i="3"/>
  <c r="N14" i="3"/>
  <c r="C35" i="3" l="1"/>
  <c r="B35" i="3"/>
  <c r="K28" i="3"/>
  <c r="J28" i="3"/>
  <c r="I28" i="3"/>
  <c r="H28" i="3"/>
  <c r="E28" i="3"/>
  <c r="D28" i="3"/>
  <c r="C28" i="3"/>
  <c r="B28" i="3"/>
  <c r="K27" i="3"/>
  <c r="J27" i="3"/>
  <c r="I27" i="3"/>
  <c r="H27" i="3"/>
  <c r="E27" i="3"/>
  <c r="D27" i="3"/>
  <c r="C27" i="3"/>
  <c r="B27" i="3"/>
  <c r="C15" i="3"/>
  <c r="B15" i="3"/>
  <c r="C14" i="3"/>
  <c r="B14" i="3"/>
  <c r="T32" i="2" l="1"/>
  <c r="U32" i="2"/>
  <c r="W27" i="2"/>
  <c r="V27" i="2"/>
  <c r="U27" i="2"/>
  <c r="T27" i="2"/>
  <c r="W26" i="2"/>
  <c r="V26" i="2"/>
  <c r="U26" i="2"/>
  <c r="T26" i="2"/>
  <c r="W15" i="2"/>
  <c r="V15" i="2"/>
  <c r="U15" i="2"/>
  <c r="T15" i="2"/>
  <c r="W14" i="2"/>
  <c r="V14" i="2"/>
  <c r="U14" i="2"/>
  <c r="T14" i="2"/>
  <c r="N72" i="2" l="1"/>
  <c r="O72" i="2"/>
  <c r="N73" i="2"/>
  <c r="O73" i="2"/>
  <c r="N74" i="2"/>
  <c r="O74" i="2"/>
  <c r="N75" i="2"/>
  <c r="O75" i="2"/>
  <c r="N76" i="2"/>
  <c r="O76" i="2"/>
  <c r="Q67" i="2"/>
  <c r="P67" i="2"/>
  <c r="O67" i="2"/>
  <c r="N67" i="2"/>
  <c r="Q66" i="2"/>
  <c r="P66" i="2"/>
  <c r="O66" i="2"/>
  <c r="N66" i="2"/>
  <c r="Q57" i="2"/>
  <c r="P57" i="2"/>
  <c r="O57" i="2"/>
  <c r="N57" i="2"/>
  <c r="Q56" i="2"/>
  <c r="P56" i="2"/>
  <c r="O56" i="2"/>
  <c r="N56" i="2"/>
  <c r="Q47" i="2"/>
  <c r="P47" i="2"/>
  <c r="O47" i="2"/>
  <c r="N47" i="2"/>
  <c r="Q46" i="2"/>
  <c r="P46" i="2"/>
  <c r="O46" i="2"/>
  <c r="N46" i="2"/>
  <c r="Q37" i="2"/>
  <c r="P37" i="2"/>
  <c r="O37" i="2"/>
  <c r="N37" i="2"/>
  <c r="Q36" i="2"/>
  <c r="P36" i="2"/>
  <c r="O36" i="2"/>
  <c r="N36" i="2"/>
  <c r="Q27" i="2"/>
  <c r="P27" i="2"/>
  <c r="O27" i="2"/>
  <c r="N27" i="2"/>
  <c r="Q26" i="2"/>
  <c r="P26" i="2"/>
  <c r="O26" i="2"/>
  <c r="N26" i="2"/>
  <c r="Q15" i="2"/>
  <c r="P15" i="2"/>
  <c r="O15" i="2"/>
  <c r="N15" i="2"/>
  <c r="Q14" i="2"/>
  <c r="P14" i="2"/>
  <c r="O14" i="2"/>
  <c r="N14" i="2"/>
  <c r="K67" i="2" l="1"/>
  <c r="J67" i="2"/>
  <c r="I67" i="2"/>
  <c r="H67" i="2"/>
  <c r="K66" i="2"/>
  <c r="J66" i="2"/>
  <c r="I66" i="2"/>
  <c r="H66" i="2"/>
  <c r="K57" i="2"/>
  <c r="J57" i="2"/>
  <c r="I57" i="2"/>
  <c r="H57" i="2"/>
  <c r="K56" i="2"/>
  <c r="J56" i="2"/>
  <c r="I56" i="2"/>
  <c r="H56" i="2"/>
  <c r="K47" i="2"/>
  <c r="J47" i="2"/>
  <c r="I47" i="2"/>
  <c r="H47" i="2"/>
  <c r="K46" i="2"/>
  <c r="J46" i="2"/>
  <c r="I46" i="2"/>
  <c r="H46" i="2"/>
  <c r="K37" i="2"/>
  <c r="J37" i="2"/>
  <c r="I37" i="2"/>
  <c r="H37" i="2"/>
  <c r="K36" i="2"/>
  <c r="J36" i="2"/>
  <c r="I36" i="2"/>
  <c r="H36" i="2"/>
  <c r="K27" i="2"/>
  <c r="J27" i="2"/>
  <c r="I27" i="2"/>
  <c r="H27" i="2"/>
  <c r="I76" i="2"/>
  <c r="H76" i="2"/>
  <c r="K26" i="2"/>
  <c r="J26" i="2"/>
  <c r="I26" i="2"/>
  <c r="H26" i="2"/>
  <c r="I75" i="2"/>
  <c r="H75" i="2"/>
  <c r="I74" i="2"/>
  <c r="H74" i="2"/>
  <c r="I73" i="2"/>
  <c r="H73" i="2"/>
  <c r="I72" i="2"/>
  <c r="K15" i="2"/>
  <c r="J15" i="2"/>
  <c r="I15" i="2"/>
  <c r="H15" i="2"/>
  <c r="K14" i="2"/>
  <c r="J14" i="2"/>
  <c r="I14" i="2"/>
  <c r="H14" i="2"/>
  <c r="B72" i="2" l="1"/>
  <c r="C72" i="2"/>
  <c r="B73" i="2"/>
  <c r="C73" i="2"/>
  <c r="B74" i="2"/>
  <c r="C74" i="2"/>
  <c r="B75" i="2"/>
  <c r="C75" i="2"/>
  <c r="B76" i="2"/>
  <c r="C76" i="2"/>
  <c r="E67" i="2"/>
  <c r="D67" i="2"/>
  <c r="C67" i="2"/>
  <c r="B67" i="2"/>
  <c r="E66" i="2"/>
  <c r="D66" i="2"/>
  <c r="C66" i="2"/>
  <c r="B66" i="2"/>
  <c r="E57" i="2"/>
  <c r="D57" i="2"/>
  <c r="C57" i="2"/>
  <c r="B57" i="2"/>
  <c r="E56" i="2"/>
  <c r="D56" i="2"/>
  <c r="C56" i="2"/>
  <c r="B56" i="2"/>
  <c r="E47" i="2"/>
  <c r="D47" i="2"/>
  <c r="C47" i="2"/>
  <c r="B47" i="2"/>
  <c r="E46" i="2"/>
  <c r="D46" i="2"/>
  <c r="C46" i="2"/>
  <c r="B46" i="2"/>
  <c r="E37" i="2"/>
  <c r="D37" i="2"/>
  <c r="C37" i="2"/>
  <c r="B37" i="2"/>
  <c r="E36" i="2"/>
  <c r="D36" i="2"/>
  <c r="C36" i="2"/>
  <c r="B36" i="2"/>
  <c r="E27" i="2"/>
  <c r="D27" i="2"/>
  <c r="C27" i="2"/>
  <c r="B27" i="2"/>
  <c r="E26" i="2"/>
  <c r="D26" i="2"/>
  <c r="C26" i="2"/>
  <c r="B26" i="2"/>
  <c r="E15" i="2"/>
  <c r="D15" i="2"/>
  <c r="C15" i="2"/>
  <c r="B15" i="2"/>
  <c r="E14" i="2"/>
  <c r="D14" i="2"/>
  <c r="C14" i="2"/>
  <c r="B14" i="2"/>
  <c r="T73" i="1" l="1"/>
  <c r="U73" i="1"/>
  <c r="T74" i="1"/>
  <c r="U74" i="1"/>
  <c r="T75" i="1"/>
  <c r="U75" i="1"/>
  <c r="T76" i="1"/>
  <c r="U76" i="1"/>
  <c r="T77" i="1"/>
  <c r="U77" i="1"/>
  <c r="W67" i="1"/>
  <c r="V67" i="1"/>
  <c r="W66" i="1"/>
  <c r="V66" i="1"/>
  <c r="W57" i="1"/>
  <c r="V57" i="1"/>
  <c r="W56" i="1"/>
  <c r="V56" i="1"/>
  <c r="W47" i="1"/>
  <c r="V47" i="1"/>
  <c r="W46" i="1"/>
  <c r="V46" i="1"/>
  <c r="W37" i="1"/>
  <c r="V37" i="1"/>
  <c r="W36" i="1"/>
  <c r="V36" i="1"/>
  <c r="W27" i="1"/>
  <c r="V27" i="1"/>
  <c r="W26" i="1"/>
  <c r="V26" i="1"/>
  <c r="W15" i="1"/>
  <c r="V15" i="1"/>
  <c r="W14" i="1"/>
  <c r="V14" i="1"/>
  <c r="U67" i="1"/>
  <c r="T67" i="1"/>
  <c r="U66" i="1"/>
  <c r="T66" i="1"/>
  <c r="U57" i="1"/>
  <c r="T57" i="1"/>
  <c r="U56" i="1"/>
  <c r="T56" i="1"/>
  <c r="U47" i="1"/>
  <c r="T47" i="1"/>
  <c r="U46" i="1"/>
  <c r="T46" i="1"/>
  <c r="U37" i="1"/>
  <c r="T37" i="1"/>
  <c r="U36" i="1"/>
  <c r="T36" i="1"/>
  <c r="U27" i="1"/>
  <c r="T27" i="1"/>
  <c r="U26" i="1"/>
  <c r="T26" i="1"/>
  <c r="U15" i="1"/>
  <c r="T15" i="1"/>
  <c r="U14" i="1"/>
  <c r="T14" i="1"/>
  <c r="N73" i="1" l="1"/>
  <c r="O73" i="1"/>
  <c r="N74" i="1"/>
  <c r="O74" i="1"/>
  <c r="N75" i="1"/>
  <c r="O75" i="1"/>
  <c r="N76" i="1"/>
  <c r="O76" i="1"/>
  <c r="N77" i="1"/>
  <c r="O77" i="1"/>
  <c r="Q67" i="1"/>
  <c r="P67" i="1"/>
  <c r="Q66" i="1"/>
  <c r="P66" i="1"/>
  <c r="Q57" i="1"/>
  <c r="P57" i="1"/>
  <c r="Q56" i="1"/>
  <c r="P56" i="1"/>
  <c r="Q47" i="1"/>
  <c r="P47" i="1"/>
  <c r="Q46" i="1"/>
  <c r="P46" i="1"/>
  <c r="Q37" i="1"/>
  <c r="P37" i="1"/>
  <c r="Q36" i="1"/>
  <c r="P36" i="1"/>
  <c r="Q27" i="1"/>
  <c r="P27" i="1"/>
  <c r="Q26" i="1"/>
  <c r="P26" i="1"/>
  <c r="Q15" i="1"/>
  <c r="P15" i="1"/>
  <c r="Q14" i="1"/>
  <c r="P14" i="1"/>
  <c r="O67" i="1"/>
  <c r="N67" i="1"/>
  <c r="O66" i="1"/>
  <c r="N66" i="1"/>
  <c r="O57" i="1"/>
  <c r="N57" i="1"/>
  <c r="O56" i="1"/>
  <c r="N56" i="1"/>
  <c r="O47" i="1"/>
  <c r="N47" i="1"/>
  <c r="O46" i="1"/>
  <c r="N46" i="1"/>
  <c r="O37" i="1"/>
  <c r="N37" i="1"/>
  <c r="O36" i="1"/>
  <c r="N36" i="1"/>
  <c r="O27" i="1"/>
  <c r="N27" i="1"/>
  <c r="O26" i="1"/>
  <c r="N26" i="1"/>
  <c r="O15" i="1"/>
  <c r="N15" i="1"/>
  <c r="O14" i="1"/>
  <c r="N14" i="1"/>
  <c r="H73" i="1" l="1"/>
  <c r="I73" i="1"/>
  <c r="H74" i="1"/>
  <c r="I74" i="1"/>
  <c r="H75" i="1"/>
  <c r="I75" i="1"/>
  <c r="H76" i="1"/>
  <c r="I76" i="1"/>
  <c r="H77" i="1"/>
  <c r="I77" i="1"/>
  <c r="K67" i="1"/>
  <c r="J67" i="1"/>
  <c r="K66" i="1"/>
  <c r="J66" i="1"/>
  <c r="K57" i="1"/>
  <c r="J57" i="1"/>
  <c r="K56" i="1"/>
  <c r="J56" i="1"/>
  <c r="K47" i="1"/>
  <c r="J47" i="1"/>
  <c r="K46" i="1"/>
  <c r="J46" i="1"/>
  <c r="K37" i="1"/>
  <c r="J37" i="1"/>
  <c r="K36" i="1"/>
  <c r="J36" i="1"/>
  <c r="K27" i="1"/>
  <c r="J27" i="1"/>
  <c r="K26" i="1"/>
  <c r="J26" i="1"/>
  <c r="K15" i="1"/>
  <c r="J15" i="1"/>
  <c r="K14" i="1"/>
  <c r="J14" i="1"/>
  <c r="I67" i="1"/>
  <c r="H67" i="1"/>
  <c r="I66" i="1"/>
  <c r="H66" i="1"/>
  <c r="I57" i="1"/>
  <c r="H57" i="1"/>
  <c r="I56" i="1"/>
  <c r="H56" i="1"/>
  <c r="I47" i="1"/>
  <c r="H47" i="1"/>
  <c r="I46" i="1"/>
  <c r="H46" i="1"/>
  <c r="I37" i="1"/>
  <c r="H37" i="1"/>
  <c r="I36" i="1"/>
  <c r="H36" i="1"/>
  <c r="I27" i="1"/>
  <c r="H27" i="1"/>
  <c r="I26" i="1"/>
  <c r="H26" i="1"/>
  <c r="I15" i="1"/>
  <c r="H15" i="1"/>
  <c r="I14" i="1"/>
  <c r="H14" i="1"/>
  <c r="E67" i="1" l="1"/>
  <c r="D67" i="1"/>
  <c r="E66" i="1"/>
  <c r="D66" i="1"/>
  <c r="E57" i="1"/>
  <c r="D57" i="1"/>
  <c r="E56" i="1"/>
  <c r="D56" i="1"/>
  <c r="E47" i="1"/>
  <c r="D47" i="1"/>
  <c r="E46" i="1"/>
  <c r="D46" i="1"/>
  <c r="E37" i="1"/>
  <c r="D37" i="1"/>
  <c r="E36" i="1"/>
  <c r="D36" i="1"/>
  <c r="E27" i="1"/>
  <c r="D27" i="1"/>
  <c r="E26" i="1"/>
  <c r="D26" i="1"/>
  <c r="E15" i="1"/>
  <c r="D15" i="1"/>
  <c r="E14" i="1"/>
  <c r="D14" i="1"/>
  <c r="C67" i="1"/>
  <c r="B67" i="1"/>
  <c r="C66" i="1"/>
  <c r="B66" i="1"/>
  <c r="C57" i="1"/>
  <c r="B57" i="1"/>
  <c r="C56" i="1"/>
  <c r="B56" i="1"/>
  <c r="C47" i="1"/>
  <c r="B47" i="1"/>
  <c r="C46" i="1"/>
  <c r="B46" i="1"/>
  <c r="C37" i="1"/>
  <c r="B37" i="1"/>
  <c r="C36" i="1"/>
  <c r="B36" i="1"/>
  <c r="C27" i="1"/>
  <c r="B27" i="1"/>
  <c r="C26" i="1"/>
  <c r="B26" i="1"/>
  <c r="C15" i="1"/>
  <c r="B15" i="1"/>
  <c r="C14" i="1"/>
  <c r="B14" i="1"/>
</calcChain>
</file>

<file path=xl/sharedStrings.xml><?xml version="1.0" encoding="utf-8"?>
<sst xmlns="http://schemas.openxmlformats.org/spreadsheetml/2006/main" count="1816" uniqueCount="191">
  <si>
    <t>Stamm:</t>
  </si>
  <si>
    <t>1) 8640</t>
  </si>
  <si>
    <t>2) SB6</t>
  </si>
  <si>
    <r>
      <rPr>
        <b/>
        <sz val="11"/>
        <color rgb="FFFF0000"/>
        <rFont val="Calibri"/>
        <family val="2"/>
        <scheme val="minor"/>
      </rPr>
      <t>vor</t>
    </r>
    <r>
      <rPr>
        <b/>
        <sz val="11"/>
        <color theme="1"/>
        <rFont val="Calibri"/>
        <family val="2"/>
        <scheme val="minor"/>
      </rPr>
      <t xml:space="preserve"> der Infektion</t>
    </r>
  </si>
  <si>
    <t>8640 (1)</t>
  </si>
  <si>
    <t>8640 (2)</t>
  </si>
  <si>
    <t>t0</t>
  </si>
  <si>
    <r>
      <t>10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-&gt;10µl</t>
    </r>
  </si>
  <si>
    <t>x</t>
  </si>
  <si>
    <t>Mittelwert</t>
  </si>
  <si>
    <t>Standardab.</t>
  </si>
  <si>
    <t>CFU/ml</t>
  </si>
  <si>
    <r>
      <rPr>
        <b/>
        <sz val="11"/>
        <color rgb="FFFF0000"/>
        <rFont val="Calibri"/>
        <family val="2"/>
        <scheme val="minor"/>
      </rPr>
      <t>nach</t>
    </r>
    <r>
      <rPr>
        <b/>
        <sz val="11"/>
        <color theme="1"/>
        <rFont val="Calibri"/>
        <family val="2"/>
        <scheme val="minor"/>
      </rPr>
      <t xml:space="preserve"> der Infektion</t>
    </r>
  </si>
  <si>
    <r>
      <t>10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-&gt;10µl</t>
    </r>
  </si>
  <si>
    <t>t2</t>
  </si>
  <si>
    <t>t4</t>
  </si>
  <si>
    <t>t6</t>
  </si>
  <si>
    <t>t24</t>
  </si>
  <si>
    <r>
      <t>10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-&gt;10µl</t>
    </r>
  </si>
  <si>
    <t>lepA (1)</t>
  </si>
  <si>
    <t>lepA (2)</t>
  </si>
  <si>
    <t>unverd.-&gt;10µl</t>
  </si>
  <si>
    <t>SB6</t>
  </si>
  <si>
    <t>mean</t>
  </si>
  <si>
    <t>SB6 (1)</t>
  </si>
  <si>
    <t>SB6 (2)</t>
  </si>
  <si>
    <t>vor der Infektion</t>
  </si>
  <si>
    <t>Standardabweichung</t>
  </si>
  <si>
    <t>nach Infektion (ohne Gentamicin)</t>
  </si>
  <si>
    <t>nach Infektion (mit Gentamicin)</t>
  </si>
  <si>
    <t>unverd-&gt;10µl</t>
  </si>
  <si>
    <t>t30</t>
  </si>
  <si>
    <t>t60</t>
  </si>
  <si>
    <t>A</t>
  </si>
  <si>
    <t>B</t>
  </si>
  <si>
    <t>C</t>
  </si>
  <si>
    <t>D</t>
  </si>
  <si>
    <t>E</t>
  </si>
  <si>
    <t>F</t>
  </si>
  <si>
    <t>G</t>
  </si>
  <si>
    <t>H</t>
  </si>
  <si>
    <t>Ratio lepA/WT</t>
  </si>
  <si>
    <t>cntrl - lacZ</t>
  </si>
  <si>
    <t>Ratio lacZ/cntrl</t>
  </si>
  <si>
    <t>Ratio Mut/WT</t>
  </si>
  <si>
    <t>SB6 hilA</t>
  </si>
  <si>
    <t>8640 hilA</t>
  </si>
  <si>
    <t>8640 Cntrl</t>
  </si>
  <si>
    <t>Miller Units</t>
  </si>
  <si>
    <t>SB6 sipC</t>
  </si>
  <si>
    <t>8640 sipC</t>
  </si>
  <si>
    <t>1) SB473</t>
  </si>
  <si>
    <t>2) SB474</t>
  </si>
  <si>
    <t>3) SB478</t>
  </si>
  <si>
    <t>4) SB479</t>
  </si>
  <si>
    <t>2) SB212</t>
  </si>
  <si>
    <t>1) SB210</t>
  </si>
  <si>
    <t>(FitcA=150)</t>
  </si>
  <si>
    <t>Mean (FITC)</t>
  </si>
  <si>
    <t>netto gfp</t>
  </si>
  <si>
    <t>SB210</t>
  </si>
  <si>
    <t>SB212</t>
  </si>
  <si>
    <t>3) 8640</t>
  </si>
  <si>
    <t>CT-Werte</t>
  </si>
  <si>
    <t>8640 LB</t>
  </si>
  <si>
    <t>SB6 LB</t>
  </si>
  <si>
    <t>8640 DMEM</t>
  </si>
  <si>
    <t>SB6 DMEM</t>
  </si>
  <si>
    <t>siiE</t>
  </si>
  <si>
    <t>trpA</t>
  </si>
  <si>
    <t>2^-ΔΔCt (Durchsnitt)</t>
  </si>
  <si>
    <t>ΔΔCt (Durchschnitt)</t>
  </si>
  <si>
    <t>Norm. to trpA (ΔCT) -&gt; Durchschnitt</t>
  </si>
  <si>
    <t>CT (Durchschnitt)</t>
  </si>
  <si>
    <t>Stamm</t>
  </si>
  <si>
    <t>3) 9436</t>
  </si>
  <si>
    <t>diameter of circle (mm)</t>
  </si>
  <si>
    <t xml:space="preserve">3) SB556 </t>
  </si>
  <si>
    <t>t (h)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</si>
  <si>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</si>
  <si>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</si>
  <si>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</si>
  <si>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</si>
  <si>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</si>
  <si>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</si>
  <si>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</si>
  <si>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</si>
  <si>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</si>
  <si>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</si>
  <si>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</si>
  <si>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</si>
  <si>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</si>
  <si>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</si>
  <si>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</si>
  <si>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lepA+</t>
  </si>
  <si>
    <t>PBS (cntrl)</t>
  </si>
  <si>
    <t>CFU</t>
  </si>
  <si>
    <t xml:space="preserve">SB6 </t>
  </si>
  <si>
    <t>in 10µl</t>
  </si>
  <si>
    <t>0 = lebendig</t>
  </si>
  <si>
    <t>1 = tot</t>
  </si>
  <si>
    <t>SB556</t>
  </si>
  <si>
    <t>LB</t>
  </si>
  <si>
    <t>Time</t>
  </si>
  <si>
    <t>T° 600</t>
  </si>
  <si>
    <t>A1</t>
  </si>
  <si>
    <t>A2</t>
  </si>
  <si>
    <t>A3</t>
  </si>
  <si>
    <t>A4</t>
  </si>
  <si>
    <t>A5</t>
  </si>
  <si>
    <t>A6</t>
  </si>
  <si>
    <t>A7</t>
  </si>
  <si>
    <t>A8</t>
  </si>
  <si>
    <t>B1</t>
  </si>
  <si>
    <t>B2</t>
  </si>
  <si>
    <t>B3</t>
  </si>
  <si>
    <t>B4</t>
  </si>
  <si>
    <t>B5</t>
  </si>
  <si>
    <t>B6</t>
  </si>
  <si>
    <t>B7</t>
  </si>
  <si>
    <t>B8</t>
  </si>
  <si>
    <t>A10</t>
  </si>
  <si>
    <t>A11</t>
  </si>
  <si>
    <t>A12</t>
  </si>
  <si>
    <t>C10</t>
  </si>
  <si>
    <t>C11</t>
  </si>
  <si>
    <t>C12</t>
  </si>
  <si>
    <t>D11</t>
  </si>
  <si>
    <t>D12</t>
  </si>
  <si>
    <t>D2</t>
  </si>
  <si>
    <t>D3</t>
  </si>
  <si>
    <t>D4</t>
  </si>
  <si>
    <t>D10</t>
  </si>
  <si>
    <t>600nm</t>
  </si>
  <si>
    <t>8640 Glucose</t>
  </si>
  <si>
    <t>Time (s)</t>
  </si>
  <si>
    <t>SB6 Glucose</t>
  </si>
  <si>
    <t>8640 Maltose</t>
  </si>
  <si>
    <t>SB6 Maltose</t>
  </si>
  <si>
    <t>C2</t>
  </si>
  <si>
    <t>C5</t>
  </si>
  <si>
    <t>F5</t>
  </si>
  <si>
    <t>F6</t>
  </si>
  <si>
    <t>F7</t>
  </si>
  <si>
    <t>E2</t>
  </si>
  <si>
    <t>E3</t>
  </si>
  <si>
    <t>E4</t>
  </si>
  <si>
    <t>SB6 glycerol</t>
  </si>
  <si>
    <t>8640 glycerol</t>
  </si>
  <si>
    <t>8640 Pepton</t>
  </si>
  <si>
    <t>SB6 Pepton</t>
  </si>
  <si>
    <t>Lagtime [600]</t>
  </si>
  <si>
    <t>?????</t>
  </si>
  <si>
    <t>CCCP</t>
  </si>
  <si>
    <t>1) 8640 + pDR122</t>
  </si>
  <si>
    <t>2) SB6 + pDR122</t>
  </si>
  <si>
    <t>Oszillierung</t>
  </si>
  <si>
    <t>Norm to length (Oszilierung/Länge)</t>
  </si>
  <si>
    <t>Oszillierung (sec)</t>
  </si>
  <si>
    <t>GFP (Mittelwert von vier Zeitpunkten)</t>
  </si>
  <si>
    <t>Bakterienlänge (length, µM)</t>
  </si>
  <si>
    <t>28°C</t>
  </si>
  <si>
    <t>37°C</t>
  </si>
  <si>
    <t>Bakterienlänge (µM)</t>
  </si>
  <si>
    <t>Infection ratio (WT / mutant)</t>
  </si>
  <si>
    <t>J774A.1</t>
  </si>
  <si>
    <t>Caco-2</t>
  </si>
  <si>
    <t>3) SB580</t>
  </si>
  <si>
    <t>lepA+ (1)</t>
  </si>
  <si>
    <t>lepA+ (2)</t>
  </si>
  <si>
    <r>
      <t>10</t>
    </r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-&gt;10µl</t>
    </r>
  </si>
  <si>
    <t>t1</t>
  </si>
  <si>
    <t xml:space="preserve"> </t>
  </si>
  <si>
    <t>2) SB210</t>
  </si>
  <si>
    <t>SB580</t>
  </si>
  <si>
    <t>3) SB212</t>
  </si>
  <si>
    <t>Medium:</t>
  </si>
  <si>
    <t>1) LB</t>
  </si>
  <si>
    <t>2) M9 + 5mM Acetat</t>
  </si>
  <si>
    <t>3) M9 ohne Mg</t>
  </si>
  <si>
    <t>4) M9 mit 4% Glucose</t>
  </si>
  <si>
    <t>5) M9 mikroaerophil (Zellkulturinkubator)</t>
  </si>
  <si>
    <t>6) DMEN (Zellkulturinkubator)</t>
  </si>
  <si>
    <t>2) SB214</t>
  </si>
  <si>
    <t>3) SB216</t>
  </si>
  <si>
    <t>% GFP</t>
  </si>
  <si>
    <t>internal</t>
  </si>
  <si>
    <t>ratio (Mut/WT)</t>
  </si>
  <si>
    <t>external</t>
  </si>
  <si>
    <t>SB214</t>
  </si>
  <si>
    <t>SB216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</si>
</sst>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20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color rgb="FF27413E"/>
      <name val="Arial"/>
      <family val="2"/>
    </font>
    <font>
      <sz val="10"/>
      <color rgb="FF000000"/>
      <name val="Arial"/>
      <family val="2"/>
    </font>
    <font>
      <sz val="7"/>
      <color rgb="FF00000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u/>
      <sz val="10"/>
      <color rgb="FF000000"/>
      <name val="Arial"/>
      <family val="2"/>
    </font>
    <font>
      <sz val="10"/>
      <color indexed="8"/>
      <name val="Arial"/>
      <family val="2"/>
    </font>
    <font>
      <b/>
      <sz val="11"/>
      <color rgb="FF9C5700"/>
      <name val="Calibri"/>
      <family val="2"/>
      <scheme val="minor"/>
    </font>
    <font>
      <b/>
      <sz val="11"/>
      <color rgb="FF006100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9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BCEEA"/>
        <bgColor indexed="64"/>
      </patternFill>
    </fill>
    <fill>
      <patternFill patternType="solid">
        <fgColor rgb="FFC9E0F4"/>
        <bgColor indexed="64"/>
      </patternFill>
    </fill>
    <fill>
      <patternFill patternType="solid">
        <fgColor rgb="FFBAD7EF"/>
        <bgColor indexed="64"/>
      </patternFill>
    </fill>
    <fill>
      <patternFill patternType="solid">
        <fgColor rgb="FF7EB2DB"/>
        <bgColor indexed="64"/>
      </patternFill>
    </fill>
    <fill>
      <patternFill patternType="solid">
        <fgColor rgb="FFE8F3FF"/>
        <bgColor indexed="64"/>
      </patternFill>
    </fill>
    <fill>
      <patternFill patternType="solid">
        <fgColor rgb="FF9CC5E5"/>
        <bgColor indexed="64"/>
      </patternFill>
    </fill>
    <fill>
      <patternFill patternType="solid">
        <fgColor rgb="FF8DBCE0"/>
        <bgColor indexed="64"/>
      </patternFill>
    </fill>
    <fill>
      <patternFill patternType="solid">
        <fgColor rgb="FF6FA9D6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14" fillId="19" borderId="0" applyNumberFormat="0" applyBorder="0" applyAlignment="0" applyProtection="0"/>
    <xf numFmtId="0" fontId="15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2" fillId="3" borderId="1" xfId="2"/>
    <xf numFmtId="11" fontId="2" fillId="3" borderId="1" xfId="2" applyNumberFormat="1"/>
    <xf numFmtId="11" fontId="0" fillId="0" borderId="0" xfId="0" applyNumberFormat="1"/>
    <xf numFmtId="0" fontId="0" fillId="9" borderId="2" xfId="0" applyFill="1" applyBorder="1" applyAlignment="1">
      <alignment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4" fillId="4" borderId="2" xfId="3" applyBorder="1" applyAlignment="1">
      <alignment horizontal="center" vertical="center" wrapText="1"/>
    </xf>
    <xf numFmtId="0" fontId="4" fillId="5" borderId="2" xfId="4" applyBorder="1" applyAlignment="1">
      <alignment horizontal="center" vertical="center" wrapText="1"/>
    </xf>
    <xf numFmtId="0" fontId="4" fillId="6" borderId="2" xfId="5" applyBorder="1" applyAlignment="1">
      <alignment horizontal="center" vertical="center" wrapText="1"/>
    </xf>
    <xf numFmtId="0" fontId="1" fillId="2" borderId="2" xfId="1" applyBorder="1" applyAlignment="1">
      <alignment horizontal="center" vertical="center" wrapText="1"/>
    </xf>
    <xf numFmtId="0" fontId="4" fillId="7" borderId="2" xfId="6" applyBorder="1" applyAlignment="1">
      <alignment horizontal="center" vertical="center" wrapText="1"/>
    </xf>
    <xf numFmtId="0" fontId="4" fillId="8" borderId="2" xfId="7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center" vertical="center" wrapText="1"/>
    </xf>
    <xf numFmtId="0" fontId="8" fillId="15" borderId="2" xfId="0" applyFont="1" applyFill="1" applyBorder="1" applyAlignment="1">
      <alignment horizontal="center" vertical="center" wrapText="1"/>
    </xf>
    <xf numFmtId="0" fontId="8" fillId="16" borderId="2" xfId="0" applyFont="1" applyFill="1" applyBorder="1" applyAlignment="1">
      <alignment horizontal="center" vertical="center" wrapText="1"/>
    </xf>
    <xf numFmtId="0" fontId="8" fillId="17" borderId="2" xfId="0" applyFont="1" applyFill="1" applyBorder="1" applyAlignment="1">
      <alignment horizontal="center" vertical="center" wrapText="1"/>
    </xf>
    <xf numFmtId="0" fontId="8" fillId="18" borderId="2" xfId="0" applyFont="1" applyFill="1" applyBorder="1" applyAlignment="1">
      <alignment horizontal="center" vertical="center" wrapText="1"/>
    </xf>
    <xf numFmtId="0" fontId="4" fillId="6" borderId="0" xfId="5"/>
    <xf numFmtId="0" fontId="4" fillId="5" borderId="0" xfId="4"/>
    <xf numFmtId="0" fontId="4" fillId="4" borderId="0" xfId="3"/>
    <xf numFmtId="0" fontId="10" fillId="0" borderId="0" xfId="0" applyFont="1"/>
    <xf numFmtId="0" fontId="4" fillId="8" borderId="0" xfId="7"/>
    <xf numFmtId="0" fontId="4" fillId="7" borderId="0" xfId="6"/>
    <xf numFmtId="14" fontId="3" fillId="0" borderId="0" xfId="0" applyNumberFormat="1" applyFont="1"/>
    <xf numFmtId="0" fontId="11" fillId="0" borderId="0" xfId="0" applyFont="1"/>
    <xf numFmtId="0" fontId="12" fillId="0" borderId="0" xfId="0" applyFont="1"/>
    <xf numFmtId="0" fontId="16" fillId="0" borderId="0" xfId="0" applyFont="1" applyAlignment="1">
      <alignment horizontal="left" vertical="center" wrapText="1"/>
    </xf>
    <xf numFmtId="0" fontId="13" fillId="21" borderId="0" xfId="10"/>
    <xf numFmtId="0" fontId="13" fillId="24" borderId="0" xfId="13"/>
    <xf numFmtId="0" fontId="13" fillId="27" borderId="0" xfId="16"/>
    <xf numFmtId="21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6" fontId="8" fillId="0" borderId="2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28" borderId="3" xfId="0" applyFont="1" applyFill="1" applyBorder="1" applyAlignment="1">
      <alignment horizontal="center" vertical="center" wrapText="1"/>
    </xf>
    <xf numFmtId="21" fontId="17" fillId="0" borderId="3" xfId="0" applyNumberFormat="1" applyFont="1" applyBorder="1"/>
    <xf numFmtId="0" fontId="17" fillId="0" borderId="3" xfId="0" applyFont="1" applyBorder="1"/>
    <xf numFmtId="0" fontId="13" fillId="21" borderId="3" xfId="10" applyBorder="1"/>
    <xf numFmtId="0" fontId="13" fillId="24" borderId="3" xfId="13" applyBorder="1"/>
    <xf numFmtId="0" fontId="13" fillId="22" borderId="0" xfId="11"/>
    <xf numFmtId="0" fontId="13" fillId="25" borderId="0" xfId="14"/>
    <xf numFmtId="0" fontId="13" fillId="22" borderId="3" xfId="11" applyBorder="1"/>
    <xf numFmtId="0" fontId="13" fillId="25" borderId="3" xfId="14" applyBorder="1"/>
    <xf numFmtId="0" fontId="13" fillId="21" borderId="2" xfId="10" applyBorder="1" applyAlignment="1">
      <alignment horizontal="center" vertical="center" wrapText="1"/>
    </xf>
    <xf numFmtId="0" fontId="13" fillId="22" borderId="2" xfId="11" applyBorder="1" applyAlignment="1">
      <alignment horizontal="center" vertical="center" wrapText="1"/>
    </xf>
    <xf numFmtId="0" fontId="13" fillId="25" borderId="2" xfId="14" applyBorder="1" applyAlignment="1">
      <alignment horizontal="center" vertical="center" wrapText="1"/>
    </xf>
    <xf numFmtId="46" fontId="17" fillId="0" borderId="3" xfId="0" applyNumberFormat="1" applyFont="1" applyBorder="1"/>
    <xf numFmtId="0" fontId="13" fillId="23" borderId="0" xfId="12"/>
    <xf numFmtId="0" fontId="13" fillId="26" borderId="0" xfId="15"/>
    <xf numFmtId="0" fontId="13" fillId="23" borderId="3" xfId="12" applyBorder="1"/>
    <xf numFmtId="0" fontId="13" fillId="26" borderId="3" xfId="15" applyBorder="1"/>
    <xf numFmtId="21" fontId="13" fillId="21" borderId="2" xfId="10" applyNumberFormat="1" applyBorder="1" applyAlignment="1">
      <alignment horizontal="center" vertical="center" wrapText="1"/>
    </xf>
    <xf numFmtId="21" fontId="13" fillId="24" borderId="2" xfId="13" applyNumberFormat="1" applyBorder="1" applyAlignment="1">
      <alignment horizontal="center" vertical="center" wrapText="1"/>
    </xf>
    <xf numFmtId="14" fontId="0" fillId="0" borderId="0" xfId="0" applyNumberFormat="1"/>
    <xf numFmtId="3" fontId="0" fillId="0" borderId="0" xfId="0" applyNumberFormat="1"/>
    <xf numFmtId="3" fontId="3" fillId="0" borderId="0" xfId="0" applyNumberFormat="1" applyFont="1"/>
    <xf numFmtId="3" fontId="2" fillId="3" borderId="1" xfId="2" applyNumberFormat="1"/>
    <xf numFmtId="164" fontId="2" fillId="3" borderId="1" xfId="2" applyNumberFormat="1"/>
    <xf numFmtId="164" fontId="14" fillId="19" borderId="0" xfId="8" applyNumberFormat="1"/>
    <xf numFmtId="0" fontId="18" fillId="20" borderId="0" xfId="9" applyFont="1"/>
    <xf numFmtId="164" fontId="19" fillId="19" borderId="0" xfId="8" applyNumberFormat="1" applyFont="1"/>
    <xf numFmtId="0" fontId="15" fillId="20" borderId="0" xfId="9"/>
    <xf numFmtId="164" fontId="0" fillId="0" borderId="0" xfId="0" applyNumberFormat="1"/>
  </cellXfs>
  <cellStyles count="17">
    <cellStyle name="20 % - Akzent1" xfId="10" builtinId="30"/>
    <cellStyle name="20 % - Akzent2" xfId="13" builtinId="34"/>
    <cellStyle name="20 % - Akzent6" xfId="16" builtinId="50"/>
    <cellStyle name="40 % - Akzent1" xfId="11" builtinId="31"/>
    <cellStyle name="40 % - Akzent2" xfId="14" builtinId="35"/>
    <cellStyle name="60 % - Akzent1" xfId="12" builtinId="32"/>
    <cellStyle name="60 % - Akzent2" xfId="15" builtinId="36"/>
    <cellStyle name="Akzent1" xfId="3" builtinId="29"/>
    <cellStyle name="Akzent2" xfId="4" builtinId="33"/>
    <cellStyle name="Akzent3" xfId="5" builtinId="37"/>
    <cellStyle name="Akzent4" xfId="6" builtinId="41"/>
    <cellStyle name="Akzent6" xfId="7" builtinId="49"/>
    <cellStyle name="Berechnung" xfId="2" builtinId="22"/>
    <cellStyle name="Gut" xfId="8" builtinId="26"/>
    <cellStyle name="Neutral" xfId="9" builtinId="28"/>
    <cellStyle name="Schlecht" xfId="1" builtinId="27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vetmed\WE07\Institutslaufwerk\AG%20Fulde\Sebastian\Invasion\J774%20A1%20und%20CaCo-2\CaCo-2\8640%20SB6\09.10.25\09.10.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vetmed\WE07\Institutslaufwerk\AG%20Fulde\Sebastian\Adhesion%20Assay\4&#176;C\8640%20SB6\CaCo2\05.04.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e1"/>
    </sheetNames>
    <sheetDataSet>
      <sheetData sheetId="0">
        <row r="37">
          <cell r="E37">
            <v>20660</v>
          </cell>
          <cell r="F37">
            <v>22000</v>
          </cell>
          <cell r="G37">
            <v>6900</v>
          </cell>
          <cell r="H37">
            <v>6333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e1"/>
    </sheetNames>
    <sheetDataSet>
      <sheetData sheetId="0">
        <row r="42">
          <cell r="E42">
            <v>86660</v>
          </cell>
          <cell r="F42">
            <v>65660</v>
          </cell>
          <cell r="G42">
            <v>45660</v>
          </cell>
          <cell r="H42">
            <v>52000</v>
          </cell>
          <cell r="K42">
            <v>200</v>
          </cell>
          <cell r="L42">
            <v>200</v>
          </cell>
          <cell r="M42">
            <v>300</v>
          </cell>
          <cell r="N42">
            <v>366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83D45-AFF0-4EA6-AC4F-E3F06AA509DF}">
  <dimension ref="A1:W77"/>
  <sheetViews>
    <sheetView zoomScale="90" zoomScaleNormal="90" workbookViewId="0">
      <selection activeCell="E76" sqref="E76"/>
    </sheetView>
  </sheetViews>
  <sheetFormatPr baseColWidth="10" defaultRowHeight="15" x14ac:dyDescent="0.25"/>
  <sheetData>
    <row r="1" spans="1:23" x14ac:dyDescent="0.25">
      <c r="A1" t="s">
        <v>0</v>
      </c>
      <c r="B1" s="1" t="s">
        <v>1</v>
      </c>
    </row>
    <row r="2" spans="1:23" x14ac:dyDescent="0.25">
      <c r="B2" s="1" t="s">
        <v>2</v>
      </c>
    </row>
    <row r="7" spans="1:23" x14ac:dyDescent="0.25">
      <c r="A7" s="1" t="s">
        <v>3</v>
      </c>
      <c r="G7" s="1" t="s">
        <v>3</v>
      </c>
      <c r="M7" s="1" t="s">
        <v>3</v>
      </c>
      <c r="S7" s="1" t="s">
        <v>3</v>
      </c>
    </row>
    <row r="9" spans="1:23" x14ac:dyDescent="0.25">
      <c r="B9" s="1" t="s">
        <v>4</v>
      </c>
      <c r="C9" s="1" t="s">
        <v>5</v>
      </c>
      <c r="D9" s="1" t="s">
        <v>19</v>
      </c>
      <c r="E9" s="1" t="s">
        <v>20</v>
      </c>
      <c r="H9" s="1" t="s">
        <v>4</v>
      </c>
      <c r="I9" s="1" t="s">
        <v>5</v>
      </c>
      <c r="J9" s="1" t="s">
        <v>19</v>
      </c>
      <c r="K9" s="1" t="s">
        <v>20</v>
      </c>
      <c r="N9" s="1" t="s">
        <v>4</v>
      </c>
      <c r="O9" s="1" t="s">
        <v>5</v>
      </c>
      <c r="P9" s="1" t="s">
        <v>19</v>
      </c>
      <c r="Q9" s="1" t="s">
        <v>20</v>
      </c>
      <c r="T9" s="1" t="s">
        <v>4</v>
      </c>
      <c r="U9" s="1" t="s">
        <v>5</v>
      </c>
      <c r="V9" s="1" t="s">
        <v>19</v>
      </c>
      <c r="W9" s="1" t="s">
        <v>20</v>
      </c>
    </row>
    <row r="10" spans="1:23" ht="17.25" x14ac:dyDescent="0.25">
      <c r="A10" t="s">
        <v>6</v>
      </c>
      <c r="B10" t="s">
        <v>7</v>
      </c>
      <c r="G10" t="s">
        <v>6</v>
      </c>
      <c r="H10" t="s">
        <v>18</v>
      </c>
      <c r="M10" t="s">
        <v>6</v>
      </c>
      <c r="N10" t="s">
        <v>18</v>
      </c>
      <c r="S10" t="s">
        <v>6</v>
      </c>
      <c r="T10" t="s">
        <v>18</v>
      </c>
    </row>
    <row r="11" spans="1:23" x14ac:dyDescent="0.25">
      <c r="B11">
        <v>187</v>
      </c>
      <c r="C11" t="s">
        <v>8</v>
      </c>
      <c r="D11">
        <v>164</v>
      </c>
      <c r="E11" t="s">
        <v>8</v>
      </c>
      <c r="H11">
        <v>43</v>
      </c>
      <c r="I11" t="s">
        <v>8</v>
      </c>
      <c r="J11">
        <v>34</v>
      </c>
      <c r="K11" t="s">
        <v>8</v>
      </c>
      <c r="N11">
        <v>123</v>
      </c>
      <c r="O11" t="s">
        <v>8</v>
      </c>
      <c r="P11">
        <v>133</v>
      </c>
      <c r="Q11" t="s">
        <v>8</v>
      </c>
      <c r="T11">
        <v>25</v>
      </c>
      <c r="U11" t="s">
        <v>8</v>
      </c>
      <c r="V11">
        <v>17</v>
      </c>
      <c r="W11" t="s">
        <v>8</v>
      </c>
    </row>
    <row r="12" spans="1:23" x14ac:dyDescent="0.25">
      <c r="B12">
        <v>180</v>
      </c>
      <c r="C12" t="s">
        <v>8</v>
      </c>
      <c r="D12">
        <v>156</v>
      </c>
      <c r="E12" t="s">
        <v>8</v>
      </c>
      <c r="H12">
        <v>33</v>
      </c>
      <c r="I12" t="s">
        <v>8</v>
      </c>
      <c r="J12">
        <v>34</v>
      </c>
      <c r="K12" t="s">
        <v>8</v>
      </c>
      <c r="N12">
        <v>130</v>
      </c>
      <c r="O12" t="s">
        <v>8</v>
      </c>
      <c r="P12">
        <v>146</v>
      </c>
      <c r="Q12" t="s">
        <v>8</v>
      </c>
      <c r="T12">
        <v>24</v>
      </c>
      <c r="U12" t="s">
        <v>8</v>
      </c>
      <c r="V12">
        <v>17</v>
      </c>
      <c r="W12" t="s">
        <v>8</v>
      </c>
    </row>
    <row r="13" spans="1:23" x14ac:dyDescent="0.25">
      <c r="B13">
        <v>202</v>
      </c>
      <c r="C13" t="s">
        <v>8</v>
      </c>
      <c r="D13">
        <v>177</v>
      </c>
      <c r="E13" t="s">
        <v>8</v>
      </c>
      <c r="H13">
        <v>56</v>
      </c>
      <c r="I13" t="s">
        <v>8</v>
      </c>
      <c r="J13">
        <v>46</v>
      </c>
      <c r="K13" t="s">
        <v>8</v>
      </c>
      <c r="N13">
        <v>134</v>
      </c>
      <c r="O13" t="s">
        <v>8</v>
      </c>
      <c r="P13">
        <v>132</v>
      </c>
      <c r="Q13" t="s">
        <v>8</v>
      </c>
      <c r="T13">
        <v>29</v>
      </c>
      <c r="U13" t="s">
        <v>8</v>
      </c>
      <c r="V13">
        <v>16</v>
      </c>
      <c r="W13" t="s">
        <v>8</v>
      </c>
    </row>
    <row r="14" spans="1:23" x14ac:dyDescent="0.25">
      <c r="A14" s="2" t="s">
        <v>9</v>
      </c>
      <c r="B14" s="2">
        <f>AVERAGE(B11:B13)</f>
        <v>189.66666666666666</v>
      </c>
      <c r="C14" s="2" t="e">
        <f>AVERAGE(C11:C13)</f>
        <v>#DIV/0!</v>
      </c>
      <c r="D14" s="2">
        <f>AVERAGE(D11:D13)</f>
        <v>165.66666666666666</v>
      </c>
      <c r="E14" s="2" t="e">
        <f>AVERAGE(E11:E13)</f>
        <v>#DIV/0!</v>
      </c>
      <c r="G14" s="2" t="s">
        <v>9</v>
      </c>
      <c r="H14" s="2">
        <f>AVERAGE(H11:H13)</f>
        <v>44</v>
      </c>
      <c r="I14" s="2" t="e">
        <f>AVERAGE(I11:I13)</f>
        <v>#DIV/0!</v>
      </c>
      <c r="J14" s="2">
        <f>AVERAGE(J11:J13)</f>
        <v>38</v>
      </c>
      <c r="K14" s="2" t="e">
        <f>AVERAGE(K11:K13)</f>
        <v>#DIV/0!</v>
      </c>
      <c r="M14" s="2" t="s">
        <v>9</v>
      </c>
      <c r="N14" s="2">
        <f>AVERAGE(N11:N13)</f>
        <v>129</v>
      </c>
      <c r="O14" s="2" t="e">
        <f>AVERAGE(O11:O13)</f>
        <v>#DIV/0!</v>
      </c>
      <c r="P14" s="2">
        <f>AVERAGE(P11:P13)</f>
        <v>137</v>
      </c>
      <c r="Q14" s="2" t="e">
        <f>AVERAGE(Q11:Q13)</f>
        <v>#DIV/0!</v>
      </c>
      <c r="S14" s="2" t="s">
        <v>9</v>
      </c>
      <c r="T14" s="2">
        <f>AVERAGE(T11:T13)</f>
        <v>26</v>
      </c>
      <c r="U14" s="2" t="e">
        <f>AVERAGE(U11:U13)</f>
        <v>#DIV/0!</v>
      </c>
      <c r="V14" s="2">
        <f>AVERAGE(V11:V13)</f>
        <v>16.666666666666668</v>
      </c>
      <c r="W14" s="2" t="e">
        <f>AVERAGE(W11:W13)</f>
        <v>#DIV/0!</v>
      </c>
    </row>
    <row r="15" spans="1:23" x14ac:dyDescent="0.25">
      <c r="A15" s="2" t="s">
        <v>10</v>
      </c>
      <c r="B15" s="2">
        <f>STDEVA(B11:B13)</f>
        <v>11.239810200058244</v>
      </c>
      <c r="C15" s="2">
        <f>STDEVA(C11:C13)</f>
        <v>0</v>
      </c>
      <c r="D15" s="2">
        <f>STDEVA(D11:D13)</f>
        <v>10.598742063723098</v>
      </c>
      <c r="E15" s="2">
        <f>STDEVA(E11:E13)</f>
        <v>0</v>
      </c>
      <c r="G15" s="2" t="s">
        <v>10</v>
      </c>
      <c r="H15" s="2">
        <f>STDEVA(H11:H13)</f>
        <v>11.532562594670797</v>
      </c>
      <c r="I15" s="2">
        <f>STDEVA(I11:I13)</f>
        <v>0</v>
      </c>
      <c r="J15" s="2">
        <f>STDEVA(J11:J13)</f>
        <v>6.9282032302755088</v>
      </c>
      <c r="K15" s="2">
        <f>STDEVA(K11:K13)</f>
        <v>0</v>
      </c>
      <c r="M15" s="2" t="s">
        <v>10</v>
      </c>
      <c r="N15" s="2">
        <f>STDEVA(N11:N13)</f>
        <v>5.5677643628300215</v>
      </c>
      <c r="O15" s="2">
        <f>STDEVA(O11:O13)</f>
        <v>0</v>
      </c>
      <c r="P15" s="2">
        <f>STDEVA(P11:P13)</f>
        <v>7.810249675906654</v>
      </c>
      <c r="Q15" s="2">
        <f>STDEVA(Q11:Q13)</f>
        <v>0</v>
      </c>
      <c r="S15" s="2" t="s">
        <v>10</v>
      </c>
      <c r="T15" s="2">
        <f>STDEVA(T11:T13)</f>
        <v>2.6457513110645907</v>
      </c>
      <c r="U15" s="2">
        <f>STDEVA(U11:U13)</f>
        <v>0</v>
      </c>
      <c r="V15" s="2">
        <f>STDEVA(V11:V13)</f>
        <v>0.57735026918962584</v>
      </c>
      <c r="W15" s="2">
        <f>STDEVA(W11:W13)</f>
        <v>0</v>
      </c>
    </row>
    <row r="16" spans="1:23" x14ac:dyDescent="0.25">
      <c r="A16" s="2" t="s">
        <v>11</v>
      </c>
      <c r="B16" s="3">
        <v>1896600</v>
      </c>
      <c r="C16" s="2"/>
      <c r="D16" s="3">
        <v>1656600</v>
      </c>
      <c r="E16" s="2"/>
      <c r="G16" s="2" t="s">
        <v>11</v>
      </c>
      <c r="H16" s="3">
        <v>4400000</v>
      </c>
      <c r="I16" s="2"/>
      <c r="J16" s="3">
        <v>3800000</v>
      </c>
      <c r="K16" s="2"/>
      <c r="M16" s="2" t="s">
        <v>11</v>
      </c>
      <c r="N16" s="3">
        <v>12900000</v>
      </c>
      <c r="O16" s="2"/>
      <c r="P16" s="3">
        <v>13700000</v>
      </c>
      <c r="Q16" s="2"/>
      <c r="S16" s="2" t="s">
        <v>11</v>
      </c>
      <c r="T16" s="3">
        <v>2600000</v>
      </c>
      <c r="U16" s="2"/>
      <c r="V16" s="3">
        <v>1666000</v>
      </c>
      <c r="W16" s="2"/>
    </row>
    <row r="19" spans="1:23" x14ac:dyDescent="0.25">
      <c r="A19" s="1" t="s">
        <v>12</v>
      </c>
      <c r="G19" s="1" t="s">
        <v>12</v>
      </c>
      <c r="M19" s="1" t="s">
        <v>12</v>
      </c>
      <c r="S19" s="1" t="s">
        <v>12</v>
      </c>
    </row>
    <row r="21" spans="1:23" x14ac:dyDescent="0.25">
      <c r="B21" s="1" t="s">
        <v>4</v>
      </c>
      <c r="C21" s="1" t="s">
        <v>5</v>
      </c>
      <c r="D21" s="1" t="s">
        <v>19</v>
      </c>
      <c r="E21" s="1" t="s">
        <v>20</v>
      </c>
      <c r="H21" s="1" t="s">
        <v>4</v>
      </c>
      <c r="I21" s="1" t="s">
        <v>5</v>
      </c>
      <c r="J21" s="1" t="s">
        <v>19</v>
      </c>
      <c r="K21" s="1" t="s">
        <v>20</v>
      </c>
      <c r="N21" s="1" t="s">
        <v>4</v>
      </c>
      <c r="O21" s="1" t="s">
        <v>5</v>
      </c>
      <c r="P21" s="1" t="s">
        <v>19</v>
      </c>
      <c r="Q21" s="1" t="s">
        <v>20</v>
      </c>
      <c r="T21" s="1" t="s">
        <v>4</v>
      </c>
      <c r="U21" s="1" t="s">
        <v>5</v>
      </c>
      <c r="V21" s="1" t="s">
        <v>19</v>
      </c>
      <c r="W21" s="1" t="s">
        <v>20</v>
      </c>
    </row>
    <row r="22" spans="1:23" ht="17.25" x14ac:dyDescent="0.25">
      <c r="A22" t="s">
        <v>6</v>
      </c>
      <c r="B22" t="s">
        <v>13</v>
      </c>
      <c r="G22" t="s">
        <v>6</v>
      </c>
      <c r="H22" t="s">
        <v>13</v>
      </c>
      <c r="J22" t="s">
        <v>21</v>
      </c>
      <c r="M22" t="s">
        <v>6</v>
      </c>
      <c r="N22" t="s">
        <v>13</v>
      </c>
      <c r="P22" t="s">
        <v>21</v>
      </c>
      <c r="S22" t="s">
        <v>6</v>
      </c>
      <c r="T22" t="s">
        <v>13</v>
      </c>
    </row>
    <row r="23" spans="1:23" x14ac:dyDescent="0.25">
      <c r="B23">
        <v>70</v>
      </c>
      <c r="C23">
        <v>70</v>
      </c>
      <c r="D23">
        <v>143</v>
      </c>
      <c r="E23">
        <v>126</v>
      </c>
      <c r="H23">
        <v>145</v>
      </c>
      <c r="I23">
        <v>163</v>
      </c>
      <c r="J23">
        <v>211</v>
      </c>
      <c r="K23">
        <v>200</v>
      </c>
      <c r="N23">
        <v>147</v>
      </c>
      <c r="O23">
        <v>129</v>
      </c>
      <c r="P23">
        <v>180</v>
      </c>
      <c r="Q23">
        <v>163</v>
      </c>
      <c r="T23">
        <v>64</v>
      </c>
      <c r="U23">
        <v>45</v>
      </c>
      <c r="V23">
        <v>99</v>
      </c>
      <c r="W23">
        <v>78</v>
      </c>
    </row>
    <row r="24" spans="1:23" x14ac:dyDescent="0.25">
      <c r="B24">
        <v>71</v>
      </c>
      <c r="C24">
        <v>71</v>
      </c>
      <c r="D24">
        <v>136</v>
      </c>
      <c r="E24">
        <v>114</v>
      </c>
      <c r="H24">
        <v>140</v>
      </c>
      <c r="I24">
        <v>173</v>
      </c>
      <c r="J24">
        <v>220</v>
      </c>
      <c r="K24">
        <v>209</v>
      </c>
      <c r="N24">
        <v>143</v>
      </c>
      <c r="O24">
        <v>146</v>
      </c>
      <c r="P24">
        <v>184</v>
      </c>
      <c r="Q24">
        <v>154</v>
      </c>
      <c r="T24">
        <v>50</v>
      </c>
      <c r="U24">
        <v>53</v>
      </c>
      <c r="V24">
        <v>92</v>
      </c>
      <c r="W24">
        <v>71</v>
      </c>
    </row>
    <row r="25" spans="1:23" x14ac:dyDescent="0.25">
      <c r="B25">
        <v>84</v>
      </c>
      <c r="C25">
        <v>84</v>
      </c>
      <c r="D25">
        <v>143</v>
      </c>
      <c r="E25">
        <v>139</v>
      </c>
      <c r="H25">
        <v>151</v>
      </c>
      <c r="I25">
        <v>156</v>
      </c>
      <c r="J25">
        <v>215</v>
      </c>
      <c r="K25">
        <v>211</v>
      </c>
      <c r="N25">
        <v>143</v>
      </c>
      <c r="O25">
        <v>161</v>
      </c>
      <c r="P25">
        <v>182</v>
      </c>
      <c r="Q25">
        <v>185</v>
      </c>
      <c r="T25">
        <v>56</v>
      </c>
      <c r="U25">
        <v>53</v>
      </c>
      <c r="V25">
        <v>93</v>
      </c>
      <c r="W25">
        <v>80</v>
      </c>
    </row>
    <row r="26" spans="1:23" x14ac:dyDescent="0.25">
      <c r="A26" s="2" t="s">
        <v>9</v>
      </c>
      <c r="B26" s="2">
        <f>AVERAGE(B23:B25)</f>
        <v>75</v>
      </c>
      <c r="C26" s="2">
        <f>AVERAGE(C23:C25)</f>
        <v>75</v>
      </c>
      <c r="D26" s="2">
        <f>AVERAGE(D23:D25)</f>
        <v>140.66666666666666</v>
      </c>
      <c r="E26" s="2">
        <f>AVERAGE(E23:E25)</f>
        <v>126.33333333333333</v>
      </c>
      <c r="G26" s="2" t="s">
        <v>9</v>
      </c>
      <c r="H26" s="2">
        <f>AVERAGE(H23:H25)</f>
        <v>145.33333333333334</v>
      </c>
      <c r="I26" s="2">
        <f>AVERAGE(I23:I25)</f>
        <v>164</v>
      </c>
      <c r="J26" s="2">
        <f>AVERAGE(J23:J25)</f>
        <v>215.33333333333334</v>
      </c>
      <c r="K26" s="2">
        <f>AVERAGE(K23:K25)</f>
        <v>206.66666666666666</v>
      </c>
      <c r="M26" s="2" t="s">
        <v>9</v>
      </c>
      <c r="N26" s="2">
        <f>AVERAGE(N23:N25)</f>
        <v>144.33333333333334</v>
      </c>
      <c r="O26" s="2">
        <f>AVERAGE(O23:O25)</f>
        <v>145.33333333333334</v>
      </c>
      <c r="P26" s="2">
        <f>AVERAGE(P23:P25)</f>
        <v>182</v>
      </c>
      <c r="Q26" s="2">
        <f>AVERAGE(Q23:Q25)</f>
        <v>167.33333333333334</v>
      </c>
      <c r="S26" s="2" t="s">
        <v>9</v>
      </c>
      <c r="T26" s="2">
        <f>AVERAGE(T23:T25)</f>
        <v>56.666666666666664</v>
      </c>
      <c r="U26" s="2">
        <f>AVERAGE(U23:U25)</f>
        <v>50.333333333333336</v>
      </c>
      <c r="V26" s="2">
        <f>AVERAGE(V23:V25)</f>
        <v>94.666666666666671</v>
      </c>
      <c r="W26" s="2">
        <f>AVERAGE(W23:W25)</f>
        <v>76.333333333333329</v>
      </c>
    </row>
    <row r="27" spans="1:23" x14ac:dyDescent="0.25">
      <c r="A27" s="2" t="s">
        <v>10</v>
      </c>
      <c r="B27" s="2">
        <f>STDEVA(B23:B25)</f>
        <v>7.810249675906654</v>
      </c>
      <c r="C27" s="2">
        <f>STDEVA(C23:C25)</f>
        <v>7.810249675906654</v>
      </c>
      <c r="D27" s="2">
        <f>STDEVA(D23:D25)</f>
        <v>4.0414518843273806</v>
      </c>
      <c r="E27" s="2">
        <f>STDEVA(E23:E25)</f>
        <v>12.503332889007368</v>
      </c>
      <c r="G27" s="2" t="s">
        <v>10</v>
      </c>
      <c r="H27" s="2">
        <f>STDEVA(H23:H25)</f>
        <v>5.5075705472861021</v>
      </c>
      <c r="I27" s="2">
        <f>STDEVA(I23:I25)</f>
        <v>8.5440037453175304</v>
      </c>
      <c r="J27" s="2">
        <f>STDEVA(J23:J25)</f>
        <v>4.5092497528228943</v>
      </c>
      <c r="K27" s="2">
        <f>STDEVA(K23:K25)</f>
        <v>5.8594652770823146</v>
      </c>
      <c r="M27" s="2" t="s">
        <v>10</v>
      </c>
      <c r="N27" s="2">
        <f>STDEVA(N23:N25)</f>
        <v>2.3094010767585034</v>
      </c>
      <c r="O27" s="2">
        <f>STDEVA(O23:O25)</f>
        <v>16.010413278030438</v>
      </c>
      <c r="P27" s="2">
        <f>STDEVA(P23:P25)</f>
        <v>2</v>
      </c>
      <c r="Q27" s="2">
        <f>STDEVA(Q23:Q25)</f>
        <v>15.947831618540915</v>
      </c>
      <c r="S27" s="2" t="s">
        <v>10</v>
      </c>
      <c r="T27" s="2">
        <f>STDEVA(T23:T25)</f>
        <v>7.0237691685684709</v>
      </c>
      <c r="U27" s="2">
        <f>STDEVA(U23:U25)</f>
        <v>4.6188021535170067</v>
      </c>
      <c r="V27" s="2">
        <f>STDEVA(V23:V25)</f>
        <v>3.7859388972001824</v>
      </c>
      <c r="W27" s="2">
        <f>STDEVA(W23:W25)</f>
        <v>4.7258156262526079</v>
      </c>
    </row>
    <row r="28" spans="1:23" x14ac:dyDescent="0.25">
      <c r="A28" s="2" t="s">
        <v>11</v>
      </c>
      <c r="B28" s="3">
        <v>75000</v>
      </c>
      <c r="C28" s="3">
        <v>75000</v>
      </c>
      <c r="D28" s="3">
        <v>14066</v>
      </c>
      <c r="E28" s="3">
        <v>12633</v>
      </c>
      <c r="G28" s="2" t="s">
        <v>11</v>
      </c>
      <c r="H28" s="3">
        <v>145330</v>
      </c>
      <c r="I28" s="3">
        <v>164000</v>
      </c>
      <c r="J28" s="3">
        <v>21533</v>
      </c>
      <c r="K28" s="3">
        <v>20666</v>
      </c>
      <c r="M28" s="2" t="s">
        <v>11</v>
      </c>
      <c r="N28" s="3">
        <v>144330</v>
      </c>
      <c r="O28" s="3">
        <v>145330</v>
      </c>
      <c r="P28" s="3">
        <v>18200</v>
      </c>
      <c r="Q28" s="3">
        <v>16733</v>
      </c>
      <c r="S28" s="2" t="s">
        <v>11</v>
      </c>
      <c r="T28" s="3">
        <v>56660</v>
      </c>
      <c r="U28" s="3">
        <v>50330</v>
      </c>
      <c r="V28" s="3">
        <v>9466</v>
      </c>
      <c r="W28" s="3">
        <v>7633</v>
      </c>
    </row>
    <row r="31" spans="1:23" x14ac:dyDescent="0.25">
      <c r="B31" s="1" t="s">
        <v>4</v>
      </c>
      <c r="C31" s="1" t="s">
        <v>5</v>
      </c>
      <c r="D31" s="1" t="s">
        <v>19</v>
      </c>
      <c r="E31" s="1" t="s">
        <v>20</v>
      </c>
      <c r="H31" s="1" t="s">
        <v>4</v>
      </c>
      <c r="I31" s="1" t="s">
        <v>5</v>
      </c>
      <c r="J31" s="1" t="s">
        <v>19</v>
      </c>
      <c r="K31" s="1" t="s">
        <v>20</v>
      </c>
      <c r="N31" s="1" t="s">
        <v>4</v>
      </c>
      <c r="O31" s="1" t="s">
        <v>5</v>
      </c>
      <c r="P31" s="1" t="s">
        <v>19</v>
      </c>
      <c r="Q31" s="1" t="s">
        <v>20</v>
      </c>
      <c r="T31" s="1" t="s">
        <v>4</v>
      </c>
      <c r="U31" s="1" t="s">
        <v>5</v>
      </c>
      <c r="V31" s="1" t="s">
        <v>19</v>
      </c>
      <c r="W31" s="1" t="s">
        <v>20</v>
      </c>
    </row>
    <row r="32" spans="1:23" ht="17.25" x14ac:dyDescent="0.25">
      <c r="A32" t="s">
        <v>14</v>
      </c>
      <c r="B32" t="s">
        <v>13</v>
      </c>
      <c r="D32" t="s">
        <v>21</v>
      </c>
      <c r="G32" t="s">
        <v>14</v>
      </c>
      <c r="H32" t="s">
        <v>7</v>
      </c>
      <c r="J32" t="s">
        <v>13</v>
      </c>
      <c r="M32" t="s">
        <v>14</v>
      </c>
      <c r="N32" t="s">
        <v>7</v>
      </c>
      <c r="S32" t="s">
        <v>14</v>
      </c>
      <c r="T32" t="s">
        <v>13</v>
      </c>
      <c r="V32" t="s">
        <v>21</v>
      </c>
    </row>
    <row r="33" spans="1:23" x14ac:dyDescent="0.25">
      <c r="B33">
        <v>122</v>
      </c>
      <c r="C33">
        <v>127</v>
      </c>
      <c r="D33">
        <v>98</v>
      </c>
      <c r="E33">
        <v>62</v>
      </c>
      <c r="H33">
        <v>31</v>
      </c>
      <c r="I33">
        <v>41</v>
      </c>
      <c r="J33">
        <v>23</v>
      </c>
      <c r="K33">
        <v>27</v>
      </c>
      <c r="N33">
        <v>50</v>
      </c>
      <c r="O33">
        <v>46</v>
      </c>
      <c r="P33">
        <v>18</v>
      </c>
      <c r="Q33">
        <v>22</v>
      </c>
      <c r="T33">
        <v>72</v>
      </c>
      <c r="U33">
        <v>69</v>
      </c>
      <c r="V33">
        <v>38</v>
      </c>
      <c r="W33">
        <v>36</v>
      </c>
    </row>
    <row r="34" spans="1:23" x14ac:dyDescent="0.25">
      <c r="B34">
        <v>100</v>
      </c>
      <c r="C34">
        <v>110</v>
      </c>
      <c r="D34">
        <v>83</v>
      </c>
      <c r="E34">
        <v>70</v>
      </c>
      <c r="H34">
        <v>25</v>
      </c>
      <c r="I34">
        <v>37</v>
      </c>
      <c r="J34">
        <v>23</v>
      </c>
      <c r="K34">
        <v>27</v>
      </c>
      <c r="N34">
        <v>36</v>
      </c>
      <c r="O34">
        <v>40</v>
      </c>
      <c r="P34">
        <v>18</v>
      </c>
      <c r="Q34">
        <v>16</v>
      </c>
      <c r="T34">
        <v>85</v>
      </c>
      <c r="U34">
        <v>98</v>
      </c>
      <c r="V34">
        <v>25</v>
      </c>
      <c r="W34">
        <v>25</v>
      </c>
    </row>
    <row r="35" spans="1:23" x14ac:dyDescent="0.25">
      <c r="B35">
        <v>100</v>
      </c>
      <c r="C35">
        <v>128</v>
      </c>
      <c r="D35">
        <v>88</v>
      </c>
      <c r="E35">
        <v>79</v>
      </c>
      <c r="H35">
        <v>28</v>
      </c>
      <c r="I35">
        <v>37</v>
      </c>
      <c r="J35">
        <v>27</v>
      </c>
      <c r="K35">
        <v>22</v>
      </c>
      <c r="N35">
        <v>38</v>
      </c>
      <c r="O35">
        <v>39</v>
      </c>
      <c r="P35">
        <v>20</v>
      </c>
      <c r="Q35">
        <v>24</v>
      </c>
      <c r="T35">
        <v>71</v>
      </c>
      <c r="U35">
        <v>85</v>
      </c>
      <c r="V35">
        <v>25</v>
      </c>
      <c r="W35">
        <v>28</v>
      </c>
    </row>
    <row r="36" spans="1:23" x14ac:dyDescent="0.25">
      <c r="A36" s="2" t="s">
        <v>9</v>
      </c>
      <c r="B36" s="2">
        <f>AVERAGE(B33:B35)</f>
        <v>107.33333333333333</v>
      </c>
      <c r="C36" s="2">
        <f>AVERAGE(C33:C35)</f>
        <v>121.66666666666667</v>
      </c>
      <c r="D36" s="2">
        <f>AVERAGE(D33:D35)</f>
        <v>89.666666666666671</v>
      </c>
      <c r="E36" s="2">
        <f>AVERAGE(E33:E35)</f>
        <v>70.333333333333329</v>
      </c>
      <c r="G36" s="2" t="s">
        <v>9</v>
      </c>
      <c r="H36" s="2">
        <f>AVERAGE(H33:H35)</f>
        <v>28</v>
      </c>
      <c r="I36" s="2">
        <f>AVERAGE(I33:I35)</f>
        <v>38.333333333333336</v>
      </c>
      <c r="J36" s="2">
        <f>AVERAGE(J33:J35)</f>
        <v>24.333333333333332</v>
      </c>
      <c r="K36" s="2">
        <f>AVERAGE(K33:K35)</f>
        <v>25.333333333333332</v>
      </c>
      <c r="M36" s="2" t="s">
        <v>9</v>
      </c>
      <c r="N36" s="2">
        <f>AVERAGE(N33:N35)</f>
        <v>41.333333333333336</v>
      </c>
      <c r="O36" s="2">
        <f>AVERAGE(O33:O35)</f>
        <v>41.666666666666664</v>
      </c>
      <c r="P36" s="2">
        <f>AVERAGE(P33:P35)</f>
        <v>18.666666666666668</v>
      </c>
      <c r="Q36" s="2">
        <f>AVERAGE(Q33:Q35)</f>
        <v>20.666666666666668</v>
      </c>
      <c r="S36" s="2" t="s">
        <v>9</v>
      </c>
      <c r="T36" s="2">
        <f>AVERAGE(T33:T35)</f>
        <v>76</v>
      </c>
      <c r="U36" s="2">
        <f>AVERAGE(U33:U35)</f>
        <v>84</v>
      </c>
      <c r="V36" s="2">
        <f>AVERAGE(V33:V35)</f>
        <v>29.333333333333332</v>
      </c>
      <c r="W36" s="2">
        <f>AVERAGE(W33:W35)</f>
        <v>29.666666666666668</v>
      </c>
    </row>
    <row r="37" spans="1:23" x14ac:dyDescent="0.25">
      <c r="A37" s="2" t="s">
        <v>10</v>
      </c>
      <c r="B37" s="2">
        <f>STDEVA(B33:B35)</f>
        <v>12.701705922171767</v>
      </c>
      <c r="C37" s="2">
        <f>STDEVA(C33:C35)</f>
        <v>10.115993936995679</v>
      </c>
      <c r="D37" s="2">
        <f>STDEVA(D33:D35)</f>
        <v>7.6376261582597342</v>
      </c>
      <c r="E37" s="2">
        <f>STDEVA(E33:E35)</f>
        <v>8.5049005481153834</v>
      </c>
      <c r="G37" s="2" t="s">
        <v>10</v>
      </c>
      <c r="H37" s="2">
        <f>STDEVA(H33:H35)</f>
        <v>3</v>
      </c>
      <c r="I37" s="2">
        <f>STDEVA(I33:I35)</f>
        <v>2.3094010767585029</v>
      </c>
      <c r="J37" s="2">
        <f>STDEVA(J33:J35)</f>
        <v>2.3094010767585034</v>
      </c>
      <c r="K37" s="2">
        <f>STDEVA(K33:K35)</f>
        <v>2.8867513459481291</v>
      </c>
      <c r="M37" s="2" t="s">
        <v>10</v>
      </c>
      <c r="N37" s="2">
        <f>STDEVA(N33:N35)</f>
        <v>7.5718777944003746</v>
      </c>
      <c r="O37" s="2">
        <f>STDEVA(O33:O35)</f>
        <v>3.7859388972001828</v>
      </c>
      <c r="P37" s="2">
        <f>STDEVA(P33:P35)</f>
        <v>1.1547005383792515</v>
      </c>
      <c r="Q37" s="2">
        <f>STDEVA(Q33:Q35)</f>
        <v>4.1633319989322697</v>
      </c>
      <c r="S37" s="2" t="s">
        <v>10</v>
      </c>
      <c r="T37" s="2">
        <f>STDEVA(T33:T35)</f>
        <v>7.810249675906654</v>
      </c>
      <c r="U37" s="2">
        <f>STDEVA(U33:U35)</f>
        <v>14.52583904633395</v>
      </c>
      <c r="V37" s="2">
        <f>STDEVA(V33:V35)</f>
        <v>7.5055534994651296</v>
      </c>
      <c r="W37" s="2">
        <f>STDEVA(W33:W35)</f>
        <v>5.6862407030773205</v>
      </c>
    </row>
    <row r="38" spans="1:23" x14ac:dyDescent="0.25">
      <c r="A38" s="2" t="s">
        <v>11</v>
      </c>
      <c r="B38" s="3">
        <v>107330</v>
      </c>
      <c r="C38" s="3">
        <v>121660</v>
      </c>
      <c r="D38" s="3">
        <v>8966</v>
      </c>
      <c r="E38" s="3">
        <v>7033</v>
      </c>
      <c r="G38" s="2" t="s">
        <v>11</v>
      </c>
      <c r="H38" s="3">
        <v>280000</v>
      </c>
      <c r="I38" s="3">
        <v>383300</v>
      </c>
      <c r="J38" s="3">
        <v>24330</v>
      </c>
      <c r="K38" s="3">
        <v>25330</v>
      </c>
      <c r="M38" s="2" t="s">
        <v>11</v>
      </c>
      <c r="N38" s="3">
        <v>413300</v>
      </c>
      <c r="O38" s="3">
        <v>416600</v>
      </c>
      <c r="P38" s="3">
        <v>18660</v>
      </c>
      <c r="Q38" s="3">
        <v>20660</v>
      </c>
      <c r="S38" s="2" t="s">
        <v>11</v>
      </c>
      <c r="T38" s="3">
        <v>76000</v>
      </c>
      <c r="U38" s="3">
        <v>84000</v>
      </c>
      <c r="V38" s="3">
        <v>2933</v>
      </c>
      <c r="W38" s="3">
        <v>2966</v>
      </c>
    </row>
    <row r="41" spans="1:23" x14ac:dyDescent="0.25">
      <c r="B41" s="1" t="s">
        <v>4</v>
      </c>
      <c r="C41" s="1" t="s">
        <v>5</v>
      </c>
      <c r="D41" s="1" t="s">
        <v>19</v>
      </c>
      <c r="E41" s="1" t="s">
        <v>20</v>
      </c>
      <c r="H41" s="1" t="s">
        <v>4</v>
      </c>
      <c r="I41" s="1" t="s">
        <v>5</v>
      </c>
      <c r="J41" s="1" t="s">
        <v>19</v>
      </c>
      <c r="K41" s="1" t="s">
        <v>20</v>
      </c>
      <c r="N41" s="1" t="s">
        <v>4</v>
      </c>
      <c r="O41" s="1" t="s">
        <v>5</v>
      </c>
      <c r="P41" s="1" t="s">
        <v>19</v>
      </c>
      <c r="Q41" s="1" t="s">
        <v>20</v>
      </c>
      <c r="T41" s="1" t="s">
        <v>4</v>
      </c>
      <c r="U41" s="1" t="s">
        <v>5</v>
      </c>
      <c r="V41" s="1" t="s">
        <v>19</v>
      </c>
      <c r="W41" s="1" t="s">
        <v>20</v>
      </c>
    </row>
    <row r="42" spans="1:23" ht="17.25" x14ac:dyDescent="0.25">
      <c r="A42" t="s">
        <v>15</v>
      </c>
      <c r="B42" t="s">
        <v>7</v>
      </c>
      <c r="D42" t="s">
        <v>21</v>
      </c>
      <c r="G42" t="s">
        <v>15</v>
      </c>
      <c r="H42" t="s">
        <v>7</v>
      </c>
      <c r="J42" t="s">
        <v>13</v>
      </c>
      <c r="M42" t="s">
        <v>15</v>
      </c>
      <c r="N42" t="s">
        <v>7</v>
      </c>
      <c r="P42" t="s">
        <v>13</v>
      </c>
      <c r="S42" t="s">
        <v>15</v>
      </c>
      <c r="T42" t="s">
        <v>7</v>
      </c>
      <c r="V42" t="s">
        <v>21</v>
      </c>
    </row>
    <row r="43" spans="1:23" x14ac:dyDescent="0.25">
      <c r="B43">
        <v>14</v>
      </c>
      <c r="C43">
        <v>24</v>
      </c>
      <c r="D43">
        <v>163</v>
      </c>
      <c r="E43">
        <v>113</v>
      </c>
      <c r="H43">
        <v>28</v>
      </c>
      <c r="I43">
        <v>42</v>
      </c>
      <c r="J43">
        <v>48</v>
      </c>
      <c r="K43">
        <v>46</v>
      </c>
      <c r="N43">
        <v>45</v>
      </c>
      <c r="O43">
        <v>57</v>
      </c>
      <c r="P43">
        <v>35</v>
      </c>
      <c r="Q43">
        <v>42</v>
      </c>
      <c r="T43">
        <v>20</v>
      </c>
      <c r="U43">
        <v>11</v>
      </c>
      <c r="V43">
        <v>100</v>
      </c>
      <c r="W43">
        <v>85</v>
      </c>
    </row>
    <row r="44" spans="1:23" x14ac:dyDescent="0.25">
      <c r="B44">
        <v>15</v>
      </c>
      <c r="C44">
        <v>24</v>
      </c>
      <c r="D44">
        <v>130</v>
      </c>
      <c r="E44">
        <v>140</v>
      </c>
      <c r="H44">
        <v>34</v>
      </c>
      <c r="I44">
        <v>45</v>
      </c>
      <c r="J44">
        <v>48</v>
      </c>
      <c r="K44">
        <v>42</v>
      </c>
      <c r="N44">
        <v>56</v>
      </c>
      <c r="O44">
        <v>53</v>
      </c>
      <c r="P44">
        <v>43</v>
      </c>
      <c r="Q44">
        <v>26</v>
      </c>
      <c r="T44">
        <v>14</v>
      </c>
      <c r="U44">
        <v>12</v>
      </c>
      <c r="V44">
        <v>100</v>
      </c>
      <c r="W44">
        <v>65</v>
      </c>
    </row>
    <row r="45" spans="1:23" x14ac:dyDescent="0.25">
      <c r="B45">
        <v>24</v>
      </c>
      <c r="C45">
        <v>21</v>
      </c>
      <c r="D45">
        <v>143</v>
      </c>
      <c r="E45">
        <v>149</v>
      </c>
      <c r="H45">
        <v>43</v>
      </c>
      <c r="I45">
        <v>39</v>
      </c>
      <c r="J45">
        <v>46</v>
      </c>
      <c r="K45">
        <v>40</v>
      </c>
      <c r="N45">
        <v>46</v>
      </c>
      <c r="O45">
        <v>45</v>
      </c>
      <c r="P45">
        <v>29</v>
      </c>
      <c r="Q45">
        <v>30</v>
      </c>
      <c r="T45">
        <v>19</v>
      </c>
      <c r="U45">
        <v>14</v>
      </c>
      <c r="V45">
        <v>70</v>
      </c>
      <c r="W45">
        <v>70</v>
      </c>
    </row>
    <row r="46" spans="1:23" x14ac:dyDescent="0.25">
      <c r="A46" s="2" t="s">
        <v>9</v>
      </c>
      <c r="B46" s="2">
        <f>AVERAGE(B43:B45)</f>
        <v>17.666666666666668</v>
      </c>
      <c r="C46" s="2">
        <f>AVERAGE(C43:C45)</f>
        <v>23</v>
      </c>
      <c r="D46" s="2">
        <f>AVERAGE(D43:D45)</f>
        <v>145.33333333333334</v>
      </c>
      <c r="E46" s="2">
        <f>AVERAGE(E43:E45)</f>
        <v>134</v>
      </c>
      <c r="G46" s="2" t="s">
        <v>9</v>
      </c>
      <c r="H46" s="2">
        <f>AVERAGE(H43:H45)</f>
        <v>35</v>
      </c>
      <c r="I46" s="2">
        <f>AVERAGE(I43:I45)</f>
        <v>42</v>
      </c>
      <c r="J46" s="2">
        <f>AVERAGE(J43:J45)</f>
        <v>47.333333333333336</v>
      </c>
      <c r="K46" s="2">
        <f>AVERAGE(K43:K45)</f>
        <v>42.666666666666664</v>
      </c>
      <c r="M46" s="2" t="s">
        <v>9</v>
      </c>
      <c r="N46" s="2">
        <f>AVERAGE(N43:N45)</f>
        <v>49</v>
      </c>
      <c r="O46" s="2">
        <f>AVERAGE(O43:O45)</f>
        <v>51.666666666666664</v>
      </c>
      <c r="P46" s="2">
        <f>AVERAGE(P43:P45)</f>
        <v>35.666666666666664</v>
      </c>
      <c r="Q46" s="2">
        <f>AVERAGE(Q43:Q45)</f>
        <v>32.666666666666664</v>
      </c>
      <c r="S46" s="2" t="s">
        <v>9</v>
      </c>
      <c r="T46" s="2">
        <f>AVERAGE(T43:T45)</f>
        <v>17.666666666666668</v>
      </c>
      <c r="U46" s="2">
        <f>AVERAGE(U43:U45)</f>
        <v>12.333333333333334</v>
      </c>
      <c r="V46" s="2">
        <f>AVERAGE(V43:V45)</f>
        <v>90</v>
      </c>
      <c r="W46" s="2">
        <f>AVERAGE(W43:W45)</f>
        <v>73.333333333333329</v>
      </c>
    </row>
    <row r="47" spans="1:23" x14ac:dyDescent="0.25">
      <c r="A47" s="2" t="s">
        <v>10</v>
      </c>
      <c r="B47" s="2">
        <f>STDEVA(B43:B45)</f>
        <v>5.5075705472861003</v>
      </c>
      <c r="C47" s="2">
        <f>STDEVA(C43:C45)</f>
        <v>1.7320508075688772</v>
      </c>
      <c r="D47" s="2">
        <f>STDEVA(D43:D45)</f>
        <v>16.623276853055575</v>
      </c>
      <c r="E47" s="2">
        <f>STDEVA(E43:E45)</f>
        <v>18.734993995195193</v>
      </c>
      <c r="G47" s="2" t="s">
        <v>10</v>
      </c>
      <c r="H47" s="2">
        <f>STDEVA(H43:H45)</f>
        <v>7.5498344352707498</v>
      </c>
      <c r="I47" s="2">
        <f>STDEVA(I43:I45)</f>
        <v>3</v>
      </c>
      <c r="J47" s="2">
        <f>STDEVA(J43:J45)</f>
        <v>1.1547005383792517</v>
      </c>
      <c r="K47" s="2">
        <f>STDEVA(K43:K45)</f>
        <v>3.0550504633038931</v>
      </c>
      <c r="M47" s="2" t="s">
        <v>10</v>
      </c>
      <c r="N47" s="2">
        <f>STDEVA(N43:N45)</f>
        <v>6.0827625302982193</v>
      </c>
      <c r="O47" s="2">
        <f>STDEVA(O43:O45)</f>
        <v>6.110100926607787</v>
      </c>
      <c r="P47" s="2">
        <f>STDEVA(P43:P45)</f>
        <v>7.0237691685684869</v>
      </c>
      <c r="Q47" s="2">
        <f>STDEVA(Q43:Q45)</f>
        <v>8.3266639978645269</v>
      </c>
      <c r="S47" s="2" t="s">
        <v>10</v>
      </c>
      <c r="T47" s="2">
        <f>STDEVA(T43:T45)</f>
        <v>3.2145502536643153</v>
      </c>
      <c r="U47" s="2">
        <f>STDEVA(U43:U45)</f>
        <v>1.5275252316519499</v>
      </c>
      <c r="V47" s="2">
        <f>STDEVA(V43:V45)</f>
        <v>17.320508075688775</v>
      </c>
      <c r="W47" s="2">
        <f>STDEVA(W43:W45)</f>
        <v>10.408329997330648</v>
      </c>
    </row>
    <row r="48" spans="1:23" x14ac:dyDescent="0.25">
      <c r="A48" s="2" t="s">
        <v>11</v>
      </c>
      <c r="B48" s="3">
        <v>176600</v>
      </c>
      <c r="C48" s="3">
        <v>230000</v>
      </c>
      <c r="D48" s="3">
        <v>14533</v>
      </c>
      <c r="E48" s="3">
        <v>13400</v>
      </c>
      <c r="G48" s="2" t="s">
        <v>11</v>
      </c>
      <c r="H48" s="3">
        <v>350000</v>
      </c>
      <c r="I48" s="3">
        <v>420000</v>
      </c>
      <c r="J48" s="3">
        <v>47330</v>
      </c>
      <c r="K48" s="3">
        <v>42660</v>
      </c>
      <c r="M48" s="2" t="s">
        <v>11</v>
      </c>
      <c r="N48" s="3">
        <v>490000</v>
      </c>
      <c r="O48" s="3">
        <v>516600</v>
      </c>
      <c r="P48" s="3">
        <v>35660</v>
      </c>
      <c r="Q48" s="3">
        <v>32660</v>
      </c>
      <c r="S48" s="2" t="s">
        <v>11</v>
      </c>
      <c r="T48" s="3">
        <v>176600</v>
      </c>
      <c r="U48" s="3">
        <v>123300</v>
      </c>
      <c r="V48" s="3">
        <v>9000</v>
      </c>
      <c r="W48" s="3">
        <v>7333</v>
      </c>
    </row>
    <row r="51" spans="1:23" x14ac:dyDescent="0.25">
      <c r="B51" s="1" t="s">
        <v>4</v>
      </c>
      <c r="C51" s="1" t="s">
        <v>5</v>
      </c>
      <c r="D51" s="1" t="s">
        <v>19</v>
      </c>
      <c r="E51" s="1" t="s">
        <v>20</v>
      </c>
      <c r="H51" s="1" t="s">
        <v>4</v>
      </c>
      <c r="I51" s="1" t="s">
        <v>5</v>
      </c>
      <c r="J51" s="1" t="s">
        <v>19</v>
      </c>
      <c r="K51" s="1" t="s">
        <v>20</v>
      </c>
      <c r="N51" s="1" t="s">
        <v>4</v>
      </c>
      <c r="O51" s="1" t="s">
        <v>5</v>
      </c>
      <c r="P51" s="1" t="s">
        <v>19</v>
      </c>
      <c r="Q51" s="1" t="s">
        <v>20</v>
      </c>
      <c r="T51" s="1" t="s">
        <v>4</v>
      </c>
      <c r="U51" s="1" t="s">
        <v>5</v>
      </c>
      <c r="V51" s="1" t="s">
        <v>19</v>
      </c>
      <c r="W51" s="1" t="s">
        <v>20</v>
      </c>
    </row>
    <row r="52" spans="1:23" ht="17.25" x14ac:dyDescent="0.25">
      <c r="A52" t="s">
        <v>16</v>
      </c>
      <c r="B52" t="s">
        <v>7</v>
      </c>
      <c r="G52" t="s">
        <v>16</v>
      </c>
      <c r="H52" t="s">
        <v>7</v>
      </c>
      <c r="M52" t="s">
        <v>16</v>
      </c>
      <c r="N52" t="s">
        <v>7</v>
      </c>
      <c r="P52" t="s">
        <v>13</v>
      </c>
      <c r="S52" t="s">
        <v>16</v>
      </c>
      <c r="T52" t="s">
        <v>7</v>
      </c>
      <c r="V52" t="s">
        <v>21</v>
      </c>
    </row>
    <row r="53" spans="1:23" x14ac:dyDescent="0.25">
      <c r="B53">
        <v>31</v>
      </c>
      <c r="C53">
        <v>45</v>
      </c>
      <c r="D53">
        <v>49</v>
      </c>
      <c r="E53">
        <v>31</v>
      </c>
      <c r="H53">
        <v>22</v>
      </c>
      <c r="I53">
        <v>54</v>
      </c>
      <c r="J53">
        <v>56</v>
      </c>
      <c r="K53">
        <v>40</v>
      </c>
      <c r="N53">
        <v>66</v>
      </c>
      <c r="O53">
        <v>49</v>
      </c>
      <c r="P53">
        <v>67</v>
      </c>
      <c r="Q53">
        <v>58</v>
      </c>
      <c r="T53">
        <v>15</v>
      </c>
      <c r="U53">
        <v>30</v>
      </c>
      <c r="V53">
        <v>66</v>
      </c>
      <c r="W53">
        <v>51</v>
      </c>
    </row>
    <row r="54" spans="1:23" x14ac:dyDescent="0.25">
      <c r="B54">
        <v>35</v>
      </c>
      <c r="C54">
        <v>51</v>
      </c>
      <c r="D54">
        <v>43</v>
      </c>
      <c r="E54">
        <v>43</v>
      </c>
      <c r="H54">
        <v>18</v>
      </c>
      <c r="I54">
        <v>34</v>
      </c>
      <c r="J54">
        <v>47</v>
      </c>
      <c r="K54">
        <v>46</v>
      </c>
      <c r="N54">
        <v>50</v>
      </c>
      <c r="O54">
        <v>49</v>
      </c>
      <c r="P54">
        <v>47</v>
      </c>
      <c r="Q54">
        <v>68</v>
      </c>
      <c r="T54">
        <v>17</v>
      </c>
      <c r="U54">
        <v>23</v>
      </c>
      <c r="V54">
        <v>51</v>
      </c>
      <c r="W54">
        <v>42</v>
      </c>
    </row>
    <row r="55" spans="1:23" x14ac:dyDescent="0.25">
      <c r="B55">
        <v>24</v>
      </c>
      <c r="C55">
        <v>33</v>
      </c>
      <c r="D55">
        <v>42</v>
      </c>
      <c r="E55">
        <v>20</v>
      </c>
      <c r="H55">
        <v>32</v>
      </c>
      <c r="I55">
        <v>30</v>
      </c>
      <c r="J55">
        <v>54</v>
      </c>
      <c r="K55">
        <v>52</v>
      </c>
      <c r="N55">
        <v>46</v>
      </c>
      <c r="O55">
        <v>69</v>
      </c>
      <c r="P55">
        <v>57</v>
      </c>
      <c r="Q55">
        <v>67</v>
      </c>
      <c r="T55">
        <v>21</v>
      </c>
      <c r="U55">
        <v>24</v>
      </c>
      <c r="V55">
        <v>57</v>
      </c>
      <c r="W55">
        <v>45</v>
      </c>
    </row>
    <row r="56" spans="1:23" x14ac:dyDescent="0.25">
      <c r="A56" s="2" t="s">
        <v>9</v>
      </c>
      <c r="B56" s="2">
        <f>AVERAGE(B53:B55)</f>
        <v>30</v>
      </c>
      <c r="C56" s="2">
        <f>AVERAGE(C53:C55)</f>
        <v>43</v>
      </c>
      <c r="D56" s="2">
        <f>AVERAGE(D53:D55)</f>
        <v>44.666666666666664</v>
      </c>
      <c r="E56" s="2">
        <f>AVERAGE(E53:E55)</f>
        <v>31.333333333333332</v>
      </c>
      <c r="G56" s="2" t="s">
        <v>9</v>
      </c>
      <c r="H56" s="2">
        <f>AVERAGE(H53:H55)</f>
        <v>24</v>
      </c>
      <c r="I56" s="2">
        <f>AVERAGE(I53:I55)</f>
        <v>39.333333333333336</v>
      </c>
      <c r="J56" s="2">
        <f>AVERAGE(J53:J55)</f>
        <v>52.333333333333336</v>
      </c>
      <c r="K56" s="2">
        <f>AVERAGE(K53:K55)</f>
        <v>46</v>
      </c>
      <c r="M56" s="2" t="s">
        <v>9</v>
      </c>
      <c r="N56" s="2">
        <f>AVERAGE(N53:N55)</f>
        <v>54</v>
      </c>
      <c r="O56" s="2">
        <f>AVERAGE(O53:O55)</f>
        <v>55.666666666666664</v>
      </c>
      <c r="P56" s="2">
        <f>AVERAGE(P53:P55)</f>
        <v>57</v>
      </c>
      <c r="Q56" s="2">
        <f>AVERAGE(Q53:Q55)</f>
        <v>64.333333333333329</v>
      </c>
      <c r="S56" s="2" t="s">
        <v>9</v>
      </c>
      <c r="T56" s="2">
        <f>AVERAGE(T53:T55)</f>
        <v>17.666666666666668</v>
      </c>
      <c r="U56" s="2">
        <f>AVERAGE(U53:U55)</f>
        <v>25.666666666666668</v>
      </c>
      <c r="V56" s="2">
        <f>AVERAGE(V53:V55)</f>
        <v>58</v>
      </c>
      <c r="W56" s="2">
        <f>AVERAGE(W53:W55)</f>
        <v>46</v>
      </c>
    </row>
    <row r="57" spans="1:23" x14ac:dyDescent="0.25">
      <c r="A57" s="2" t="s">
        <v>10</v>
      </c>
      <c r="B57" s="2">
        <f>STDEVA(B53:B55)</f>
        <v>5.5677643628300215</v>
      </c>
      <c r="C57" s="2">
        <f>STDEVA(C53:C55)</f>
        <v>9.1651513899116797</v>
      </c>
      <c r="D57" s="2">
        <f>STDEVA(D53:D55)</f>
        <v>3.7859388972001828</v>
      </c>
      <c r="E57" s="2">
        <f>STDEVA(E53:E55)</f>
        <v>11.503622617824929</v>
      </c>
      <c r="G57" s="2" t="s">
        <v>10</v>
      </c>
      <c r="H57" s="2">
        <f>STDEVA(H53:H55)</f>
        <v>7.2111025509279782</v>
      </c>
      <c r="I57" s="2">
        <f>STDEVA(I53:I55)</f>
        <v>12.858201014657279</v>
      </c>
      <c r="J57" s="2">
        <f>STDEVA(J53:J55)</f>
        <v>4.7258156262526088</v>
      </c>
      <c r="K57" s="2">
        <f>STDEVA(K53:K55)</f>
        <v>6</v>
      </c>
      <c r="M57" s="2" t="s">
        <v>10</v>
      </c>
      <c r="N57" s="2">
        <f>STDEVA(N53:N55)</f>
        <v>10.583005244258363</v>
      </c>
      <c r="O57" s="2">
        <f>STDEVA(O53:O55)</f>
        <v>11.547005383792502</v>
      </c>
      <c r="P57" s="2">
        <f>STDEVA(P53:P55)</f>
        <v>10</v>
      </c>
      <c r="Q57" s="2">
        <f>STDEVA(Q53:Q55)</f>
        <v>5.5075705472861021</v>
      </c>
      <c r="S57" s="2" t="s">
        <v>10</v>
      </c>
      <c r="T57" s="2">
        <f>STDEVA(T53:T55)</f>
        <v>3.0550504633038904</v>
      </c>
      <c r="U57" s="2">
        <f>STDEVA(U53:U55)</f>
        <v>3.7859388972001873</v>
      </c>
      <c r="V57" s="2">
        <f>STDEVA(V53:V55)</f>
        <v>7.5498344352707498</v>
      </c>
      <c r="W57" s="2">
        <f>STDEVA(W53:W55)</f>
        <v>4.5825756949558398</v>
      </c>
    </row>
    <row r="58" spans="1:23" x14ac:dyDescent="0.25">
      <c r="A58" s="2" t="s">
        <v>11</v>
      </c>
      <c r="B58" s="3">
        <v>300000</v>
      </c>
      <c r="C58" s="3">
        <v>430000</v>
      </c>
      <c r="D58" s="3">
        <v>44660</v>
      </c>
      <c r="E58" s="3">
        <v>31330</v>
      </c>
      <c r="G58" s="2" t="s">
        <v>11</v>
      </c>
      <c r="H58" s="3">
        <v>240000</v>
      </c>
      <c r="I58" s="3">
        <v>393300</v>
      </c>
      <c r="J58" s="3">
        <v>52330</v>
      </c>
      <c r="K58" s="3">
        <v>46000</v>
      </c>
      <c r="M58" s="2" t="s">
        <v>11</v>
      </c>
      <c r="N58" s="3">
        <v>540000</v>
      </c>
      <c r="O58" s="3">
        <v>556600</v>
      </c>
      <c r="P58" s="3">
        <v>57000</v>
      </c>
      <c r="Q58" s="3">
        <v>64330</v>
      </c>
      <c r="S58" s="2" t="s">
        <v>11</v>
      </c>
      <c r="T58" s="3">
        <v>176600</v>
      </c>
      <c r="U58" s="3">
        <v>256600</v>
      </c>
      <c r="V58" s="3">
        <v>5800</v>
      </c>
      <c r="W58" s="3">
        <v>4600</v>
      </c>
    </row>
    <row r="61" spans="1:23" x14ac:dyDescent="0.25">
      <c r="B61" s="1" t="s">
        <v>4</v>
      </c>
      <c r="C61" s="1" t="s">
        <v>5</v>
      </c>
      <c r="D61" s="1" t="s">
        <v>19</v>
      </c>
      <c r="E61" s="1" t="s">
        <v>20</v>
      </c>
      <c r="H61" s="1" t="s">
        <v>4</v>
      </c>
      <c r="I61" s="1" t="s">
        <v>5</v>
      </c>
      <c r="J61" s="1" t="s">
        <v>19</v>
      </c>
      <c r="K61" s="1" t="s">
        <v>20</v>
      </c>
      <c r="N61" s="1" t="s">
        <v>4</v>
      </c>
      <c r="O61" s="1" t="s">
        <v>5</v>
      </c>
      <c r="P61" s="1" t="s">
        <v>19</v>
      </c>
      <c r="Q61" s="1" t="s">
        <v>20</v>
      </c>
      <c r="T61" s="1" t="s">
        <v>4</v>
      </c>
      <c r="U61" s="1" t="s">
        <v>5</v>
      </c>
      <c r="V61" s="1" t="s">
        <v>19</v>
      </c>
      <c r="W61" s="1" t="s">
        <v>20</v>
      </c>
    </row>
    <row r="62" spans="1:23" ht="17.25" x14ac:dyDescent="0.25">
      <c r="A62" t="s">
        <v>17</v>
      </c>
      <c r="B62" t="s">
        <v>18</v>
      </c>
      <c r="G62" t="s">
        <v>17</v>
      </c>
      <c r="H62" t="s">
        <v>7</v>
      </c>
      <c r="I62" t="s">
        <v>18</v>
      </c>
      <c r="J62" t="s">
        <v>7</v>
      </c>
      <c r="M62" t="s">
        <v>17</v>
      </c>
      <c r="N62" t="s">
        <v>18</v>
      </c>
      <c r="P62" t="s">
        <v>7</v>
      </c>
      <c r="S62" t="s">
        <v>17</v>
      </c>
      <c r="T62" t="s">
        <v>7</v>
      </c>
      <c r="V62" t="s">
        <v>13</v>
      </c>
    </row>
    <row r="63" spans="1:23" x14ac:dyDescent="0.25">
      <c r="B63">
        <v>29</v>
      </c>
      <c r="C63">
        <v>26</v>
      </c>
      <c r="D63">
        <v>53</v>
      </c>
      <c r="E63">
        <v>39</v>
      </c>
      <c r="H63">
        <v>81</v>
      </c>
      <c r="I63">
        <v>46</v>
      </c>
      <c r="J63">
        <v>120</v>
      </c>
      <c r="K63">
        <v>104</v>
      </c>
      <c r="N63">
        <v>25</v>
      </c>
      <c r="O63">
        <v>26</v>
      </c>
      <c r="P63">
        <v>48</v>
      </c>
      <c r="Q63">
        <v>52</v>
      </c>
      <c r="T63">
        <v>155</v>
      </c>
      <c r="U63">
        <v>175</v>
      </c>
      <c r="V63">
        <v>165</v>
      </c>
      <c r="W63">
        <v>209</v>
      </c>
    </row>
    <row r="64" spans="1:23" x14ac:dyDescent="0.25">
      <c r="B64">
        <v>30</v>
      </c>
      <c r="C64">
        <v>25</v>
      </c>
      <c r="D64">
        <v>50</v>
      </c>
      <c r="E64">
        <v>45</v>
      </c>
      <c r="H64">
        <v>61</v>
      </c>
      <c r="I64">
        <v>54</v>
      </c>
      <c r="J64">
        <v>144</v>
      </c>
      <c r="K64">
        <v>92</v>
      </c>
      <c r="N64">
        <v>28</v>
      </c>
      <c r="O64">
        <v>26</v>
      </c>
      <c r="P64">
        <v>36</v>
      </c>
      <c r="Q64">
        <v>42</v>
      </c>
      <c r="T64">
        <v>141</v>
      </c>
      <c r="U64">
        <v>160</v>
      </c>
      <c r="V64">
        <v>188</v>
      </c>
      <c r="W64">
        <v>220</v>
      </c>
    </row>
    <row r="65" spans="1:23" x14ac:dyDescent="0.25">
      <c r="B65">
        <v>26</v>
      </c>
      <c r="C65">
        <v>35</v>
      </c>
      <c r="D65">
        <v>62</v>
      </c>
      <c r="E65">
        <v>46</v>
      </c>
      <c r="H65">
        <v>69</v>
      </c>
      <c r="I65">
        <v>60</v>
      </c>
      <c r="J65">
        <v>119</v>
      </c>
      <c r="K65">
        <v>108</v>
      </c>
      <c r="N65">
        <v>34</v>
      </c>
      <c r="O65">
        <v>35</v>
      </c>
      <c r="P65">
        <v>67</v>
      </c>
      <c r="Q65">
        <v>33</v>
      </c>
      <c r="T65">
        <v>149</v>
      </c>
      <c r="U65">
        <v>169</v>
      </c>
      <c r="V65">
        <v>179</v>
      </c>
      <c r="W65">
        <v>213</v>
      </c>
    </row>
    <row r="66" spans="1:23" x14ac:dyDescent="0.25">
      <c r="A66" s="2" t="s">
        <v>9</v>
      </c>
      <c r="B66" s="2">
        <f>AVERAGE(B63:B65)</f>
        <v>28.333333333333332</v>
      </c>
      <c r="C66" s="2">
        <f>AVERAGE(C63:C65)</f>
        <v>28.666666666666668</v>
      </c>
      <c r="D66" s="2">
        <f>AVERAGE(D63:D65)</f>
        <v>55</v>
      </c>
      <c r="E66" s="2">
        <f>AVERAGE(E63:E65)</f>
        <v>43.333333333333336</v>
      </c>
      <c r="G66" s="2" t="s">
        <v>9</v>
      </c>
      <c r="H66" s="2">
        <f>AVERAGE(H63:H65)</f>
        <v>70.333333333333329</v>
      </c>
      <c r="I66" s="2">
        <f>AVERAGE(I63:I65)</f>
        <v>53.333333333333336</v>
      </c>
      <c r="J66" s="2">
        <f>AVERAGE(J63:J65)</f>
        <v>127.66666666666667</v>
      </c>
      <c r="K66" s="2">
        <f>AVERAGE(K63:K65)</f>
        <v>101.33333333333333</v>
      </c>
      <c r="M66" s="2" t="s">
        <v>9</v>
      </c>
      <c r="N66" s="2">
        <f>AVERAGE(N63:N65)</f>
        <v>29</v>
      </c>
      <c r="O66" s="2">
        <f>AVERAGE(O63:O65)</f>
        <v>29</v>
      </c>
      <c r="P66" s="2">
        <f>AVERAGE(P63:P65)</f>
        <v>50.333333333333336</v>
      </c>
      <c r="Q66" s="2">
        <f>AVERAGE(Q63:Q65)</f>
        <v>42.333333333333336</v>
      </c>
      <c r="S66" s="2" t="s">
        <v>9</v>
      </c>
      <c r="T66" s="2">
        <f>AVERAGE(T63:T65)</f>
        <v>148.33333333333334</v>
      </c>
      <c r="U66" s="2">
        <f>AVERAGE(U63:U65)</f>
        <v>168</v>
      </c>
      <c r="V66" s="2">
        <f>AVERAGE(V63:V65)</f>
        <v>177.33333333333334</v>
      </c>
      <c r="W66" s="2">
        <f>AVERAGE(W63:W65)</f>
        <v>214</v>
      </c>
    </row>
    <row r="67" spans="1:23" x14ac:dyDescent="0.25">
      <c r="A67" s="2" t="s">
        <v>10</v>
      </c>
      <c r="B67" s="2">
        <f>STDEVA(B63:B65)</f>
        <v>2.0816659994661331</v>
      </c>
      <c r="C67" s="2">
        <f>STDEVA(C63:C65)</f>
        <v>5.507570547286095</v>
      </c>
      <c r="D67" s="2">
        <f>STDEVA(D63:D65)</f>
        <v>6.2449979983983983</v>
      </c>
      <c r="E67" s="2">
        <f>STDEVA(E63:E65)</f>
        <v>3.7859388972001828</v>
      </c>
      <c r="G67" s="2" t="s">
        <v>10</v>
      </c>
      <c r="H67" s="2">
        <f>STDEVA(H63:H65)</f>
        <v>10.066445913694318</v>
      </c>
      <c r="I67" s="2">
        <f>STDEVA(I63:I65)</f>
        <v>7.0237691685684709</v>
      </c>
      <c r="J67" s="2">
        <f>STDEVA(J63:J65)</f>
        <v>14.153915830374762</v>
      </c>
      <c r="K67" s="2">
        <f>STDEVA(K63:K65)</f>
        <v>8.3266639978645323</v>
      </c>
      <c r="M67" s="2" t="s">
        <v>10</v>
      </c>
      <c r="N67" s="2">
        <f>STDEVA(N63:N65)</f>
        <v>4.5825756949558398</v>
      </c>
      <c r="O67" s="2">
        <f>STDEVA(O63:O65)</f>
        <v>5.196152422706632</v>
      </c>
      <c r="P67" s="2">
        <f>STDEVA(P63:P65)</f>
        <v>15.631165450257811</v>
      </c>
      <c r="Q67" s="2">
        <f>STDEVA(Q63:Q65)</f>
        <v>9.5043849529221767</v>
      </c>
      <c r="S67" s="2" t="s">
        <v>10</v>
      </c>
      <c r="T67" s="2">
        <f>STDEVA(T63:T65)</f>
        <v>7.0237691685684922</v>
      </c>
      <c r="U67" s="2">
        <f>STDEVA(U63:U65)</f>
        <v>7.5498344352707498</v>
      </c>
      <c r="V67" s="2">
        <f>STDEVA(V63:V65)</f>
        <v>11.590225767142474</v>
      </c>
      <c r="W67" s="2">
        <f>STDEVA(W63:W65)</f>
        <v>5.5677643628300215</v>
      </c>
    </row>
    <row r="68" spans="1:23" x14ac:dyDescent="0.25">
      <c r="A68" s="2" t="s">
        <v>11</v>
      </c>
      <c r="B68" s="3">
        <v>2833000</v>
      </c>
      <c r="C68" s="3">
        <v>2866000</v>
      </c>
      <c r="D68" s="3">
        <v>550000</v>
      </c>
      <c r="E68" s="3">
        <v>433300</v>
      </c>
      <c r="G68" s="2" t="s">
        <v>11</v>
      </c>
      <c r="H68" s="3">
        <v>703300</v>
      </c>
      <c r="I68" s="3">
        <v>5333000</v>
      </c>
      <c r="J68" s="3">
        <v>1276600</v>
      </c>
      <c r="K68" s="3">
        <v>1013300</v>
      </c>
      <c r="M68" s="2" t="s">
        <v>11</v>
      </c>
      <c r="N68" s="3">
        <v>2900000</v>
      </c>
      <c r="O68" s="3">
        <v>2900000</v>
      </c>
      <c r="P68" s="3">
        <v>503300</v>
      </c>
      <c r="Q68" s="3">
        <v>423300</v>
      </c>
      <c r="S68" s="2" t="s">
        <v>11</v>
      </c>
      <c r="T68" s="3">
        <v>1483300</v>
      </c>
      <c r="U68" s="3">
        <v>1680000</v>
      </c>
      <c r="V68" s="3">
        <v>177330</v>
      </c>
      <c r="W68" s="3">
        <v>214000</v>
      </c>
    </row>
    <row r="71" spans="1:23" x14ac:dyDescent="0.25">
      <c r="A71" s="1" t="s">
        <v>23</v>
      </c>
      <c r="B71" s="1">
        <v>8640</v>
      </c>
      <c r="C71" s="1" t="s">
        <v>22</v>
      </c>
      <c r="G71" s="1" t="s">
        <v>23</v>
      </c>
      <c r="H71" s="1">
        <v>8640</v>
      </c>
      <c r="I71" s="1" t="s">
        <v>22</v>
      </c>
      <c r="M71" s="1" t="s">
        <v>23</v>
      </c>
      <c r="N71" s="1">
        <v>8640</v>
      </c>
      <c r="O71" s="1" t="s">
        <v>22</v>
      </c>
      <c r="S71" s="1" t="s">
        <v>23</v>
      </c>
      <c r="T71" s="1">
        <v>8640</v>
      </c>
      <c r="U71" s="1" t="s">
        <v>22</v>
      </c>
    </row>
    <row r="73" spans="1:23" x14ac:dyDescent="0.25">
      <c r="A73">
        <v>0</v>
      </c>
      <c r="B73" s="4">
        <f>AVERAGE(Fig1A!B28:C28)</f>
        <v>75000</v>
      </c>
      <c r="C73" s="4">
        <f>AVERAGE(Fig1A!D28:E28)</f>
        <v>13349.5</v>
      </c>
      <c r="G73">
        <v>0</v>
      </c>
      <c r="H73" s="4">
        <f>AVERAGE(Fig1A!H28:I28)</f>
        <v>154665</v>
      </c>
      <c r="I73" s="4">
        <f>AVERAGE(Fig1A!J28:K28)</f>
        <v>21099.5</v>
      </c>
      <c r="M73">
        <v>0</v>
      </c>
      <c r="N73" s="4">
        <f>AVERAGE(Fig1A!N28:O28)</f>
        <v>144830</v>
      </c>
      <c r="O73" s="4">
        <f>AVERAGE(Fig1A!P28:Q28)</f>
        <v>17466.5</v>
      </c>
      <c r="S73">
        <v>0</v>
      </c>
      <c r="T73" s="4">
        <f>AVERAGE(Fig1A!T28:U28)</f>
        <v>53495</v>
      </c>
      <c r="U73" s="4">
        <f>AVERAGE(Fig1A!V28:W28)</f>
        <v>8549.5</v>
      </c>
    </row>
    <row r="74" spans="1:23" x14ac:dyDescent="0.25">
      <c r="A74">
        <v>2</v>
      </c>
      <c r="B74" s="4">
        <f>AVERAGE(Fig1A!B38:C38)</f>
        <v>114495</v>
      </c>
      <c r="C74" s="4">
        <f>AVERAGE(Fig1A!D38:E38)</f>
        <v>7999.5</v>
      </c>
      <c r="G74">
        <v>2</v>
      </c>
      <c r="H74" s="4">
        <f>AVERAGE(Fig1A!H38:I38)</f>
        <v>331650</v>
      </c>
      <c r="I74" s="4">
        <f>AVERAGE(Fig1A!J38:K38)</f>
        <v>24830</v>
      </c>
      <c r="M74">
        <v>2</v>
      </c>
      <c r="N74" s="4">
        <f>AVERAGE(Fig1A!N38:O38)</f>
        <v>414950</v>
      </c>
      <c r="O74" s="4">
        <f>AVERAGE(Fig1A!P38:Q38)</f>
        <v>19660</v>
      </c>
      <c r="S74">
        <v>2</v>
      </c>
      <c r="T74" s="4">
        <f>AVERAGE(Fig1A!T38:U38)</f>
        <v>80000</v>
      </c>
      <c r="U74" s="4">
        <f>AVERAGE(Fig1A!V38:W38)</f>
        <v>2949.5</v>
      </c>
    </row>
    <row r="75" spans="1:23" x14ac:dyDescent="0.25">
      <c r="A75">
        <v>4</v>
      </c>
      <c r="B75" s="4">
        <f>AVERAGE(Fig1A!B48:C48)</f>
        <v>203300</v>
      </c>
      <c r="C75" s="4">
        <f>AVERAGE(Fig1A!D48:E48)</f>
        <v>13966.5</v>
      </c>
      <c r="G75">
        <v>4</v>
      </c>
      <c r="H75" s="4">
        <f>AVERAGE(Fig1A!H48:I48)</f>
        <v>385000</v>
      </c>
      <c r="I75" s="4">
        <f>AVERAGE(Fig1A!J48:K48)</f>
        <v>44995</v>
      </c>
      <c r="M75">
        <v>4</v>
      </c>
      <c r="N75" s="4">
        <f>AVERAGE(Fig1A!N48:O48)</f>
        <v>503300</v>
      </c>
      <c r="O75" s="4">
        <f>AVERAGE(Fig1A!P48:Q48)</f>
        <v>34160</v>
      </c>
      <c r="S75">
        <v>4</v>
      </c>
      <c r="T75" s="4">
        <f>AVERAGE(Fig1A!T48:U48)</f>
        <v>149950</v>
      </c>
      <c r="U75" s="4">
        <f>AVERAGE(Fig1A!V48:W48)</f>
        <v>8166.5</v>
      </c>
    </row>
    <row r="76" spans="1:23" x14ac:dyDescent="0.25">
      <c r="A76">
        <v>6</v>
      </c>
      <c r="B76" s="4">
        <f>AVERAGE(Fig1A!B58:C58)</f>
        <v>365000</v>
      </c>
      <c r="C76" s="4">
        <f>AVERAGE(Fig1A!D58:E58)</f>
        <v>37995</v>
      </c>
      <c r="G76">
        <v>6</v>
      </c>
      <c r="H76" s="4">
        <f>AVERAGE(Fig1A!H58:I58)</f>
        <v>316650</v>
      </c>
      <c r="I76" s="4">
        <f>AVERAGE(Fig1A!J58:K58)</f>
        <v>49165</v>
      </c>
      <c r="M76">
        <v>6</v>
      </c>
      <c r="N76" s="4">
        <f>AVERAGE(Fig1A!N58:O58)</f>
        <v>548300</v>
      </c>
      <c r="O76" s="4">
        <f>AVERAGE(Fig1A!P58:Q58)</f>
        <v>60665</v>
      </c>
      <c r="S76">
        <v>6</v>
      </c>
      <c r="T76" s="4">
        <f>AVERAGE(Fig1A!T58:U58)</f>
        <v>216600</v>
      </c>
      <c r="U76" s="4">
        <f>AVERAGE(Fig1A!V58:W58)</f>
        <v>5200</v>
      </c>
    </row>
    <row r="77" spans="1:23" x14ac:dyDescent="0.25">
      <c r="A77">
        <v>24</v>
      </c>
      <c r="B77" s="4">
        <f>AVERAGE(Fig1A!B68:C68)</f>
        <v>2849500</v>
      </c>
      <c r="C77" s="4">
        <f>AVERAGE(Fig1A!D68:E68)</f>
        <v>491650</v>
      </c>
      <c r="G77">
        <v>24</v>
      </c>
      <c r="H77" s="4">
        <f>AVERAGE(Fig1A!H68:I68)</f>
        <v>3018150</v>
      </c>
      <c r="I77" s="4">
        <f>AVERAGE(Fig1A!J68:K68)</f>
        <v>1144950</v>
      </c>
      <c r="M77">
        <v>24</v>
      </c>
      <c r="N77" s="4">
        <f>AVERAGE(Fig1A!N68:O68)</f>
        <v>2900000</v>
      </c>
      <c r="O77" s="4">
        <f>AVERAGE(Fig1A!P68:Q68)</f>
        <v>463300</v>
      </c>
      <c r="S77">
        <v>24</v>
      </c>
      <c r="T77" s="4">
        <f>AVERAGE(Fig1A!T68:U68)</f>
        <v>1581650</v>
      </c>
      <c r="U77" s="4">
        <f>AVERAGE(Fig1A!V68:W68)</f>
        <v>195665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8094F-E939-48E9-AF57-ED38EC0EDFB8}">
  <dimension ref="A1:W76"/>
  <sheetViews>
    <sheetView workbookViewId="0">
      <selection activeCell="K20" sqref="K20"/>
    </sheetView>
  </sheetViews>
  <sheetFormatPr baseColWidth="10" defaultRowHeight="15" x14ac:dyDescent="0.25"/>
  <sheetData>
    <row r="1" spans="1:23" x14ac:dyDescent="0.25">
      <c r="A1" t="s">
        <v>0</v>
      </c>
      <c r="B1" s="1" t="s">
        <v>1</v>
      </c>
    </row>
    <row r="2" spans="1:23" x14ac:dyDescent="0.25">
      <c r="B2" s="1" t="s">
        <v>2</v>
      </c>
    </row>
    <row r="7" spans="1:23" x14ac:dyDescent="0.25">
      <c r="A7" s="1" t="s">
        <v>3</v>
      </c>
      <c r="G7" s="1" t="s">
        <v>3</v>
      </c>
      <c r="M7" s="1" t="s">
        <v>3</v>
      </c>
      <c r="S7" s="1" t="s">
        <v>3</v>
      </c>
    </row>
    <row r="9" spans="1:23" x14ac:dyDescent="0.25">
      <c r="B9" s="1" t="s">
        <v>4</v>
      </c>
      <c r="C9" s="1" t="s">
        <v>5</v>
      </c>
      <c r="D9" s="1" t="s">
        <v>24</v>
      </c>
      <c r="E9" s="1" t="s">
        <v>25</v>
      </c>
      <c r="H9" s="1" t="s">
        <v>4</v>
      </c>
      <c r="I9" s="1" t="s">
        <v>5</v>
      </c>
      <c r="J9" s="1" t="s">
        <v>24</v>
      </c>
      <c r="K9" s="1" t="s">
        <v>25</v>
      </c>
      <c r="N9" s="1" t="s">
        <v>4</v>
      </c>
      <c r="O9" s="1" t="s">
        <v>5</v>
      </c>
      <c r="P9" s="1" t="s">
        <v>24</v>
      </c>
      <c r="Q9" s="1" t="s">
        <v>25</v>
      </c>
      <c r="T9" s="1" t="s">
        <v>4</v>
      </c>
      <c r="U9" s="1" t="s">
        <v>5</v>
      </c>
      <c r="V9" s="1" t="s">
        <v>24</v>
      </c>
      <c r="W9" s="1" t="s">
        <v>25</v>
      </c>
    </row>
    <row r="10" spans="1:23" ht="17.25" x14ac:dyDescent="0.25">
      <c r="A10" t="s">
        <v>6</v>
      </c>
      <c r="B10" t="s">
        <v>7</v>
      </c>
      <c r="G10" t="s">
        <v>6</v>
      </c>
      <c r="H10" t="s">
        <v>18</v>
      </c>
      <c r="M10" t="s">
        <v>6</v>
      </c>
      <c r="N10" t="s">
        <v>18</v>
      </c>
      <c r="S10" t="s">
        <v>6</v>
      </c>
      <c r="T10" t="s">
        <v>18</v>
      </c>
    </row>
    <row r="11" spans="1:23" x14ac:dyDescent="0.25">
      <c r="B11">
        <v>57</v>
      </c>
      <c r="D11">
        <v>52</v>
      </c>
      <c r="H11">
        <v>48</v>
      </c>
      <c r="J11">
        <v>50</v>
      </c>
      <c r="N11">
        <v>75</v>
      </c>
      <c r="P11">
        <v>67</v>
      </c>
      <c r="T11">
        <v>67</v>
      </c>
      <c r="V11">
        <v>66</v>
      </c>
    </row>
    <row r="12" spans="1:23" x14ac:dyDescent="0.25">
      <c r="B12">
        <v>55</v>
      </c>
      <c r="D12">
        <v>49</v>
      </c>
      <c r="H12">
        <v>45</v>
      </c>
      <c r="J12">
        <v>50</v>
      </c>
      <c r="N12">
        <v>78</v>
      </c>
      <c r="P12">
        <v>67</v>
      </c>
      <c r="T12">
        <v>64</v>
      </c>
      <c r="V12">
        <v>63</v>
      </c>
    </row>
    <row r="13" spans="1:23" x14ac:dyDescent="0.25">
      <c r="B13">
        <v>56</v>
      </c>
      <c r="D13">
        <v>37</v>
      </c>
      <c r="H13">
        <v>70</v>
      </c>
      <c r="J13">
        <v>56</v>
      </c>
      <c r="N13">
        <v>84</v>
      </c>
      <c r="P13">
        <v>55</v>
      </c>
      <c r="T13">
        <v>59</v>
      </c>
      <c r="V13">
        <v>62</v>
      </c>
    </row>
    <row r="14" spans="1:23" x14ac:dyDescent="0.25">
      <c r="A14" s="2" t="s">
        <v>9</v>
      </c>
      <c r="B14" s="2">
        <f>AVERAGE(B11:B13)</f>
        <v>56</v>
      </c>
      <c r="C14" s="2" t="e">
        <f>AVERAGE(C11:C13)</f>
        <v>#DIV/0!</v>
      </c>
      <c r="D14" s="2">
        <f>AVERAGE(D11:D13)</f>
        <v>46</v>
      </c>
      <c r="E14" s="2" t="e">
        <f>AVERAGE(E11:E13)</f>
        <v>#DIV/0!</v>
      </c>
      <c r="G14" s="2" t="s">
        <v>9</v>
      </c>
      <c r="H14" s="2">
        <f>AVERAGE(H11:H13)</f>
        <v>54.333333333333336</v>
      </c>
      <c r="I14" s="2" t="e">
        <f>AVERAGE(I11:I13)</f>
        <v>#DIV/0!</v>
      </c>
      <c r="J14" s="2">
        <f>AVERAGE(J11:J13)</f>
        <v>52</v>
      </c>
      <c r="K14" s="2" t="e">
        <f>AVERAGE(K11:K13)</f>
        <v>#DIV/0!</v>
      </c>
      <c r="M14" s="2" t="s">
        <v>9</v>
      </c>
      <c r="N14" s="2">
        <f>AVERAGE(N11:N13)</f>
        <v>79</v>
      </c>
      <c r="O14" s="2" t="e">
        <f>AVERAGE(O11:O13)</f>
        <v>#DIV/0!</v>
      </c>
      <c r="P14" s="2">
        <f>AVERAGE(P11:P13)</f>
        <v>63</v>
      </c>
      <c r="Q14" s="2" t="e">
        <f>AVERAGE(Q11:Q13)</f>
        <v>#DIV/0!</v>
      </c>
      <c r="S14" s="2" t="s">
        <v>9</v>
      </c>
      <c r="T14" s="2">
        <f>AVERAGE(T11:T13)</f>
        <v>63.333333333333336</v>
      </c>
      <c r="U14" s="2" t="e">
        <f t="shared" ref="U14:W14" si="0">AVERAGE(U11:U13)</f>
        <v>#DIV/0!</v>
      </c>
      <c r="V14" s="2">
        <f t="shared" si="0"/>
        <v>63.666666666666664</v>
      </c>
      <c r="W14" s="2" t="e">
        <f t="shared" si="0"/>
        <v>#DIV/0!</v>
      </c>
    </row>
    <row r="15" spans="1:23" x14ac:dyDescent="0.25">
      <c r="A15" s="2" t="s">
        <v>10</v>
      </c>
      <c r="B15" s="2">
        <f>STDEVA(B11:B13)</f>
        <v>1</v>
      </c>
      <c r="C15" s="2" t="e">
        <f>STDEVA(C11:C13)</f>
        <v>#DIV/0!</v>
      </c>
      <c r="D15" s="2">
        <f>STDEVA(D11:D13)</f>
        <v>7.9372539331937721</v>
      </c>
      <c r="E15" s="2" t="e">
        <f>STDEVA(E11:E13)</f>
        <v>#DIV/0!</v>
      </c>
      <c r="G15" s="2" t="s">
        <v>10</v>
      </c>
      <c r="H15" s="2">
        <f>STDEVA(H11:H13)</f>
        <v>13.650396819628835</v>
      </c>
      <c r="I15" s="2" t="e">
        <f>STDEVA(I11:I13)</f>
        <v>#DIV/0!</v>
      </c>
      <c r="J15" s="2">
        <f>STDEVA(J11:J13)</f>
        <v>3.4641016151377544</v>
      </c>
      <c r="K15" s="2" t="e">
        <f>STDEVA(K11:K13)</f>
        <v>#DIV/0!</v>
      </c>
      <c r="M15" s="2" t="s">
        <v>10</v>
      </c>
      <c r="N15" s="2">
        <f>STDEVA(N11:N13)</f>
        <v>4.5825756949558398</v>
      </c>
      <c r="O15" s="2" t="e">
        <f>STDEVA(O11:O13)</f>
        <v>#DIV/0!</v>
      </c>
      <c r="P15" s="2">
        <f>STDEVA(P11:P13)</f>
        <v>6.9282032302755088</v>
      </c>
      <c r="Q15" s="2" t="e">
        <f>STDEVA(Q11:Q13)</f>
        <v>#DIV/0!</v>
      </c>
      <c r="S15" s="2" t="s">
        <v>10</v>
      </c>
      <c r="T15" s="2">
        <f>STDEVA(T11:T13)</f>
        <v>4.0414518843273806</v>
      </c>
      <c r="U15" s="2" t="e">
        <f t="shared" ref="U15:W15" si="1">STDEVA(U11:U13)</f>
        <v>#DIV/0!</v>
      </c>
      <c r="V15" s="2">
        <f t="shared" si="1"/>
        <v>2.0816659994661326</v>
      </c>
      <c r="W15" s="2" t="e">
        <f t="shared" si="1"/>
        <v>#DIV/0!</v>
      </c>
    </row>
    <row r="16" spans="1:23" x14ac:dyDescent="0.25">
      <c r="A16" s="2" t="s">
        <v>11</v>
      </c>
      <c r="B16" s="3">
        <v>5600000</v>
      </c>
      <c r="C16" s="2"/>
      <c r="D16" s="3">
        <v>4600000</v>
      </c>
      <c r="E16" s="2"/>
      <c r="G16" s="2" t="s">
        <v>11</v>
      </c>
      <c r="H16" s="3">
        <v>5433000</v>
      </c>
      <c r="I16" s="2"/>
      <c r="J16" s="3">
        <v>5200000</v>
      </c>
      <c r="K16" s="2"/>
      <c r="M16" s="2" t="s">
        <v>11</v>
      </c>
      <c r="N16" s="3">
        <v>7900000</v>
      </c>
      <c r="O16" s="2"/>
      <c r="P16" s="3">
        <v>6300000</v>
      </c>
      <c r="Q16" s="2"/>
      <c r="S16" s="2" t="s">
        <v>11</v>
      </c>
      <c r="T16" s="3">
        <v>6333000</v>
      </c>
      <c r="U16" s="2"/>
      <c r="V16" s="3">
        <v>6366000</v>
      </c>
      <c r="W16" s="2"/>
    </row>
    <row r="19" spans="1:23" x14ac:dyDescent="0.25">
      <c r="A19" s="1" t="s">
        <v>12</v>
      </c>
      <c r="G19" s="1" t="s">
        <v>12</v>
      </c>
      <c r="M19" s="1" t="s">
        <v>12</v>
      </c>
      <c r="S19" s="1" t="s">
        <v>12</v>
      </c>
    </row>
    <row r="21" spans="1:23" x14ac:dyDescent="0.25">
      <c r="B21" s="1" t="s">
        <v>4</v>
      </c>
      <c r="C21" s="1" t="s">
        <v>5</v>
      </c>
      <c r="D21" s="1" t="s">
        <v>24</v>
      </c>
      <c r="E21" s="1" t="s">
        <v>25</v>
      </c>
      <c r="H21" s="1" t="s">
        <v>4</v>
      </c>
      <c r="I21" s="1" t="s">
        <v>5</v>
      </c>
      <c r="J21" s="1" t="s">
        <v>24</v>
      </c>
      <c r="K21" s="1" t="s">
        <v>25</v>
      </c>
      <c r="N21" s="1" t="s">
        <v>4</v>
      </c>
      <c r="O21" s="1" t="s">
        <v>5</v>
      </c>
      <c r="P21" s="1" t="s">
        <v>24</v>
      </c>
      <c r="Q21" s="1" t="s">
        <v>25</v>
      </c>
      <c r="T21" s="1" t="s">
        <v>4</v>
      </c>
      <c r="U21" s="1" t="s">
        <v>5</v>
      </c>
      <c r="V21" s="1" t="s">
        <v>24</v>
      </c>
      <c r="W21" s="1" t="s">
        <v>25</v>
      </c>
    </row>
    <row r="22" spans="1:23" ht="17.25" x14ac:dyDescent="0.25">
      <c r="A22" t="s">
        <v>6</v>
      </c>
      <c r="B22" t="s">
        <v>13</v>
      </c>
      <c r="D22" t="s">
        <v>21</v>
      </c>
      <c r="G22" t="s">
        <v>6</v>
      </c>
      <c r="H22" t="s">
        <v>13</v>
      </c>
      <c r="J22" t="s">
        <v>21</v>
      </c>
      <c r="M22" t="s">
        <v>6</v>
      </c>
      <c r="N22" t="s">
        <v>13</v>
      </c>
      <c r="P22" t="s">
        <v>21</v>
      </c>
      <c r="S22" t="s">
        <v>6</v>
      </c>
      <c r="T22" t="s">
        <v>13</v>
      </c>
      <c r="V22" t="s">
        <v>21</v>
      </c>
    </row>
    <row r="23" spans="1:23" x14ac:dyDescent="0.25">
      <c r="B23">
        <v>41</v>
      </c>
      <c r="C23">
        <v>34</v>
      </c>
      <c r="D23">
        <v>67</v>
      </c>
      <c r="E23">
        <v>91</v>
      </c>
      <c r="H23">
        <v>33</v>
      </c>
      <c r="I23">
        <v>42</v>
      </c>
      <c r="J23">
        <v>94</v>
      </c>
      <c r="K23">
        <v>100</v>
      </c>
      <c r="N23">
        <v>10</v>
      </c>
      <c r="O23">
        <v>9</v>
      </c>
      <c r="P23">
        <v>40</v>
      </c>
      <c r="Q23">
        <v>31</v>
      </c>
      <c r="T23">
        <v>23</v>
      </c>
      <c r="U23">
        <v>22</v>
      </c>
      <c r="V23">
        <v>78</v>
      </c>
      <c r="W23">
        <v>54</v>
      </c>
    </row>
    <row r="24" spans="1:23" x14ac:dyDescent="0.25">
      <c r="B24">
        <v>37</v>
      </c>
      <c r="C24">
        <v>40</v>
      </c>
      <c r="D24">
        <v>68</v>
      </c>
      <c r="E24">
        <v>96</v>
      </c>
      <c r="H24">
        <v>33</v>
      </c>
      <c r="I24">
        <v>25</v>
      </c>
      <c r="J24">
        <v>99</v>
      </c>
      <c r="K24">
        <v>68</v>
      </c>
      <c r="N24">
        <v>10</v>
      </c>
      <c r="O24">
        <v>9</v>
      </c>
      <c r="P24">
        <v>41</v>
      </c>
      <c r="Q24">
        <v>28</v>
      </c>
      <c r="T24">
        <v>23</v>
      </c>
      <c r="U24">
        <v>24</v>
      </c>
      <c r="V24">
        <v>80</v>
      </c>
      <c r="W24">
        <v>64</v>
      </c>
    </row>
    <row r="25" spans="1:23" x14ac:dyDescent="0.25">
      <c r="B25">
        <v>35</v>
      </c>
      <c r="C25">
        <v>40</v>
      </c>
      <c r="D25">
        <v>73</v>
      </c>
      <c r="E25">
        <v>62</v>
      </c>
      <c r="H25">
        <v>25</v>
      </c>
      <c r="I25">
        <v>38</v>
      </c>
      <c r="J25">
        <v>84</v>
      </c>
      <c r="K25">
        <v>80</v>
      </c>
      <c r="N25">
        <v>14</v>
      </c>
      <c r="O25">
        <v>7</v>
      </c>
      <c r="P25">
        <v>35</v>
      </c>
      <c r="Q25">
        <v>27</v>
      </c>
      <c r="T25">
        <v>16</v>
      </c>
      <c r="U25">
        <v>20</v>
      </c>
      <c r="V25">
        <v>49</v>
      </c>
      <c r="W25">
        <v>72</v>
      </c>
    </row>
    <row r="26" spans="1:23" x14ac:dyDescent="0.25">
      <c r="A26" s="2" t="s">
        <v>9</v>
      </c>
      <c r="B26" s="2">
        <f>AVERAGE(B23:B25)</f>
        <v>37.666666666666664</v>
      </c>
      <c r="C26" s="2">
        <f>AVERAGE(C23:C25)</f>
        <v>38</v>
      </c>
      <c r="D26" s="2">
        <f>AVERAGE(D23:D25)</f>
        <v>69.333333333333329</v>
      </c>
      <c r="E26" s="2">
        <f>AVERAGE(E23:E25)</f>
        <v>83</v>
      </c>
      <c r="G26" s="2" t="s">
        <v>9</v>
      </c>
      <c r="H26" s="2">
        <f>AVERAGE(H23:H25)</f>
        <v>30.333333333333332</v>
      </c>
      <c r="I26" s="2">
        <f>AVERAGE(I23:I25)</f>
        <v>35</v>
      </c>
      <c r="J26" s="2">
        <f>AVERAGE(J23:J25)</f>
        <v>92.333333333333329</v>
      </c>
      <c r="K26" s="2">
        <f>AVERAGE(K23:K25)</f>
        <v>82.666666666666671</v>
      </c>
      <c r="M26" s="2" t="s">
        <v>9</v>
      </c>
      <c r="N26" s="2">
        <f>AVERAGE(N23:N25)</f>
        <v>11.333333333333334</v>
      </c>
      <c r="O26" s="2">
        <f>AVERAGE(O23:O25)</f>
        <v>8.3333333333333339</v>
      </c>
      <c r="P26" s="2">
        <f>AVERAGE(P23:P25)</f>
        <v>38.666666666666664</v>
      </c>
      <c r="Q26" s="2">
        <f>AVERAGE(Q23:Q25)</f>
        <v>28.666666666666668</v>
      </c>
      <c r="S26" s="2" t="s">
        <v>9</v>
      </c>
      <c r="T26" s="2">
        <f>AVERAGE(T23:T25)</f>
        <v>20.666666666666668</v>
      </c>
      <c r="U26" s="2">
        <f t="shared" ref="U26:W26" si="2">AVERAGE(U23:U25)</f>
        <v>22</v>
      </c>
      <c r="V26" s="2">
        <f t="shared" si="2"/>
        <v>69</v>
      </c>
      <c r="W26" s="2">
        <f t="shared" si="2"/>
        <v>63.333333333333336</v>
      </c>
    </row>
    <row r="27" spans="1:23" x14ac:dyDescent="0.25">
      <c r="A27" s="2" t="s">
        <v>10</v>
      </c>
      <c r="B27" s="2">
        <f>STDEVA(B23:B25)</f>
        <v>3.0550504633038931</v>
      </c>
      <c r="C27" s="2">
        <f>STDEVA(C23:C25)</f>
        <v>3.4641016151377544</v>
      </c>
      <c r="D27" s="2">
        <f>STDEVA(D23:D25)</f>
        <v>3.214550253664318</v>
      </c>
      <c r="E27" s="2">
        <f>STDEVA(E23:E25)</f>
        <v>18.357559750685819</v>
      </c>
      <c r="G27" s="2" t="s">
        <v>10</v>
      </c>
      <c r="H27" s="2">
        <f>STDEVA(H23:H25)</f>
        <v>4.6188021535169979</v>
      </c>
      <c r="I27" s="2">
        <f>STDEVA(I23:I25)</f>
        <v>8.8881944173155887</v>
      </c>
      <c r="J27" s="2">
        <f>STDEVA(J23:J25)</f>
        <v>7.6376261582597333</v>
      </c>
      <c r="K27" s="2">
        <f>STDEVA(K23:K25)</f>
        <v>16.16580753730954</v>
      </c>
      <c r="M27" s="2" t="s">
        <v>10</v>
      </c>
      <c r="N27" s="2">
        <f>STDEVA(N23:N25)</f>
        <v>2.3094010767585051</v>
      </c>
      <c r="O27" s="2">
        <f>STDEVA(O23:O25)</f>
        <v>1.1547005383792495</v>
      </c>
      <c r="P27" s="2">
        <f>STDEVA(P23:P25)</f>
        <v>3.214550253664318</v>
      </c>
      <c r="Q27" s="2">
        <f>STDEVA(Q23:Q25)</f>
        <v>2.0816659994661331</v>
      </c>
      <c r="S27" s="2" t="s">
        <v>10</v>
      </c>
      <c r="T27" s="2">
        <f>STDEVA(T23:T25)</f>
        <v>4.041451884327385</v>
      </c>
      <c r="U27" s="2">
        <f t="shared" ref="U27:W27" si="3">STDEVA(U23:U25)</f>
        <v>2</v>
      </c>
      <c r="V27" s="2">
        <f t="shared" si="3"/>
        <v>17.349351572897472</v>
      </c>
      <c r="W27" s="2">
        <f t="shared" si="3"/>
        <v>9.0184995056457726</v>
      </c>
    </row>
    <row r="28" spans="1:23" x14ac:dyDescent="0.25">
      <c r="A28" s="2" t="s">
        <v>11</v>
      </c>
      <c r="B28" s="3">
        <v>37660</v>
      </c>
      <c r="C28" s="3">
        <v>38000</v>
      </c>
      <c r="D28" s="3">
        <v>6933</v>
      </c>
      <c r="E28" s="3">
        <v>8300</v>
      </c>
      <c r="G28" s="2" t="s">
        <v>11</v>
      </c>
      <c r="H28" s="3">
        <v>30330</v>
      </c>
      <c r="I28" s="3">
        <v>35000</v>
      </c>
      <c r="J28" s="3">
        <v>9233</v>
      </c>
      <c r="K28" s="3">
        <v>8266</v>
      </c>
      <c r="M28" s="2" t="s">
        <v>11</v>
      </c>
      <c r="N28" s="3">
        <v>11330</v>
      </c>
      <c r="O28" s="3">
        <v>8330</v>
      </c>
      <c r="P28" s="3">
        <v>3866</v>
      </c>
      <c r="Q28" s="3">
        <v>2866</v>
      </c>
      <c r="S28" s="2" t="s">
        <v>11</v>
      </c>
      <c r="T28" s="3">
        <v>20660</v>
      </c>
      <c r="U28" s="3">
        <v>22000</v>
      </c>
      <c r="V28" s="3">
        <v>6900</v>
      </c>
      <c r="W28" s="3">
        <v>6333</v>
      </c>
    </row>
    <row r="31" spans="1:23" x14ac:dyDescent="0.25">
      <c r="B31" s="1" t="s">
        <v>4</v>
      </c>
      <c r="C31" s="1" t="s">
        <v>5</v>
      </c>
      <c r="D31" s="1" t="s">
        <v>24</v>
      </c>
      <c r="E31" s="1" t="s">
        <v>25</v>
      </c>
      <c r="H31" s="1" t="s">
        <v>4</v>
      </c>
      <c r="I31" s="1" t="s">
        <v>5</v>
      </c>
      <c r="J31" s="1" t="s">
        <v>24</v>
      </c>
      <c r="K31" s="1" t="s">
        <v>25</v>
      </c>
      <c r="N31" s="1" t="s">
        <v>4</v>
      </c>
      <c r="O31" s="1" t="s">
        <v>5</v>
      </c>
      <c r="P31" s="1" t="s">
        <v>24</v>
      </c>
      <c r="Q31" s="1" t="s">
        <v>25</v>
      </c>
      <c r="T31" s="1" t="s">
        <v>4</v>
      </c>
      <c r="U31" s="1" t="s">
        <v>24</v>
      </c>
    </row>
    <row r="32" spans="1:23" ht="17.25" x14ac:dyDescent="0.25">
      <c r="A32" t="s">
        <v>14</v>
      </c>
      <c r="B32" t="s">
        <v>13</v>
      </c>
      <c r="D32" t="s">
        <v>21</v>
      </c>
      <c r="G32" t="s">
        <v>14</v>
      </c>
      <c r="H32" t="s">
        <v>13</v>
      </c>
      <c r="J32" t="s">
        <v>21</v>
      </c>
      <c r="M32" t="s">
        <v>14</v>
      </c>
      <c r="N32" t="s">
        <v>13</v>
      </c>
      <c r="P32" t="s">
        <v>21</v>
      </c>
      <c r="S32">
        <v>0</v>
      </c>
      <c r="T32" s="4">
        <f>AVERAGE([1]Tabelle1!E37:F37)</f>
        <v>21330</v>
      </c>
      <c r="U32" s="4">
        <f>AVERAGE([1]Tabelle1!G37:H37)</f>
        <v>6616.5</v>
      </c>
    </row>
    <row r="33" spans="1:17" x14ac:dyDescent="0.25">
      <c r="B33">
        <v>58</v>
      </c>
      <c r="C33">
        <v>42</v>
      </c>
      <c r="D33">
        <v>109</v>
      </c>
      <c r="E33">
        <v>119</v>
      </c>
      <c r="H33">
        <v>43</v>
      </c>
      <c r="I33">
        <v>44</v>
      </c>
      <c r="J33">
        <v>104</v>
      </c>
      <c r="K33">
        <v>112</v>
      </c>
      <c r="N33">
        <v>13</v>
      </c>
      <c r="O33">
        <v>11</v>
      </c>
      <c r="P33">
        <v>34</v>
      </c>
      <c r="Q33">
        <v>37</v>
      </c>
    </row>
    <row r="34" spans="1:17" x14ac:dyDescent="0.25">
      <c r="B34">
        <v>65</v>
      </c>
      <c r="C34">
        <v>54</v>
      </c>
      <c r="D34">
        <v>115</v>
      </c>
      <c r="E34">
        <v>117</v>
      </c>
      <c r="H34">
        <v>39</v>
      </c>
      <c r="I34">
        <v>45</v>
      </c>
      <c r="J34">
        <v>95</v>
      </c>
      <c r="K34">
        <v>102</v>
      </c>
      <c r="N34">
        <v>15</v>
      </c>
      <c r="O34">
        <v>10</v>
      </c>
      <c r="P34">
        <v>39</v>
      </c>
      <c r="Q34">
        <v>30</v>
      </c>
    </row>
    <row r="35" spans="1:17" x14ac:dyDescent="0.25">
      <c r="B35">
        <v>61</v>
      </c>
      <c r="C35">
        <v>54</v>
      </c>
      <c r="D35">
        <v>129</v>
      </c>
      <c r="E35">
        <v>127</v>
      </c>
      <c r="H35">
        <v>41</v>
      </c>
      <c r="I35">
        <v>48</v>
      </c>
      <c r="J35">
        <v>112</v>
      </c>
      <c r="K35">
        <v>114</v>
      </c>
      <c r="N35">
        <v>11</v>
      </c>
      <c r="O35">
        <v>14</v>
      </c>
      <c r="P35">
        <v>32</v>
      </c>
      <c r="Q35">
        <v>35</v>
      </c>
    </row>
    <row r="36" spans="1:17" x14ac:dyDescent="0.25">
      <c r="A36" s="2" t="s">
        <v>9</v>
      </c>
      <c r="B36" s="2">
        <f>AVERAGE(B33:B35)</f>
        <v>61.333333333333336</v>
      </c>
      <c r="C36" s="2">
        <f>AVERAGE(C33:C35)</f>
        <v>50</v>
      </c>
      <c r="D36" s="2">
        <f>AVERAGE(D33:D35)</f>
        <v>117.66666666666667</v>
      </c>
      <c r="E36" s="2">
        <f>AVERAGE(E33:E35)</f>
        <v>121</v>
      </c>
      <c r="G36" s="2" t="s">
        <v>9</v>
      </c>
      <c r="H36" s="2">
        <f>AVERAGE(H33:H35)</f>
        <v>41</v>
      </c>
      <c r="I36" s="2">
        <f>AVERAGE(I33:I35)</f>
        <v>45.666666666666664</v>
      </c>
      <c r="J36" s="2">
        <f>AVERAGE(J33:J35)</f>
        <v>103.66666666666667</v>
      </c>
      <c r="K36" s="2">
        <f>AVERAGE(K33:K35)</f>
        <v>109.33333333333333</v>
      </c>
      <c r="M36" s="2" t="s">
        <v>9</v>
      </c>
      <c r="N36" s="2">
        <f>AVERAGE(N33:N35)</f>
        <v>13</v>
      </c>
      <c r="O36" s="2">
        <f>AVERAGE(O33:O35)</f>
        <v>11.666666666666666</v>
      </c>
      <c r="P36" s="2">
        <f>AVERAGE(P33:P35)</f>
        <v>35</v>
      </c>
      <c r="Q36" s="2">
        <f>AVERAGE(Q33:Q35)</f>
        <v>34</v>
      </c>
    </row>
    <row r="37" spans="1:17" x14ac:dyDescent="0.25">
      <c r="A37" s="2" t="s">
        <v>10</v>
      </c>
      <c r="B37" s="2">
        <f>STDEVA(B33:B35)</f>
        <v>3.5118845842842465</v>
      </c>
      <c r="C37" s="2">
        <f>STDEVA(C33:C35)</f>
        <v>6.9282032302755088</v>
      </c>
      <c r="D37" s="2">
        <f>STDEVA(D33:D35)</f>
        <v>10.263202878893768</v>
      </c>
      <c r="E37" s="2">
        <f>STDEVA(E33:E35)</f>
        <v>5.2915026221291814</v>
      </c>
      <c r="G37" s="2" t="s">
        <v>10</v>
      </c>
      <c r="H37" s="2">
        <f>STDEVA(H33:H35)</f>
        <v>2</v>
      </c>
      <c r="I37" s="2">
        <f>STDEVA(I33:I35)</f>
        <v>2.0816659994661326</v>
      </c>
      <c r="J37" s="2">
        <f>STDEVA(J33:J35)</f>
        <v>8.5049005481153834</v>
      </c>
      <c r="K37" s="2">
        <f>STDEVA(K33:K35)</f>
        <v>6.429100507328636</v>
      </c>
      <c r="M37" s="2" t="s">
        <v>10</v>
      </c>
      <c r="N37" s="2">
        <f>STDEVA(N33:N35)</f>
        <v>2</v>
      </c>
      <c r="O37" s="2">
        <f>STDEVA(O33:O35)</f>
        <v>2.0816659994661348</v>
      </c>
      <c r="P37" s="2">
        <f>STDEVA(P33:P35)</f>
        <v>3.6055512754639891</v>
      </c>
      <c r="Q37" s="2">
        <f>STDEVA(Q33:Q35)</f>
        <v>3.6055512754639891</v>
      </c>
    </row>
    <row r="38" spans="1:17" x14ac:dyDescent="0.25">
      <c r="A38" s="2" t="s">
        <v>11</v>
      </c>
      <c r="B38" s="3">
        <v>61330</v>
      </c>
      <c r="C38" s="3">
        <v>50000</v>
      </c>
      <c r="D38" s="3">
        <v>11766</v>
      </c>
      <c r="E38" s="3">
        <v>12100</v>
      </c>
      <c r="G38" s="2" t="s">
        <v>11</v>
      </c>
      <c r="H38" s="3">
        <v>41000</v>
      </c>
      <c r="I38" s="3">
        <v>45660</v>
      </c>
      <c r="J38" s="3">
        <v>10366</v>
      </c>
      <c r="K38" s="3">
        <v>10933</v>
      </c>
      <c r="M38" s="2" t="s">
        <v>11</v>
      </c>
      <c r="N38" s="3">
        <v>13000</v>
      </c>
      <c r="O38" s="3">
        <v>11660</v>
      </c>
      <c r="P38" s="3">
        <v>3500</v>
      </c>
      <c r="Q38" s="3">
        <v>3400</v>
      </c>
    </row>
    <row r="41" spans="1:17" x14ac:dyDescent="0.25">
      <c r="B41" s="1" t="s">
        <v>4</v>
      </c>
      <c r="C41" s="1" t="s">
        <v>5</v>
      </c>
      <c r="D41" s="1" t="s">
        <v>24</v>
      </c>
      <c r="E41" s="1" t="s">
        <v>25</v>
      </c>
      <c r="H41" s="1" t="s">
        <v>4</v>
      </c>
      <c r="I41" s="1" t="s">
        <v>5</v>
      </c>
      <c r="J41" s="1" t="s">
        <v>24</v>
      </c>
      <c r="K41" s="1" t="s">
        <v>25</v>
      </c>
      <c r="N41" s="1" t="s">
        <v>4</v>
      </c>
      <c r="O41" s="1" t="s">
        <v>5</v>
      </c>
      <c r="P41" s="1" t="s">
        <v>24</v>
      </c>
      <c r="Q41" s="1" t="s">
        <v>25</v>
      </c>
    </row>
    <row r="42" spans="1:17" ht="17.25" x14ac:dyDescent="0.25">
      <c r="A42" t="s">
        <v>15</v>
      </c>
      <c r="B42" t="s">
        <v>13</v>
      </c>
      <c r="G42" t="s">
        <v>15</v>
      </c>
      <c r="H42" t="s">
        <v>13</v>
      </c>
      <c r="M42" t="s">
        <v>15</v>
      </c>
      <c r="N42" t="s">
        <v>13</v>
      </c>
    </row>
    <row r="43" spans="1:17" x14ac:dyDescent="0.25">
      <c r="B43">
        <v>118</v>
      </c>
      <c r="C43">
        <v>110</v>
      </c>
      <c r="D43">
        <v>27</v>
      </c>
      <c r="E43">
        <v>25</v>
      </c>
      <c r="H43">
        <v>65</v>
      </c>
      <c r="I43">
        <v>89</v>
      </c>
      <c r="J43">
        <v>45</v>
      </c>
      <c r="K43">
        <v>37</v>
      </c>
      <c r="N43">
        <v>31</v>
      </c>
      <c r="O43">
        <v>23</v>
      </c>
      <c r="P43">
        <v>12</v>
      </c>
      <c r="Q43">
        <v>10</v>
      </c>
    </row>
    <row r="44" spans="1:17" x14ac:dyDescent="0.25">
      <c r="B44">
        <v>112</v>
      </c>
      <c r="C44">
        <v>106</v>
      </c>
      <c r="D44">
        <v>27</v>
      </c>
      <c r="E44">
        <v>38</v>
      </c>
      <c r="H44">
        <v>49</v>
      </c>
      <c r="I44">
        <v>82</v>
      </c>
      <c r="J44">
        <v>46</v>
      </c>
      <c r="K44">
        <v>43</v>
      </c>
      <c r="N44">
        <v>28</v>
      </c>
      <c r="O44">
        <v>22</v>
      </c>
      <c r="P44">
        <v>14</v>
      </c>
      <c r="Q44">
        <v>10</v>
      </c>
    </row>
    <row r="45" spans="1:17" x14ac:dyDescent="0.25">
      <c r="B45">
        <v>110</v>
      </c>
      <c r="C45">
        <v>118</v>
      </c>
      <c r="D45">
        <v>36</v>
      </c>
      <c r="E45">
        <v>30</v>
      </c>
      <c r="H45">
        <v>70</v>
      </c>
      <c r="I45">
        <v>100</v>
      </c>
      <c r="J45">
        <v>40</v>
      </c>
      <c r="K45">
        <v>40</v>
      </c>
      <c r="N45">
        <v>30</v>
      </c>
      <c r="O45">
        <v>24</v>
      </c>
      <c r="P45">
        <v>10</v>
      </c>
      <c r="Q45">
        <v>10</v>
      </c>
    </row>
    <row r="46" spans="1:17" x14ac:dyDescent="0.25">
      <c r="A46" s="2" t="s">
        <v>9</v>
      </c>
      <c r="B46" s="2">
        <f>AVERAGE(B43:B45)</f>
        <v>113.33333333333333</v>
      </c>
      <c r="C46" s="2">
        <f>AVERAGE(C43:C45)</f>
        <v>111.33333333333333</v>
      </c>
      <c r="D46" s="2">
        <f>AVERAGE(D43:D45)</f>
        <v>30</v>
      </c>
      <c r="E46" s="2">
        <f>AVERAGE(E43:E45)</f>
        <v>31</v>
      </c>
      <c r="G46" s="2" t="s">
        <v>9</v>
      </c>
      <c r="H46" s="2">
        <f>AVERAGE(H43:H45)</f>
        <v>61.333333333333336</v>
      </c>
      <c r="I46" s="2">
        <f>AVERAGE(I43:I45)</f>
        <v>90.333333333333329</v>
      </c>
      <c r="J46" s="2">
        <f>AVERAGE(J43:J45)</f>
        <v>43.666666666666664</v>
      </c>
      <c r="K46" s="2">
        <f>AVERAGE(K43:K45)</f>
        <v>40</v>
      </c>
      <c r="M46" s="2" t="s">
        <v>9</v>
      </c>
      <c r="N46" s="2">
        <f>AVERAGE(N43:N45)</f>
        <v>29.666666666666668</v>
      </c>
      <c r="O46" s="2">
        <f>AVERAGE(O43:O45)</f>
        <v>23</v>
      </c>
      <c r="P46" s="2">
        <f>AVERAGE(P43:P45)</f>
        <v>12</v>
      </c>
      <c r="Q46" s="2">
        <f>AVERAGE(Q43:Q45)</f>
        <v>10</v>
      </c>
    </row>
    <row r="47" spans="1:17" x14ac:dyDescent="0.25">
      <c r="A47" s="2" t="s">
        <v>10</v>
      </c>
      <c r="B47" s="2">
        <f>STDEVA(B43:B45)</f>
        <v>4.1633319989322652</v>
      </c>
      <c r="C47" s="2">
        <f>STDEVA(C43:C45)</f>
        <v>6.1101009266077861</v>
      </c>
      <c r="D47" s="2">
        <f>STDEVA(D43:D45)</f>
        <v>5.196152422706632</v>
      </c>
      <c r="E47" s="2">
        <f>STDEVA(E43:E45)</f>
        <v>6.5574385243020004</v>
      </c>
      <c r="G47" s="2" t="s">
        <v>10</v>
      </c>
      <c r="H47" s="2">
        <f>STDEVA(H43:H45)</f>
        <v>10.969655114602876</v>
      </c>
      <c r="I47" s="2">
        <f>STDEVA(I43:I45)</f>
        <v>9.0737717258774673</v>
      </c>
      <c r="J47" s="2">
        <f>STDEVA(J43:J45)</f>
        <v>3.214550253664318</v>
      </c>
      <c r="K47" s="2">
        <f>STDEVA(K43:K45)</f>
        <v>3</v>
      </c>
      <c r="M47" s="2" t="s">
        <v>10</v>
      </c>
      <c r="N47" s="2">
        <f>STDEVA(N43:N45)</f>
        <v>1.5275252316519468</v>
      </c>
      <c r="O47" s="2">
        <f>STDEVA(O43:O45)</f>
        <v>1</v>
      </c>
      <c r="P47" s="2">
        <f>STDEVA(P43:P45)</f>
        <v>2</v>
      </c>
      <c r="Q47" s="2">
        <f>STDEVA(Q43:Q45)</f>
        <v>0</v>
      </c>
    </row>
    <row r="48" spans="1:17" x14ac:dyDescent="0.25">
      <c r="A48" s="2" t="s">
        <v>11</v>
      </c>
      <c r="B48" s="3">
        <v>113330</v>
      </c>
      <c r="C48" s="3">
        <v>111330</v>
      </c>
      <c r="D48" s="3">
        <v>30000</v>
      </c>
      <c r="E48" s="3">
        <v>31000</v>
      </c>
      <c r="G48" s="2" t="s">
        <v>11</v>
      </c>
      <c r="H48" s="3">
        <v>61330</v>
      </c>
      <c r="I48" s="3">
        <v>90330</v>
      </c>
      <c r="J48" s="3">
        <v>43660</v>
      </c>
      <c r="K48" s="3">
        <v>40000</v>
      </c>
      <c r="M48" s="2" t="s">
        <v>11</v>
      </c>
      <c r="N48" s="3">
        <v>29660</v>
      </c>
      <c r="O48" s="3">
        <v>23000</v>
      </c>
      <c r="P48" s="3">
        <v>12000</v>
      </c>
      <c r="Q48" s="3">
        <v>10000</v>
      </c>
    </row>
    <row r="51" spans="1:17" x14ac:dyDescent="0.25">
      <c r="B51" s="1" t="s">
        <v>4</v>
      </c>
      <c r="C51" s="1" t="s">
        <v>5</v>
      </c>
      <c r="D51" s="1" t="s">
        <v>24</v>
      </c>
      <c r="E51" s="1" t="s">
        <v>25</v>
      </c>
      <c r="H51" s="1" t="s">
        <v>4</v>
      </c>
      <c r="I51" s="1" t="s">
        <v>5</v>
      </c>
      <c r="J51" s="1" t="s">
        <v>24</v>
      </c>
      <c r="K51" s="1" t="s">
        <v>25</v>
      </c>
      <c r="N51" s="1" t="s">
        <v>4</v>
      </c>
      <c r="O51" s="1" t="s">
        <v>5</v>
      </c>
      <c r="P51" s="1" t="s">
        <v>24</v>
      </c>
      <c r="Q51" s="1" t="s">
        <v>25</v>
      </c>
    </row>
    <row r="52" spans="1:17" ht="17.25" x14ac:dyDescent="0.25">
      <c r="A52" t="s">
        <v>16</v>
      </c>
      <c r="B52" t="s">
        <v>7</v>
      </c>
      <c r="D52" t="s">
        <v>13</v>
      </c>
      <c r="G52" t="s">
        <v>16</v>
      </c>
      <c r="H52" t="s">
        <v>13</v>
      </c>
      <c r="J52" t="s">
        <v>13</v>
      </c>
      <c r="M52" t="s">
        <v>16</v>
      </c>
      <c r="N52" t="s">
        <v>13</v>
      </c>
      <c r="P52" t="s">
        <v>13</v>
      </c>
    </row>
    <row r="53" spans="1:17" x14ac:dyDescent="0.25">
      <c r="B53">
        <v>21</v>
      </c>
      <c r="C53">
        <v>19</v>
      </c>
      <c r="D53">
        <v>46</v>
      </c>
      <c r="E53">
        <v>53</v>
      </c>
      <c r="H53">
        <v>102</v>
      </c>
      <c r="I53">
        <v>115</v>
      </c>
      <c r="J53">
        <v>56</v>
      </c>
      <c r="K53">
        <v>43</v>
      </c>
      <c r="N53">
        <v>52</v>
      </c>
      <c r="O53">
        <v>56</v>
      </c>
      <c r="P53">
        <v>50</v>
      </c>
      <c r="Q53">
        <v>16</v>
      </c>
    </row>
    <row r="54" spans="1:17" x14ac:dyDescent="0.25">
      <c r="B54">
        <v>19</v>
      </c>
      <c r="C54">
        <v>16</v>
      </c>
      <c r="D54">
        <v>39</v>
      </c>
      <c r="E54">
        <v>48</v>
      </c>
      <c r="H54">
        <v>81</v>
      </c>
      <c r="I54">
        <v>101</v>
      </c>
      <c r="J54">
        <v>61</v>
      </c>
      <c r="K54">
        <v>34</v>
      </c>
      <c r="N54">
        <v>56</v>
      </c>
      <c r="O54">
        <v>53</v>
      </c>
      <c r="P54">
        <v>38</v>
      </c>
      <c r="Q54">
        <v>16</v>
      </c>
    </row>
    <row r="55" spans="1:17" x14ac:dyDescent="0.25">
      <c r="B55">
        <v>17</v>
      </c>
      <c r="C55">
        <v>21</v>
      </c>
      <c r="D55">
        <v>36</v>
      </c>
      <c r="E55">
        <v>48</v>
      </c>
      <c r="H55">
        <v>92</v>
      </c>
      <c r="I55">
        <v>113</v>
      </c>
      <c r="J55">
        <v>73</v>
      </c>
      <c r="K55">
        <v>42</v>
      </c>
      <c r="N55">
        <v>51</v>
      </c>
      <c r="O55">
        <v>61</v>
      </c>
      <c r="P55">
        <v>63</v>
      </c>
      <c r="Q55">
        <v>14</v>
      </c>
    </row>
    <row r="56" spans="1:17" x14ac:dyDescent="0.25">
      <c r="A56" s="2" t="s">
        <v>9</v>
      </c>
      <c r="B56" s="2">
        <f>AVERAGE(B53:B55)</f>
        <v>19</v>
      </c>
      <c r="C56" s="2">
        <f>AVERAGE(C53:C55)</f>
        <v>18.666666666666668</v>
      </c>
      <c r="D56" s="2">
        <f>AVERAGE(D53:D55)</f>
        <v>40.333333333333336</v>
      </c>
      <c r="E56" s="2">
        <f>AVERAGE(E53:E55)</f>
        <v>49.666666666666664</v>
      </c>
      <c r="G56" s="2" t="s">
        <v>9</v>
      </c>
      <c r="H56" s="2">
        <f>AVERAGE(H53:H55)</f>
        <v>91.666666666666671</v>
      </c>
      <c r="I56" s="2">
        <f>AVERAGE(I53:I55)</f>
        <v>109.66666666666667</v>
      </c>
      <c r="J56" s="2">
        <f>AVERAGE(J53:J55)</f>
        <v>63.333333333333336</v>
      </c>
      <c r="K56" s="2">
        <f>AVERAGE(K53:K55)</f>
        <v>39.666666666666664</v>
      </c>
      <c r="M56" s="2" t="s">
        <v>9</v>
      </c>
      <c r="N56" s="2">
        <f>AVERAGE(N53:N55)</f>
        <v>53</v>
      </c>
      <c r="O56" s="2">
        <f>AVERAGE(O53:O55)</f>
        <v>56.666666666666664</v>
      </c>
      <c r="P56" s="2">
        <f>AVERAGE(P53:P55)</f>
        <v>50.333333333333336</v>
      </c>
      <c r="Q56" s="2">
        <f>AVERAGE(Q53:Q55)</f>
        <v>15.333333333333334</v>
      </c>
    </row>
    <row r="57" spans="1:17" x14ac:dyDescent="0.25">
      <c r="A57" s="2" t="s">
        <v>10</v>
      </c>
      <c r="B57" s="2">
        <f>STDEVA(B53:B55)</f>
        <v>2</v>
      </c>
      <c r="C57" s="2">
        <f>STDEVA(C53:C55)</f>
        <v>2.5166114784235907</v>
      </c>
      <c r="D57" s="2">
        <f>STDEVA(D53:D55)</f>
        <v>5.1316014394468992</v>
      </c>
      <c r="E57" s="2">
        <f>STDEVA(E53:E55)</f>
        <v>2.8867513459481287</v>
      </c>
      <c r="G57" s="2" t="s">
        <v>10</v>
      </c>
      <c r="H57" s="2">
        <f>STDEVA(H53:H55)</f>
        <v>10.503967504392488</v>
      </c>
      <c r="I57" s="2">
        <f>STDEVA(I53:I55)</f>
        <v>7.5718777944003657</v>
      </c>
      <c r="J57" s="2">
        <f>STDEVA(J53:J55)</f>
        <v>8.7368949480540863</v>
      </c>
      <c r="K57" s="2">
        <f>STDEVA(K53:K55)</f>
        <v>4.9328828623162631</v>
      </c>
      <c r="M57" s="2" t="s">
        <v>10</v>
      </c>
      <c r="N57" s="2">
        <f>STDEVA(N53:N55)</f>
        <v>2.6457513110645907</v>
      </c>
      <c r="O57" s="2">
        <f>STDEVA(O53:O55)</f>
        <v>4.0414518843273806</v>
      </c>
      <c r="P57" s="2">
        <f>STDEVA(P53:P55)</f>
        <v>12.503332889007375</v>
      </c>
      <c r="Q57" s="2">
        <f>STDEVA(Q53:Q55)</f>
        <v>1.1547005383792517</v>
      </c>
    </row>
    <row r="58" spans="1:17" x14ac:dyDescent="0.25">
      <c r="A58" s="2" t="s">
        <v>11</v>
      </c>
      <c r="B58" s="3">
        <v>190000</v>
      </c>
      <c r="C58" s="3">
        <v>186600</v>
      </c>
      <c r="D58" s="3">
        <v>40330</v>
      </c>
      <c r="E58" s="3">
        <v>49660</v>
      </c>
      <c r="G58" s="2" t="s">
        <v>11</v>
      </c>
      <c r="H58" s="3">
        <v>91660</v>
      </c>
      <c r="I58" s="3">
        <v>109660</v>
      </c>
      <c r="J58" s="3">
        <v>63330</v>
      </c>
      <c r="K58" s="3">
        <v>39660</v>
      </c>
      <c r="M58" s="2" t="s">
        <v>11</v>
      </c>
      <c r="N58" s="3">
        <v>53000</v>
      </c>
      <c r="O58" s="3">
        <v>56660</v>
      </c>
      <c r="P58" s="3">
        <v>50330</v>
      </c>
      <c r="Q58" s="3">
        <v>15330</v>
      </c>
    </row>
    <row r="61" spans="1:17" x14ac:dyDescent="0.25">
      <c r="B61" s="1" t="s">
        <v>4</v>
      </c>
      <c r="C61" s="1" t="s">
        <v>5</v>
      </c>
      <c r="D61" s="1" t="s">
        <v>24</v>
      </c>
      <c r="E61" s="1" t="s">
        <v>25</v>
      </c>
      <c r="H61" s="1" t="s">
        <v>4</v>
      </c>
      <c r="I61" s="1" t="s">
        <v>5</v>
      </c>
      <c r="J61" s="1" t="s">
        <v>24</v>
      </c>
      <c r="K61" s="1" t="s">
        <v>25</v>
      </c>
      <c r="N61" s="1" t="s">
        <v>4</v>
      </c>
      <c r="O61" s="1" t="s">
        <v>5</v>
      </c>
      <c r="P61" s="1" t="s">
        <v>24</v>
      </c>
      <c r="Q61" s="1" t="s">
        <v>25</v>
      </c>
    </row>
    <row r="62" spans="1:17" ht="17.25" x14ac:dyDescent="0.25">
      <c r="A62" t="s">
        <v>17</v>
      </c>
      <c r="B62" t="s">
        <v>7</v>
      </c>
      <c r="D62" t="s">
        <v>13</v>
      </c>
      <c r="G62" t="s">
        <v>17</v>
      </c>
      <c r="H62" t="s">
        <v>13</v>
      </c>
      <c r="M62" t="s">
        <v>17</v>
      </c>
      <c r="N62" t="s">
        <v>13</v>
      </c>
    </row>
    <row r="63" spans="1:17" x14ac:dyDescent="0.25">
      <c r="B63">
        <v>39</v>
      </c>
      <c r="C63">
        <v>34</v>
      </c>
      <c r="D63">
        <v>55</v>
      </c>
      <c r="E63">
        <v>55</v>
      </c>
      <c r="H63">
        <v>31</v>
      </c>
      <c r="I63">
        <v>99</v>
      </c>
      <c r="J63">
        <v>43</v>
      </c>
      <c r="K63">
        <v>42</v>
      </c>
      <c r="N63">
        <v>20</v>
      </c>
      <c r="O63">
        <v>54</v>
      </c>
      <c r="P63">
        <v>12</v>
      </c>
      <c r="Q63">
        <v>13</v>
      </c>
    </row>
    <row r="64" spans="1:17" x14ac:dyDescent="0.25">
      <c r="B64">
        <v>46</v>
      </c>
      <c r="C64">
        <v>40</v>
      </c>
      <c r="D64">
        <v>50</v>
      </c>
      <c r="E64">
        <v>37</v>
      </c>
      <c r="H64">
        <v>38</v>
      </c>
      <c r="I64">
        <v>81</v>
      </c>
      <c r="J64">
        <v>42</v>
      </c>
      <c r="K64">
        <v>46</v>
      </c>
      <c r="N64">
        <v>19</v>
      </c>
      <c r="O64">
        <v>63</v>
      </c>
      <c r="P64">
        <v>16</v>
      </c>
      <c r="Q64">
        <v>13</v>
      </c>
    </row>
    <row r="65" spans="1:17" x14ac:dyDescent="0.25">
      <c r="B65">
        <v>34</v>
      </c>
      <c r="C65">
        <v>49</v>
      </c>
      <c r="D65">
        <v>47</v>
      </c>
      <c r="E65">
        <v>39</v>
      </c>
      <c r="H65">
        <v>28</v>
      </c>
      <c r="I65">
        <v>77</v>
      </c>
      <c r="J65">
        <v>62</v>
      </c>
      <c r="K65">
        <v>47</v>
      </c>
      <c r="N65">
        <v>27</v>
      </c>
      <c r="O65">
        <v>73</v>
      </c>
      <c r="P65">
        <v>17</v>
      </c>
      <c r="Q65">
        <v>18</v>
      </c>
    </row>
    <row r="66" spans="1:17" x14ac:dyDescent="0.25">
      <c r="A66" s="2" t="s">
        <v>9</v>
      </c>
      <c r="B66" s="2">
        <f>AVERAGE(B63:B65)</f>
        <v>39.666666666666664</v>
      </c>
      <c r="C66" s="2">
        <f>AVERAGE(C63:C65)</f>
        <v>41</v>
      </c>
      <c r="D66" s="2">
        <f>AVERAGE(D63:D65)</f>
        <v>50.666666666666664</v>
      </c>
      <c r="E66" s="2">
        <f>AVERAGE(E63:E65)</f>
        <v>43.666666666666664</v>
      </c>
      <c r="G66" s="2" t="s">
        <v>9</v>
      </c>
      <c r="H66" s="2">
        <f>AVERAGE(H63:H65)</f>
        <v>32.333333333333336</v>
      </c>
      <c r="I66" s="2">
        <f>AVERAGE(I63:I65)</f>
        <v>85.666666666666671</v>
      </c>
      <c r="J66" s="2">
        <f>AVERAGE(J63:J65)</f>
        <v>49</v>
      </c>
      <c r="K66" s="2">
        <f>AVERAGE(K63:K65)</f>
        <v>45</v>
      </c>
      <c r="M66" s="2" t="s">
        <v>9</v>
      </c>
      <c r="N66" s="2">
        <f>AVERAGE(N63:N65)</f>
        <v>22</v>
      </c>
      <c r="O66" s="2">
        <f>AVERAGE(O63:O65)</f>
        <v>63.333333333333336</v>
      </c>
      <c r="P66" s="2">
        <f>AVERAGE(P63:P65)</f>
        <v>15</v>
      </c>
      <c r="Q66" s="2">
        <f>AVERAGE(Q63:Q65)</f>
        <v>14.666666666666666</v>
      </c>
    </row>
    <row r="67" spans="1:17" x14ac:dyDescent="0.25">
      <c r="A67" s="2" t="s">
        <v>10</v>
      </c>
      <c r="B67" s="2">
        <f>STDEVA(B63:B65)</f>
        <v>6.0277137733417208</v>
      </c>
      <c r="C67" s="2">
        <f>STDEVA(C63:C65)</f>
        <v>7.5498344352707498</v>
      </c>
      <c r="D67" s="2">
        <f>STDEVA(D63:D65)</f>
        <v>4.0414518843273806</v>
      </c>
      <c r="E67" s="2">
        <f>STDEVA(E63:E65)</f>
        <v>9.865765724632503</v>
      </c>
      <c r="G67" s="2" t="s">
        <v>10</v>
      </c>
      <c r="H67" s="2">
        <f>STDEVA(H63:H65)</f>
        <v>5.131601439446877</v>
      </c>
      <c r="I67" s="2">
        <f>STDEVA(I63:I65)</f>
        <v>11.718930554164656</v>
      </c>
      <c r="J67" s="2">
        <f>STDEVA(J63:J65)</f>
        <v>11.269427669584644</v>
      </c>
      <c r="K67" s="2">
        <f>STDEVA(K63:K65)</f>
        <v>2.6457513110645907</v>
      </c>
      <c r="M67" s="2" t="s">
        <v>10</v>
      </c>
      <c r="N67" s="2">
        <f>STDEVA(N63:N65)</f>
        <v>4.358898943540674</v>
      </c>
      <c r="O67" s="2">
        <f>STDEVA(O63:O65)</f>
        <v>9.5043849529221518</v>
      </c>
      <c r="P67" s="2">
        <f>STDEVA(P63:P65)</f>
        <v>2.6457513110645907</v>
      </c>
      <c r="Q67" s="2">
        <f>STDEVA(Q63:Q65)</f>
        <v>2.8867513459481255</v>
      </c>
    </row>
    <row r="68" spans="1:17" x14ac:dyDescent="0.25">
      <c r="A68" s="2" t="s">
        <v>11</v>
      </c>
      <c r="B68" s="3">
        <v>396600</v>
      </c>
      <c r="C68" s="3">
        <v>410000</v>
      </c>
      <c r="D68" s="3">
        <v>50660</v>
      </c>
      <c r="E68" s="3">
        <v>43660</v>
      </c>
      <c r="G68" s="2" t="s">
        <v>11</v>
      </c>
      <c r="H68" s="3">
        <v>32330</v>
      </c>
      <c r="I68" s="3">
        <v>85660</v>
      </c>
      <c r="J68" s="3">
        <v>49000</v>
      </c>
      <c r="K68" s="3">
        <v>45000</v>
      </c>
      <c r="M68" s="2" t="s">
        <v>11</v>
      </c>
      <c r="N68" s="3">
        <v>22000</v>
      </c>
      <c r="O68" s="3">
        <v>63330</v>
      </c>
      <c r="P68" s="3">
        <v>15000</v>
      </c>
      <c r="Q68" s="3">
        <v>14660</v>
      </c>
    </row>
    <row r="71" spans="1:17" x14ac:dyDescent="0.25">
      <c r="B71" s="1" t="s">
        <v>4</v>
      </c>
      <c r="C71" s="1" t="s">
        <v>24</v>
      </c>
      <c r="H71" s="1" t="s">
        <v>4</v>
      </c>
      <c r="I71" s="1" t="s">
        <v>24</v>
      </c>
      <c r="N71" s="1" t="s">
        <v>4</v>
      </c>
      <c r="O71" s="1" t="s">
        <v>24</v>
      </c>
    </row>
    <row r="72" spans="1:17" x14ac:dyDescent="0.25">
      <c r="A72">
        <v>0</v>
      </c>
      <c r="B72" s="4">
        <f>AVERAGE(Fig1B!B28:C28)</f>
        <v>37830</v>
      </c>
      <c r="C72" s="4">
        <f>AVERAGE(Fig1B!D28:E28)</f>
        <v>7616.5</v>
      </c>
      <c r="G72">
        <v>0</v>
      </c>
      <c r="H72" s="4">
        <f>AVERAGE(H28:I28)</f>
        <v>32665</v>
      </c>
      <c r="I72" s="4">
        <f>AVERAGE(J28:K28)</f>
        <v>8749.5</v>
      </c>
      <c r="M72">
        <v>0</v>
      </c>
      <c r="N72" s="4">
        <f>AVERAGE(Fig1B!N28:O28)</f>
        <v>9830</v>
      </c>
      <c r="O72" s="4">
        <f>AVERAGE(Fig1B!P28:Q28)</f>
        <v>3366</v>
      </c>
    </row>
    <row r="73" spans="1:17" x14ac:dyDescent="0.25">
      <c r="A73">
        <v>2</v>
      </c>
      <c r="B73" s="4">
        <f>AVERAGE(Fig1B!B38:C38)</f>
        <v>55665</v>
      </c>
      <c r="C73" s="4">
        <f>AVERAGE(Fig1B!D38:E38)</f>
        <v>11933</v>
      </c>
      <c r="G73">
        <v>2</v>
      </c>
      <c r="H73" s="4">
        <f>AVERAGE(H38:I38)</f>
        <v>43330</v>
      </c>
      <c r="I73" s="4">
        <f>AVERAGE(J38:K38)</f>
        <v>10649.5</v>
      </c>
      <c r="M73">
        <v>2</v>
      </c>
      <c r="N73" s="4">
        <f>AVERAGE(Fig1B!N38:O38)</f>
        <v>12330</v>
      </c>
      <c r="O73" s="4">
        <f>AVERAGE(Fig1B!P38:Q38)</f>
        <v>3450</v>
      </c>
    </row>
    <row r="74" spans="1:17" x14ac:dyDescent="0.25">
      <c r="A74">
        <v>4</v>
      </c>
      <c r="B74" s="4">
        <f>AVERAGE(Fig1B!B48:C48)</f>
        <v>112330</v>
      </c>
      <c r="C74" s="4">
        <f>AVERAGE(Fig1B!D48:E48)</f>
        <v>30500</v>
      </c>
      <c r="G74">
        <v>4</v>
      </c>
      <c r="H74" s="4">
        <f>AVERAGE(H48:I48)</f>
        <v>75830</v>
      </c>
      <c r="I74" s="4">
        <f>AVERAGE(J48:K48)</f>
        <v>41830</v>
      </c>
      <c r="M74">
        <v>4</v>
      </c>
      <c r="N74" s="4">
        <f>AVERAGE(Fig1B!N48:O48)</f>
        <v>26330</v>
      </c>
      <c r="O74" s="4">
        <f>AVERAGE(Fig1B!P48:Q48)</f>
        <v>11000</v>
      </c>
    </row>
    <row r="75" spans="1:17" x14ac:dyDescent="0.25">
      <c r="A75">
        <v>6</v>
      </c>
      <c r="B75" s="4">
        <f>AVERAGE(Fig1B!B58:C58)</f>
        <v>188300</v>
      </c>
      <c r="C75" s="4">
        <f>AVERAGE(Fig1B!D58:E58)</f>
        <v>44995</v>
      </c>
      <c r="G75">
        <v>6</v>
      </c>
      <c r="H75" s="4">
        <f>AVERAGE(H58:I58)</f>
        <v>100660</v>
      </c>
      <c r="I75" s="4">
        <f>AVERAGE(J58:K58)</f>
        <v>51495</v>
      </c>
      <c r="M75">
        <v>6</v>
      </c>
      <c r="N75" s="4">
        <f>AVERAGE(Fig1B!N58:O58)</f>
        <v>54830</v>
      </c>
      <c r="O75" s="4">
        <f>AVERAGE(Fig1B!P58:Q58)</f>
        <v>32830</v>
      </c>
    </row>
    <row r="76" spans="1:17" x14ac:dyDescent="0.25">
      <c r="A76">
        <v>24</v>
      </c>
      <c r="B76" s="4">
        <f>AVERAGE(Fig1B!B68:C68)</f>
        <v>403300</v>
      </c>
      <c r="C76" s="4">
        <f>AVERAGE(Fig1B!D68:E68)</f>
        <v>47160</v>
      </c>
      <c r="G76">
        <v>24</v>
      </c>
      <c r="H76" s="4">
        <f>AVERAGE(H68:I68)</f>
        <v>58995</v>
      </c>
      <c r="I76" s="4">
        <f>AVERAGE(J68:K68)</f>
        <v>47000</v>
      </c>
      <c r="M76">
        <v>24</v>
      </c>
      <c r="N76" s="4">
        <f>AVERAGE(Fig1B!N68:O68)</f>
        <v>42665</v>
      </c>
      <c r="O76" s="4">
        <f>AVERAGE(Fig1B!P68:Q68)</f>
        <v>14830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43B3C-28C5-46F3-9BEA-2B7F2B064C2F}">
  <dimension ref="A1:AI35"/>
  <sheetViews>
    <sheetView workbookViewId="0">
      <selection sqref="A1:B2"/>
    </sheetView>
  </sheetViews>
  <sheetFormatPr baseColWidth="10" defaultRowHeight="15" x14ac:dyDescent="0.25"/>
  <sheetData>
    <row r="1" spans="1:34" x14ac:dyDescent="0.25">
      <c r="A1" t="s">
        <v>0</v>
      </c>
      <c r="B1" s="1" t="s">
        <v>1</v>
      </c>
    </row>
    <row r="2" spans="1:34" x14ac:dyDescent="0.25">
      <c r="B2" s="1" t="s">
        <v>2</v>
      </c>
    </row>
    <row r="7" spans="1:34" x14ac:dyDescent="0.25">
      <c r="A7" s="1" t="s">
        <v>26</v>
      </c>
      <c r="M7" s="1" t="s">
        <v>26</v>
      </c>
      <c r="Y7" s="1" t="s">
        <v>26</v>
      </c>
    </row>
    <row r="8" spans="1:34" x14ac:dyDescent="0.25">
      <c r="B8" s="1"/>
      <c r="C8" s="1"/>
      <c r="D8" s="1"/>
      <c r="G8" s="1"/>
      <c r="N8" s="1"/>
      <c r="O8" s="1"/>
      <c r="P8" s="1"/>
      <c r="S8" s="1"/>
      <c r="Z8" s="1"/>
      <c r="AA8" s="1"/>
      <c r="AB8" s="1"/>
      <c r="AE8" s="1"/>
    </row>
    <row r="9" spans="1:34" x14ac:dyDescent="0.25">
      <c r="B9" s="1">
        <v>8640</v>
      </c>
      <c r="C9" s="1" t="s">
        <v>22</v>
      </c>
      <c r="N9" s="1">
        <v>8640</v>
      </c>
      <c r="O9" s="1" t="s">
        <v>22</v>
      </c>
      <c r="Z9" s="1">
        <v>8640</v>
      </c>
      <c r="AA9" s="1" t="s">
        <v>22</v>
      </c>
    </row>
    <row r="10" spans="1:34" ht="17.25" x14ac:dyDescent="0.25">
      <c r="B10" t="s">
        <v>18</v>
      </c>
      <c r="N10" t="s">
        <v>18</v>
      </c>
      <c r="Z10" t="s">
        <v>18</v>
      </c>
    </row>
    <row r="11" spans="1:34" x14ac:dyDescent="0.25">
      <c r="B11">
        <v>34</v>
      </c>
      <c r="C11">
        <v>21</v>
      </c>
      <c r="N11">
        <v>56</v>
      </c>
      <c r="O11">
        <v>51</v>
      </c>
      <c r="Z11">
        <v>58</v>
      </c>
      <c r="AA11">
        <v>30</v>
      </c>
    </row>
    <row r="12" spans="1:34" x14ac:dyDescent="0.25">
      <c r="B12">
        <v>44</v>
      </c>
      <c r="C12">
        <v>28</v>
      </c>
      <c r="N12">
        <v>55</v>
      </c>
      <c r="O12">
        <v>45</v>
      </c>
      <c r="Z12">
        <v>48</v>
      </c>
      <c r="AA12">
        <v>39</v>
      </c>
    </row>
    <row r="13" spans="1:34" x14ac:dyDescent="0.25">
      <c r="B13">
        <v>35</v>
      </c>
      <c r="C13">
        <v>20</v>
      </c>
      <c r="N13">
        <v>65</v>
      </c>
      <c r="O13">
        <v>39</v>
      </c>
      <c r="Z13">
        <v>50</v>
      </c>
      <c r="AA13">
        <v>45</v>
      </c>
    </row>
    <row r="14" spans="1:34" x14ac:dyDescent="0.25">
      <c r="A14" s="2" t="s">
        <v>27</v>
      </c>
      <c r="B14" s="2">
        <f>STDEVA(B11:B13)</f>
        <v>5.5075705472861154</v>
      </c>
      <c r="C14" s="2">
        <f t="shared" ref="C14" si="0">STDEVA(C11:C13)</f>
        <v>4.358898943540674</v>
      </c>
      <c r="M14" s="2" t="s">
        <v>27</v>
      </c>
      <c r="N14" s="2">
        <f>STDEVA(N11:N13)</f>
        <v>5.5075705472861021</v>
      </c>
      <c r="O14" s="2">
        <f>STDEVA(O11:O13)</f>
        <v>6</v>
      </c>
      <c r="Y14" s="2" t="s">
        <v>27</v>
      </c>
      <c r="Z14" s="2">
        <f>STDEVA(Z11:Z13)</f>
        <v>5.2915026221291814</v>
      </c>
      <c r="AA14" s="2">
        <f>STDEVA(AA11:AA13)</f>
        <v>7.5498344352707498</v>
      </c>
    </row>
    <row r="15" spans="1:34" x14ac:dyDescent="0.25">
      <c r="A15" s="2" t="s">
        <v>9</v>
      </c>
      <c r="B15" s="2">
        <f>AVERAGE(B11:B13)</f>
        <v>37.666666666666664</v>
      </c>
      <c r="C15" s="2">
        <f t="shared" ref="C15" si="1">AVERAGE(C11:C13)</f>
        <v>23</v>
      </c>
      <c r="I15" s="1"/>
      <c r="J15" s="1"/>
      <c r="M15" s="2" t="s">
        <v>9</v>
      </c>
      <c r="N15" s="2">
        <f>AVERAGE(N11:N13)</f>
        <v>58.666666666666664</v>
      </c>
      <c r="O15" s="2">
        <f>AVERAGE(O11:O13)</f>
        <v>45</v>
      </c>
      <c r="U15" s="1"/>
      <c r="V15" s="1"/>
      <c r="Y15" s="2" t="s">
        <v>9</v>
      </c>
      <c r="Z15" s="2">
        <f>AVERAGE(Z11:Z13)</f>
        <v>52</v>
      </c>
      <c r="AA15" s="2">
        <f>AVERAGE(AA11:AA13)</f>
        <v>38</v>
      </c>
      <c r="AG15" s="1"/>
      <c r="AH15" s="1"/>
    </row>
    <row r="16" spans="1:34" x14ac:dyDescent="0.25">
      <c r="A16" s="2" t="s">
        <v>11</v>
      </c>
      <c r="B16" s="3">
        <v>3766000</v>
      </c>
      <c r="C16" s="3">
        <v>2300000</v>
      </c>
      <c r="M16" s="2" t="s">
        <v>11</v>
      </c>
      <c r="N16" s="3">
        <v>5866000</v>
      </c>
      <c r="O16" s="3">
        <v>4500000</v>
      </c>
      <c r="Y16" s="2" t="s">
        <v>11</v>
      </c>
      <c r="Z16" s="3">
        <v>5200000</v>
      </c>
      <c r="AA16" s="3">
        <v>3800000</v>
      </c>
    </row>
    <row r="19" spans="1:35" x14ac:dyDescent="0.25">
      <c r="A19" s="1" t="s">
        <v>28</v>
      </c>
      <c r="G19" s="1" t="s">
        <v>29</v>
      </c>
      <c r="M19" s="1" t="s">
        <v>28</v>
      </c>
      <c r="S19" s="1" t="s">
        <v>29</v>
      </c>
      <c r="Y19" s="1" t="s">
        <v>28</v>
      </c>
      <c r="AE19" s="1" t="s">
        <v>29</v>
      </c>
    </row>
    <row r="22" spans="1:35" x14ac:dyDescent="0.25">
      <c r="B22" s="1">
        <v>8640</v>
      </c>
      <c r="C22" s="1">
        <v>8640</v>
      </c>
      <c r="D22" s="1" t="s">
        <v>22</v>
      </c>
      <c r="E22" s="1" t="s">
        <v>22</v>
      </c>
      <c r="H22" s="1">
        <v>8640</v>
      </c>
      <c r="I22" s="1">
        <v>8640</v>
      </c>
      <c r="J22" s="1" t="s">
        <v>22</v>
      </c>
      <c r="K22" s="1" t="s">
        <v>22</v>
      </c>
      <c r="N22" s="1">
        <v>8640</v>
      </c>
      <c r="O22" s="1">
        <v>8640</v>
      </c>
      <c r="P22" s="1" t="s">
        <v>22</v>
      </c>
      <c r="Q22" s="1" t="s">
        <v>22</v>
      </c>
      <c r="T22" s="1">
        <v>8640</v>
      </c>
      <c r="U22" s="1">
        <v>8640</v>
      </c>
      <c r="V22" s="1" t="s">
        <v>22</v>
      </c>
      <c r="W22" s="1" t="s">
        <v>22</v>
      </c>
      <c r="Z22" s="1">
        <v>8640</v>
      </c>
      <c r="AA22" s="1">
        <v>8640</v>
      </c>
      <c r="AB22" s="1" t="s">
        <v>22</v>
      </c>
      <c r="AC22" s="1" t="s">
        <v>22</v>
      </c>
      <c r="AF22" s="1">
        <v>8640</v>
      </c>
      <c r="AG22" s="1">
        <v>8640</v>
      </c>
      <c r="AH22" s="1" t="s">
        <v>22</v>
      </c>
      <c r="AI22" s="1" t="s">
        <v>22</v>
      </c>
    </row>
    <row r="23" spans="1:35" ht="17.25" x14ac:dyDescent="0.25">
      <c r="B23" t="s">
        <v>13</v>
      </c>
      <c r="H23" t="s">
        <v>30</v>
      </c>
      <c r="N23" t="s">
        <v>13</v>
      </c>
      <c r="T23" t="s">
        <v>30</v>
      </c>
      <c r="Z23" t="s">
        <v>13</v>
      </c>
      <c r="AF23" t="s">
        <v>30</v>
      </c>
    </row>
    <row r="24" spans="1:35" x14ac:dyDescent="0.25">
      <c r="B24">
        <v>91</v>
      </c>
      <c r="C24">
        <v>67</v>
      </c>
      <c r="D24">
        <v>51</v>
      </c>
      <c r="E24">
        <v>55</v>
      </c>
      <c r="H24">
        <v>1</v>
      </c>
      <c r="I24">
        <v>0</v>
      </c>
      <c r="J24">
        <v>1</v>
      </c>
      <c r="K24">
        <v>3</v>
      </c>
      <c r="N24">
        <v>27</v>
      </c>
      <c r="O24">
        <v>26</v>
      </c>
      <c r="P24">
        <v>17</v>
      </c>
      <c r="Q24">
        <v>16</v>
      </c>
      <c r="T24">
        <v>3</v>
      </c>
      <c r="U24">
        <v>3</v>
      </c>
      <c r="V24">
        <v>2</v>
      </c>
      <c r="W24">
        <v>5</v>
      </c>
      <c r="Z24">
        <v>73</v>
      </c>
      <c r="AA24">
        <v>42</v>
      </c>
      <c r="AB24">
        <v>23</v>
      </c>
      <c r="AC24">
        <v>47</v>
      </c>
      <c r="AF24">
        <v>0</v>
      </c>
      <c r="AG24">
        <v>4</v>
      </c>
      <c r="AH24">
        <v>2</v>
      </c>
      <c r="AI24">
        <v>2</v>
      </c>
    </row>
    <row r="25" spans="1:35" x14ac:dyDescent="0.25">
      <c r="B25">
        <v>74</v>
      </c>
      <c r="C25">
        <v>65</v>
      </c>
      <c r="D25">
        <v>48</v>
      </c>
      <c r="E25">
        <v>52</v>
      </c>
      <c r="H25">
        <v>2</v>
      </c>
      <c r="I25">
        <v>4</v>
      </c>
      <c r="J25">
        <v>5</v>
      </c>
      <c r="K25">
        <v>4</v>
      </c>
      <c r="N25">
        <v>27</v>
      </c>
      <c r="O25">
        <v>26</v>
      </c>
      <c r="P25">
        <v>16</v>
      </c>
      <c r="Q25">
        <v>16</v>
      </c>
      <c r="T25">
        <v>1</v>
      </c>
      <c r="U25">
        <v>3</v>
      </c>
      <c r="V25">
        <v>3</v>
      </c>
      <c r="W25">
        <v>1</v>
      </c>
      <c r="Z25">
        <v>73</v>
      </c>
      <c r="AA25">
        <v>51</v>
      </c>
      <c r="AB25">
        <v>29</v>
      </c>
      <c r="AC25">
        <v>47</v>
      </c>
      <c r="AF25">
        <v>4</v>
      </c>
      <c r="AG25">
        <v>5</v>
      </c>
      <c r="AH25">
        <v>3</v>
      </c>
      <c r="AI25">
        <v>1</v>
      </c>
    </row>
    <row r="26" spans="1:35" x14ac:dyDescent="0.25">
      <c r="B26">
        <v>95</v>
      </c>
      <c r="C26">
        <v>65</v>
      </c>
      <c r="D26">
        <v>38</v>
      </c>
      <c r="E26">
        <v>49</v>
      </c>
      <c r="H26">
        <v>3</v>
      </c>
      <c r="I26">
        <v>2</v>
      </c>
      <c r="J26">
        <v>3</v>
      </c>
      <c r="K26">
        <v>4</v>
      </c>
      <c r="N26">
        <v>27</v>
      </c>
      <c r="O26">
        <v>16</v>
      </c>
      <c r="P26">
        <v>16</v>
      </c>
      <c r="Q26">
        <v>27</v>
      </c>
      <c r="T26">
        <v>1</v>
      </c>
      <c r="U26">
        <v>7</v>
      </c>
      <c r="V26">
        <v>4</v>
      </c>
      <c r="W26">
        <v>1</v>
      </c>
      <c r="Z26">
        <v>95</v>
      </c>
      <c r="AA26">
        <v>55</v>
      </c>
      <c r="AB26">
        <v>30</v>
      </c>
      <c r="AC26">
        <v>55</v>
      </c>
      <c r="AF26">
        <v>2</v>
      </c>
      <c r="AG26">
        <v>1</v>
      </c>
      <c r="AH26">
        <v>4</v>
      </c>
      <c r="AI26">
        <v>1</v>
      </c>
    </row>
    <row r="27" spans="1:35" x14ac:dyDescent="0.25">
      <c r="A27" s="2" t="s">
        <v>27</v>
      </c>
      <c r="B27" s="2">
        <f>STDEVA(B24:B26)</f>
        <v>11.150485789118514</v>
      </c>
      <c r="C27" s="2">
        <f t="shared" ref="C27" si="2">STDEVA(C24:C26)</f>
        <v>1.1547005383792517</v>
      </c>
      <c r="D27" s="2">
        <f>STDEVA(D24:D26)</f>
        <v>6.8068592855540571</v>
      </c>
      <c r="E27" s="2">
        <f t="shared" ref="E27" si="3">STDEVA(E24:E26)</f>
        <v>3</v>
      </c>
      <c r="G27" s="2" t="s">
        <v>27</v>
      </c>
      <c r="H27" s="2">
        <f>STDEVA(H24:H26)</f>
        <v>1</v>
      </c>
      <c r="I27" s="2">
        <f t="shared" ref="I27" si="4">STDEVA(I24:I26)</f>
        <v>2</v>
      </c>
      <c r="J27" s="2">
        <f>STDEVA(J24:J26)</f>
        <v>2</v>
      </c>
      <c r="K27" s="2">
        <f t="shared" ref="K27" si="5">STDEVA(K24:K26)</f>
        <v>0.57735026918962473</v>
      </c>
      <c r="M27" s="2" t="s">
        <v>27</v>
      </c>
      <c r="N27" s="2">
        <f>STDEVA(N24:N26)</f>
        <v>0</v>
      </c>
      <c r="O27" s="2">
        <f>STDEVA(O24:O26)</f>
        <v>5.7735026918962609</v>
      </c>
      <c r="P27" s="2">
        <f>STDEVA(P24:P26)</f>
        <v>0.57735026918962584</v>
      </c>
      <c r="Q27" s="2">
        <f>STDEVA(Q24:Q26)</f>
        <v>6.3508529610858862</v>
      </c>
      <c r="S27" s="2" t="s">
        <v>27</v>
      </c>
      <c r="T27" s="2">
        <f>STDEVA(T24:T26)</f>
        <v>1.1547005383792515</v>
      </c>
      <c r="U27" s="2">
        <f>STDEVA(U24:U26)</f>
        <v>2.3094010767585029</v>
      </c>
      <c r="V27" s="2">
        <f>STDEVA(V24:V26)</f>
        <v>1</v>
      </c>
      <c r="W27" s="2">
        <f>STDEVA(W24:W26)</f>
        <v>2.3094010767585034</v>
      </c>
      <c r="Y27" s="2" t="s">
        <v>27</v>
      </c>
      <c r="Z27" s="2">
        <f>STDEVA(Z24:Z26)</f>
        <v>12.70170592217179</v>
      </c>
      <c r="AA27" s="2">
        <f>STDEVA(AA24:AA26)</f>
        <v>6.6583281184794041</v>
      </c>
      <c r="AB27" s="2">
        <f>STDEVA(AB24:AB26)</f>
        <v>3.7859388972001722</v>
      </c>
      <c r="AC27" s="2">
        <f>STDEVA(AC24:AC26)</f>
        <v>4.6188021535170067</v>
      </c>
      <c r="AE27" s="2" t="s">
        <v>27</v>
      </c>
      <c r="AF27" s="2">
        <f>STDEVA(AF24:AF26)</f>
        <v>2</v>
      </c>
      <c r="AG27" s="2">
        <f>STDEVA(AG24:AG26)</f>
        <v>2.0816659994661326</v>
      </c>
      <c r="AH27" s="2">
        <f>STDEVA(AH24:AH26)</f>
        <v>1</v>
      </c>
      <c r="AI27" s="2">
        <f>STDEVA(AI24:AI26)</f>
        <v>0.57735026918962584</v>
      </c>
    </row>
    <row r="28" spans="1:35" x14ac:dyDescent="0.25">
      <c r="A28" s="2" t="s">
        <v>9</v>
      </c>
      <c r="B28" s="2">
        <f>AVERAGE(B24:B26)</f>
        <v>86.666666666666671</v>
      </c>
      <c r="C28" s="2">
        <f t="shared" ref="C28" si="6">AVERAGE(C24:C26)</f>
        <v>65.666666666666671</v>
      </c>
      <c r="D28" s="2">
        <f>AVERAGE(D24:D26)</f>
        <v>45.666666666666664</v>
      </c>
      <c r="E28" s="2">
        <f t="shared" ref="E28" si="7">AVERAGE(E24:E26)</f>
        <v>52</v>
      </c>
      <c r="G28" s="2" t="s">
        <v>9</v>
      </c>
      <c r="H28" s="2">
        <f>AVERAGE(H24:H26)</f>
        <v>2</v>
      </c>
      <c r="I28" s="2">
        <f t="shared" ref="I28" si="8">AVERAGE(I24:I26)</f>
        <v>2</v>
      </c>
      <c r="J28" s="2">
        <f>AVERAGE(J24:J26)</f>
        <v>3</v>
      </c>
      <c r="K28" s="2">
        <f t="shared" ref="K28" si="9">AVERAGE(K24:K26)</f>
        <v>3.6666666666666665</v>
      </c>
      <c r="M28" s="2" t="s">
        <v>9</v>
      </c>
      <c r="N28" s="2">
        <f>AVERAGE(N24:N26)</f>
        <v>27</v>
      </c>
      <c r="O28" s="2">
        <f>AVERAGE(O24:O26)</f>
        <v>22.666666666666668</v>
      </c>
      <c r="P28" s="2">
        <f>AVERAGE(P24:P26)</f>
        <v>16.333333333333332</v>
      </c>
      <c r="Q28" s="2">
        <f>AVERAGE(Q24:Q26)</f>
        <v>19.666666666666668</v>
      </c>
      <c r="S28" s="2" t="s">
        <v>9</v>
      </c>
      <c r="T28" s="2">
        <f>AVERAGE(T24:T26)</f>
        <v>1.6666666666666667</v>
      </c>
      <c r="U28" s="2">
        <f>AVERAGE(U24:U26)</f>
        <v>4.333333333333333</v>
      </c>
      <c r="V28" s="2">
        <f>AVERAGE(V24:V26)</f>
        <v>3</v>
      </c>
      <c r="W28" s="2">
        <f>AVERAGE(W24:W26)</f>
        <v>2.3333333333333335</v>
      </c>
      <c r="Y28" s="2" t="s">
        <v>9</v>
      </c>
      <c r="Z28" s="2">
        <f>AVERAGE(Z24:Z26)</f>
        <v>80.333333333333329</v>
      </c>
      <c r="AA28" s="2">
        <f>AVERAGE(AA24:AA26)</f>
        <v>49.333333333333336</v>
      </c>
      <c r="AB28" s="2">
        <f>AVERAGE(AB24:AB26)</f>
        <v>27.333333333333332</v>
      </c>
      <c r="AC28" s="2">
        <f>AVERAGE(AC24:AC26)</f>
        <v>49.666666666666664</v>
      </c>
      <c r="AE28" s="2" t="s">
        <v>9</v>
      </c>
      <c r="AF28" s="2">
        <f>AVERAGE(AF24:AF26)</f>
        <v>2</v>
      </c>
      <c r="AG28" s="2">
        <f>AVERAGE(AG24:AG26)</f>
        <v>3.3333333333333335</v>
      </c>
      <c r="AH28" s="2">
        <f>AVERAGE(AH24:AH26)</f>
        <v>3</v>
      </c>
      <c r="AI28" s="2">
        <f>AVERAGE(AI24:AI26)</f>
        <v>1.3333333333333333</v>
      </c>
    </row>
    <row r="29" spans="1:35" x14ac:dyDescent="0.25">
      <c r="A29" s="2" t="s">
        <v>11</v>
      </c>
      <c r="B29" s="3">
        <v>86660</v>
      </c>
      <c r="C29" s="3">
        <v>65660</v>
      </c>
      <c r="D29" s="3">
        <v>45660</v>
      </c>
      <c r="E29" s="3">
        <v>52000</v>
      </c>
      <c r="G29" s="2" t="s">
        <v>11</v>
      </c>
      <c r="H29" s="3">
        <v>200</v>
      </c>
      <c r="I29" s="3">
        <v>200</v>
      </c>
      <c r="J29" s="3">
        <v>300</v>
      </c>
      <c r="K29" s="3">
        <v>366</v>
      </c>
      <c r="M29" s="2" t="s">
        <v>11</v>
      </c>
      <c r="N29" s="3">
        <v>27000</v>
      </c>
      <c r="O29" s="3">
        <v>22660</v>
      </c>
      <c r="P29" s="3">
        <v>16330</v>
      </c>
      <c r="Q29" s="3">
        <v>19660</v>
      </c>
      <c r="S29" s="2" t="s">
        <v>11</v>
      </c>
      <c r="T29" s="3">
        <v>166</v>
      </c>
      <c r="U29" s="3">
        <v>433</v>
      </c>
      <c r="V29" s="3">
        <v>300</v>
      </c>
      <c r="W29" s="3">
        <v>233</v>
      </c>
      <c r="Y29" s="2" t="s">
        <v>11</v>
      </c>
      <c r="Z29" s="3">
        <v>80330</v>
      </c>
      <c r="AA29" s="3">
        <v>49330</v>
      </c>
      <c r="AB29" s="3">
        <v>27330</v>
      </c>
      <c r="AC29" s="3">
        <v>49660</v>
      </c>
      <c r="AE29" s="2" t="s">
        <v>11</v>
      </c>
      <c r="AF29" s="3">
        <v>200</v>
      </c>
      <c r="AG29" s="3">
        <v>433</v>
      </c>
      <c r="AH29" s="3">
        <v>300</v>
      </c>
      <c r="AI29" s="3">
        <v>133</v>
      </c>
    </row>
    <row r="32" spans="1:35" x14ac:dyDescent="0.25">
      <c r="O32">
        <v>8640</v>
      </c>
      <c r="P32" t="s">
        <v>22</v>
      </c>
      <c r="T32">
        <v>8640</v>
      </c>
      <c r="V32" t="s">
        <v>22</v>
      </c>
      <c r="Z32">
        <v>8640</v>
      </c>
      <c r="AA32" t="s">
        <v>22</v>
      </c>
      <c r="AF32">
        <v>8640</v>
      </c>
      <c r="AH32" t="s">
        <v>22</v>
      </c>
    </row>
    <row r="33" spans="1:34" x14ac:dyDescent="0.25">
      <c r="A33" s="1" t="s">
        <v>23</v>
      </c>
      <c r="B33">
        <v>8640</v>
      </c>
      <c r="C33" t="s">
        <v>22</v>
      </c>
      <c r="H33">
        <v>8640</v>
      </c>
      <c r="J33" t="s">
        <v>22</v>
      </c>
    </row>
    <row r="34" spans="1:34" x14ac:dyDescent="0.25">
      <c r="O34" s="4">
        <f>AVERAGE(Fig1C!N29:O29)</f>
        <v>24830</v>
      </c>
      <c r="P34" s="4">
        <f>AVERAGE(Fig1C!P29:Q29)</f>
        <v>17995</v>
      </c>
      <c r="T34" s="4">
        <f>AVERAGE(Fig1C!T29:U29)</f>
        <v>299.5</v>
      </c>
      <c r="V34" s="4">
        <f>AVERAGE(Fig1C!V29:W29)</f>
        <v>266.5</v>
      </c>
      <c r="Z34" s="4">
        <f>AVERAGE(Fig1C!Z29:AA29)</f>
        <v>64830</v>
      </c>
      <c r="AA34" s="4">
        <f>AVERAGE(Fig1C!AB29:AC29)</f>
        <v>38495</v>
      </c>
      <c r="AF34" s="4">
        <f>AVERAGE(Fig1C!AF29:AG29)</f>
        <v>316.5</v>
      </c>
      <c r="AH34" s="4">
        <f>AVERAGE(Fig1C!AH29:AI29)</f>
        <v>216.5</v>
      </c>
    </row>
    <row r="35" spans="1:34" x14ac:dyDescent="0.25">
      <c r="B35" s="4">
        <f>AVERAGE([2]Tabelle1!E42:F42)</f>
        <v>76160</v>
      </c>
      <c r="C35" s="4">
        <f>AVERAGE([2]Tabelle1!G42:H42)</f>
        <v>48830</v>
      </c>
      <c r="H35" s="4">
        <f>AVERAGE([2]Tabelle1!K42:L42)</f>
        <v>200</v>
      </c>
      <c r="J35" s="4">
        <f>AVERAGE([2]Tabelle1!M42:N42)</f>
        <v>333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5881A-71B6-4635-904C-AC470BAE1CD3}">
  <dimension ref="A1:W28"/>
  <sheetViews>
    <sheetView workbookViewId="0">
      <selection sqref="A1:B2"/>
    </sheetView>
  </sheetViews>
  <sheetFormatPr baseColWidth="10" defaultRowHeight="15" x14ac:dyDescent="0.25"/>
  <sheetData>
    <row r="1" spans="1:23" x14ac:dyDescent="0.25">
      <c r="A1" t="s">
        <v>0</v>
      </c>
      <c r="B1" s="1" t="s">
        <v>1</v>
      </c>
    </row>
    <row r="2" spans="1:23" x14ac:dyDescent="0.25">
      <c r="B2" s="1" t="s">
        <v>2</v>
      </c>
    </row>
    <row r="7" spans="1:23" x14ac:dyDescent="0.25">
      <c r="B7" s="1" t="s">
        <v>4</v>
      </c>
      <c r="C7" s="1" t="s">
        <v>5</v>
      </c>
      <c r="D7" s="1" t="s">
        <v>24</v>
      </c>
      <c r="E7" s="1" t="s">
        <v>25</v>
      </c>
      <c r="H7" s="1" t="s">
        <v>4</v>
      </c>
      <c r="I7" s="1" t="s">
        <v>5</v>
      </c>
      <c r="J7" s="1" t="s">
        <v>24</v>
      </c>
      <c r="K7" s="1" t="s">
        <v>25</v>
      </c>
      <c r="N7" s="1" t="s">
        <v>4</v>
      </c>
      <c r="O7" s="1" t="s">
        <v>5</v>
      </c>
      <c r="P7" s="1" t="s">
        <v>24</v>
      </c>
      <c r="Q7" s="1" t="s">
        <v>25</v>
      </c>
      <c r="T7" s="1" t="s">
        <v>4</v>
      </c>
      <c r="U7" s="1" t="s">
        <v>5</v>
      </c>
      <c r="V7" s="1" t="s">
        <v>24</v>
      </c>
      <c r="W7" s="1" t="s">
        <v>25</v>
      </c>
    </row>
    <row r="8" spans="1:23" ht="17.25" x14ac:dyDescent="0.25">
      <c r="A8" t="s">
        <v>6</v>
      </c>
      <c r="B8" t="s">
        <v>18</v>
      </c>
      <c r="G8" t="s">
        <v>6</v>
      </c>
      <c r="H8" t="s">
        <v>18</v>
      </c>
      <c r="M8" t="s">
        <v>6</v>
      </c>
      <c r="N8" t="s">
        <v>18</v>
      </c>
      <c r="S8" t="s">
        <v>6</v>
      </c>
      <c r="T8" t="s">
        <v>18</v>
      </c>
    </row>
    <row r="9" spans="1:23" x14ac:dyDescent="0.25">
      <c r="B9">
        <v>53</v>
      </c>
      <c r="D9">
        <v>54</v>
      </c>
      <c r="H9">
        <v>80</v>
      </c>
      <c r="J9">
        <v>66</v>
      </c>
      <c r="N9">
        <v>79</v>
      </c>
      <c r="P9">
        <v>60</v>
      </c>
      <c r="T9">
        <v>67</v>
      </c>
      <c r="V9">
        <v>60</v>
      </c>
    </row>
    <row r="10" spans="1:23" x14ac:dyDescent="0.25">
      <c r="B10">
        <v>44</v>
      </c>
      <c r="D10">
        <v>46</v>
      </c>
      <c r="H10">
        <v>74</v>
      </c>
      <c r="J10">
        <v>78</v>
      </c>
      <c r="N10">
        <v>71</v>
      </c>
      <c r="P10">
        <v>61</v>
      </c>
      <c r="T10">
        <v>68</v>
      </c>
      <c r="V10">
        <v>47</v>
      </c>
    </row>
    <row r="11" spans="1:23" x14ac:dyDescent="0.25">
      <c r="B11">
        <v>47</v>
      </c>
      <c r="D11">
        <v>52</v>
      </c>
      <c r="H11">
        <v>74</v>
      </c>
      <c r="J11">
        <v>81</v>
      </c>
      <c r="N11">
        <v>87</v>
      </c>
      <c r="P11">
        <v>55</v>
      </c>
      <c r="T11">
        <v>71</v>
      </c>
      <c r="V11">
        <v>53</v>
      </c>
    </row>
    <row r="12" spans="1:23" x14ac:dyDescent="0.25">
      <c r="A12" s="2" t="s">
        <v>9</v>
      </c>
      <c r="B12" s="2">
        <f>AVERAGE(B9:B11)</f>
        <v>48</v>
      </c>
      <c r="C12" s="2" t="e">
        <f>AVERAGE(C9:C11)</f>
        <v>#DIV/0!</v>
      </c>
      <c r="D12" s="2">
        <f>AVERAGE(D9:D11)</f>
        <v>50.666666666666664</v>
      </c>
      <c r="E12" s="2" t="e">
        <f>AVERAGE(E9:E11)</f>
        <v>#DIV/0!</v>
      </c>
      <c r="G12" s="2" t="s">
        <v>9</v>
      </c>
      <c r="H12" s="2">
        <f>AVERAGE(H9:H11)</f>
        <v>76</v>
      </c>
      <c r="I12" s="2" t="e">
        <f>AVERAGE(I9:I11)</f>
        <v>#DIV/0!</v>
      </c>
      <c r="J12" s="2">
        <f>AVERAGE(J9:J11)</f>
        <v>75</v>
      </c>
      <c r="K12" s="2" t="e">
        <f>AVERAGE(K9:K11)</f>
        <v>#DIV/0!</v>
      </c>
      <c r="M12" s="2" t="s">
        <v>9</v>
      </c>
      <c r="N12" s="2">
        <f>AVERAGE(N9:N11)</f>
        <v>79</v>
      </c>
      <c r="O12" s="2" t="e">
        <f>AVERAGE(O9:O11)</f>
        <v>#DIV/0!</v>
      </c>
      <c r="P12" s="2">
        <f>AVERAGE(P9:P11)</f>
        <v>58.666666666666664</v>
      </c>
      <c r="Q12" s="2" t="e">
        <f>AVERAGE(Q9:Q11)</f>
        <v>#DIV/0!</v>
      </c>
      <c r="S12" s="2" t="s">
        <v>9</v>
      </c>
      <c r="T12" s="2">
        <f>AVERAGE(T9:T11)</f>
        <v>68.666666666666671</v>
      </c>
      <c r="U12" s="2" t="e">
        <f>AVERAGE(U9:U11)</f>
        <v>#DIV/0!</v>
      </c>
      <c r="V12" s="2">
        <f>AVERAGE(V9:V11)</f>
        <v>53.333333333333336</v>
      </c>
      <c r="W12" s="2" t="e">
        <f>AVERAGE(W9:W11)</f>
        <v>#DIV/0!</v>
      </c>
    </row>
    <row r="13" spans="1:23" x14ac:dyDescent="0.25">
      <c r="A13" s="2" t="s">
        <v>10</v>
      </c>
      <c r="B13" s="2">
        <f>STDEVA(B9:B11)</f>
        <v>4.5825756949558398</v>
      </c>
      <c r="C13" s="2" t="e">
        <f>STDEVA(C9:C11)</f>
        <v>#DIV/0!</v>
      </c>
      <c r="D13" s="2">
        <f>STDEVA(D9:D11)</f>
        <v>4.1633319989322661</v>
      </c>
      <c r="E13" s="2" t="e">
        <f>STDEVA(E9:E11)</f>
        <v>#DIV/0!</v>
      </c>
      <c r="G13" s="2" t="s">
        <v>10</v>
      </c>
      <c r="H13" s="2">
        <f>STDEVA(H9:H11)</f>
        <v>3.4641016151377544</v>
      </c>
      <c r="I13" s="2" t="e">
        <f>STDEVA(I9:I11)</f>
        <v>#DIV/0!</v>
      </c>
      <c r="J13" s="2">
        <f>STDEVA(J9:J11)</f>
        <v>7.9372539331937721</v>
      </c>
      <c r="K13" s="2" t="e">
        <f>STDEVA(K9:K11)</f>
        <v>#DIV/0!</v>
      </c>
      <c r="M13" s="2" t="s">
        <v>10</v>
      </c>
      <c r="N13" s="2">
        <f>STDEVA(N9:N11)</f>
        <v>8</v>
      </c>
      <c r="O13" s="2" t="e">
        <f>STDEVA(O9:O11)</f>
        <v>#DIV/0!</v>
      </c>
      <c r="P13" s="2">
        <f>STDEVA(P9:P11)</f>
        <v>3.214550253664318</v>
      </c>
      <c r="Q13" s="2" t="e">
        <f>STDEVA(Q9:Q11)</f>
        <v>#DIV/0!</v>
      </c>
      <c r="S13" s="2" t="s">
        <v>10</v>
      </c>
      <c r="T13" s="2">
        <f>STDEVA(T9:T11)</f>
        <v>2.0816659994661331</v>
      </c>
      <c r="U13" s="2" t="e">
        <f>STDEVA(U9:U11)</f>
        <v>#DIV/0!</v>
      </c>
      <c r="V13" s="2">
        <f>STDEVA(V9:V11)</f>
        <v>6.5064070986477116</v>
      </c>
      <c r="W13" s="2" t="e">
        <f>STDEVA(W9:W11)</f>
        <v>#DIV/0!</v>
      </c>
    </row>
    <row r="14" spans="1:23" x14ac:dyDescent="0.25">
      <c r="A14" s="2" t="s">
        <v>11</v>
      </c>
      <c r="B14" s="3">
        <v>4800000</v>
      </c>
      <c r="C14" s="2"/>
      <c r="D14" s="3">
        <v>5066000</v>
      </c>
      <c r="E14" s="2"/>
      <c r="G14" s="2" t="s">
        <v>11</v>
      </c>
      <c r="H14" s="3">
        <v>7600000</v>
      </c>
      <c r="I14" s="2"/>
      <c r="J14" s="3">
        <v>7500000</v>
      </c>
      <c r="K14" s="2"/>
      <c r="M14" s="2" t="s">
        <v>11</v>
      </c>
      <c r="N14" s="3">
        <v>7900000</v>
      </c>
      <c r="O14" s="3">
        <v>7533000</v>
      </c>
      <c r="P14" s="3">
        <v>5866000</v>
      </c>
      <c r="Q14" s="2"/>
      <c r="S14" s="2" t="s">
        <v>11</v>
      </c>
      <c r="T14" s="3">
        <v>6866000</v>
      </c>
      <c r="U14" s="2"/>
      <c r="V14" s="3">
        <v>5333000</v>
      </c>
      <c r="W14" s="2"/>
    </row>
    <row r="17" spans="1:23" x14ac:dyDescent="0.25">
      <c r="A17" s="1" t="s">
        <v>12</v>
      </c>
      <c r="G17" s="1" t="s">
        <v>12</v>
      </c>
      <c r="K17" s="1"/>
      <c r="M17" s="1" t="s">
        <v>12</v>
      </c>
      <c r="S17" s="1" t="s">
        <v>12</v>
      </c>
      <c r="W17" s="1"/>
    </row>
    <row r="19" spans="1:23" x14ac:dyDescent="0.25">
      <c r="B19" s="1" t="s">
        <v>4</v>
      </c>
      <c r="C19" s="1" t="s">
        <v>5</v>
      </c>
      <c r="D19" s="1" t="s">
        <v>24</v>
      </c>
      <c r="E19" s="1" t="s">
        <v>25</v>
      </c>
      <c r="H19" s="1" t="s">
        <v>4</v>
      </c>
      <c r="I19" s="1" t="s">
        <v>5</v>
      </c>
      <c r="J19" s="1" t="s">
        <v>24</v>
      </c>
      <c r="K19" s="1" t="s">
        <v>25</v>
      </c>
      <c r="N19" s="1" t="s">
        <v>4</v>
      </c>
      <c r="O19" s="1" t="s">
        <v>5</v>
      </c>
      <c r="P19" s="1" t="s">
        <v>24</v>
      </c>
      <c r="Q19" s="1" t="s">
        <v>25</v>
      </c>
      <c r="T19" s="1" t="s">
        <v>4</v>
      </c>
      <c r="U19" s="1" t="s">
        <v>5</v>
      </c>
      <c r="V19" s="1" t="s">
        <v>24</v>
      </c>
      <c r="W19" s="1" t="s">
        <v>25</v>
      </c>
    </row>
    <row r="20" spans="1:23" ht="17.25" x14ac:dyDescent="0.25">
      <c r="A20" t="s">
        <v>32</v>
      </c>
      <c r="B20" t="s">
        <v>13</v>
      </c>
      <c r="G20" t="s">
        <v>32</v>
      </c>
      <c r="H20" t="s">
        <v>21</v>
      </c>
      <c r="M20" t="s">
        <v>32</v>
      </c>
      <c r="N20" t="s">
        <v>13</v>
      </c>
      <c r="S20" t="s">
        <v>32</v>
      </c>
      <c r="T20" t="s">
        <v>21</v>
      </c>
    </row>
    <row r="21" spans="1:23" x14ac:dyDescent="0.25">
      <c r="B21">
        <v>47</v>
      </c>
      <c r="C21">
        <v>29</v>
      </c>
      <c r="D21">
        <v>180</v>
      </c>
      <c r="E21">
        <v>122</v>
      </c>
      <c r="H21">
        <v>220</v>
      </c>
      <c r="I21">
        <v>230</v>
      </c>
      <c r="J21">
        <v>126</v>
      </c>
      <c r="K21">
        <v>128</v>
      </c>
      <c r="N21">
        <v>22</v>
      </c>
      <c r="O21">
        <v>16</v>
      </c>
      <c r="P21">
        <v>96</v>
      </c>
      <c r="Q21">
        <v>88</v>
      </c>
      <c r="T21">
        <v>231</v>
      </c>
      <c r="U21">
        <v>218</v>
      </c>
      <c r="V21">
        <v>113</v>
      </c>
      <c r="W21">
        <v>128</v>
      </c>
    </row>
    <row r="22" spans="1:23" x14ac:dyDescent="0.25">
      <c r="B22">
        <v>57</v>
      </c>
      <c r="C22">
        <v>33</v>
      </c>
      <c r="D22">
        <v>175</v>
      </c>
      <c r="E22">
        <v>110</v>
      </c>
      <c r="H22">
        <v>225</v>
      </c>
      <c r="I22">
        <v>228</v>
      </c>
      <c r="J22">
        <v>130</v>
      </c>
      <c r="K22">
        <v>122</v>
      </c>
      <c r="N22">
        <v>23</v>
      </c>
      <c r="O22">
        <v>18</v>
      </c>
      <c r="P22">
        <v>81</v>
      </c>
      <c r="Q22">
        <v>94</v>
      </c>
      <c r="T22">
        <v>239</v>
      </c>
      <c r="U22">
        <v>220</v>
      </c>
      <c r="V22">
        <v>128</v>
      </c>
      <c r="W22">
        <v>144</v>
      </c>
    </row>
    <row r="23" spans="1:23" x14ac:dyDescent="0.25">
      <c r="B23">
        <v>45</v>
      </c>
      <c r="C23">
        <v>27</v>
      </c>
      <c r="D23">
        <v>111</v>
      </c>
      <c r="E23">
        <v>160</v>
      </c>
      <c r="H23">
        <v>218</v>
      </c>
      <c r="I23">
        <v>225</v>
      </c>
      <c r="J23">
        <v>122</v>
      </c>
      <c r="K23">
        <v>127</v>
      </c>
      <c r="N23">
        <v>14</v>
      </c>
      <c r="O23">
        <v>26</v>
      </c>
      <c r="P23">
        <v>83</v>
      </c>
      <c r="Q23">
        <v>72</v>
      </c>
      <c r="T23">
        <v>240</v>
      </c>
      <c r="U23">
        <v>215</v>
      </c>
      <c r="V23">
        <v>132</v>
      </c>
      <c r="W23">
        <v>143</v>
      </c>
    </row>
    <row r="24" spans="1:23" x14ac:dyDescent="0.25">
      <c r="A24" s="2" t="s">
        <v>9</v>
      </c>
      <c r="B24" s="2">
        <f>AVERAGE(B21:B23)</f>
        <v>49.666666666666664</v>
      </c>
      <c r="C24" s="2">
        <f>AVERAGE(C21:C23)</f>
        <v>29.666666666666668</v>
      </c>
      <c r="D24" s="2">
        <f>AVERAGE(D21:D23)</f>
        <v>155.33333333333334</v>
      </c>
      <c r="E24" s="2">
        <f>AVERAGE(E21:E23)</f>
        <v>130.66666666666666</v>
      </c>
      <c r="G24" s="2" t="s">
        <v>9</v>
      </c>
      <c r="H24" s="2">
        <f>AVERAGE(H21:H23)</f>
        <v>221</v>
      </c>
      <c r="I24" s="2">
        <f>AVERAGE(I21:I23)</f>
        <v>227.66666666666666</v>
      </c>
      <c r="J24" s="2">
        <f>AVERAGE(J21:J23)</f>
        <v>126</v>
      </c>
      <c r="K24" s="2">
        <f>AVERAGE(K21:K23)</f>
        <v>125.66666666666667</v>
      </c>
      <c r="M24" s="2" t="s">
        <v>9</v>
      </c>
      <c r="N24" s="2">
        <f>AVERAGE(N21:N23)</f>
        <v>19.666666666666668</v>
      </c>
      <c r="O24" s="2">
        <f>AVERAGE(O21:O23)</f>
        <v>20</v>
      </c>
      <c r="P24" s="2">
        <f>AVERAGE(P21:P23)</f>
        <v>86.666666666666671</v>
      </c>
      <c r="Q24" s="2">
        <f>AVERAGE(Q21:Q23)</f>
        <v>84.666666666666671</v>
      </c>
      <c r="S24" s="2" t="s">
        <v>9</v>
      </c>
      <c r="T24" s="2">
        <f>AVERAGE(T21:T23)</f>
        <v>236.66666666666666</v>
      </c>
      <c r="U24" s="2">
        <f>AVERAGE(U21:U23)</f>
        <v>217.66666666666666</v>
      </c>
      <c r="V24" s="2">
        <f>AVERAGE(V21:V23)</f>
        <v>124.33333333333333</v>
      </c>
      <c r="W24" s="2">
        <f>AVERAGE(W21:W23)</f>
        <v>138.33333333333334</v>
      </c>
    </row>
    <row r="25" spans="1:23" x14ac:dyDescent="0.25">
      <c r="A25" s="2" t="s">
        <v>10</v>
      </c>
      <c r="B25" s="2">
        <f>STDEVA(B21:B23)</f>
        <v>6.4291005073286485</v>
      </c>
      <c r="C25" s="2">
        <f>STDEVA(C21:C23)</f>
        <v>3.0550504633038935</v>
      </c>
      <c r="D25" s="2">
        <f>STDEVA(D21:D23)</f>
        <v>38.475100173142316</v>
      </c>
      <c r="E25" s="2">
        <f>STDEVA(E21:E23)</f>
        <v>26.1023626006025</v>
      </c>
      <c r="G25" s="2" t="s">
        <v>10</v>
      </c>
      <c r="H25" s="2">
        <f>STDEVA(H21:H23)</f>
        <v>3.6055512754639891</v>
      </c>
      <c r="I25" s="2">
        <f>STDEVA(I21:I23)</f>
        <v>2.5166114784235836</v>
      </c>
      <c r="J25" s="2">
        <f>STDEVA(J21:J23)</f>
        <v>4</v>
      </c>
      <c r="K25" s="2">
        <f>STDEVA(K21:K23)</f>
        <v>3.214550253664318</v>
      </c>
      <c r="M25" s="2" t="s">
        <v>10</v>
      </c>
      <c r="N25" s="2">
        <f>STDEVA(N21:N23)</f>
        <v>4.9328828623162515</v>
      </c>
      <c r="O25" s="2">
        <f>STDEVA(O21:O23)</f>
        <v>5.2915026221291814</v>
      </c>
      <c r="P25" s="2">
        <f>STDEVA(P21:P23)</f>
        <v>8.1445278152470788</v>
      </c>
      <c r="Q25" s="2">
        <f>STDEVA(Q21:Q23)</f>
        <v>11.37248140615468</v>
      </c>
      <c r="S25" s="2" t="s">
        <v>10</v>
      </c>
      <c r="T25" s="2">
        <f>STDEVA(T21:T23)</f>
        <v>4.9328828623162471</v>
      </c>
      <c r="U25" s="2">
        <f>STDEVA(U21:U23)</f>
        <v>2.5166114784235836</v>
      </c>
      <c r="V25" s="2">
        <f>STDEVA(V21:V23)</f>
        <v>10.016652800877813</v>
      </c>
      <c r="W25" s="2">
        <f>STDEVA(W21:W23)</f>
        <v>8.9628864398325021</v>
      </c>
    </row>
    <row r="26" spans="1:23" x14ac:dyDescent="0.25">
      <c r="A26" s="2" t="s">
        <v>11</v>
      </c>
      <c r="B26" s="3">
        <v>49660</v>
      </c>
      <c r="C26" s="3">
        <v>29660</v>
      </c>
      <c r="D26" s="3">
        <v>15533</v>
      </c>
      <c r="E26" s="3">
        <v>13066</v>
      </c>
      <c r="G26" s="2" t="s">
        <v>11</v>
      </c>
      <c r="H26" s="3">
        <v>22100</v>
      </c>
      <c r="I26" s="3">
        <v>22766</v>
      </c>
      <c r="J26" s="3">
        <v>12600</v>
      </c>
      <c r="K26" s="3">
        <v>12566</v>
      </c>
      <c r="M26" s="2" t="s">
        <v>11</v>
      </c>
      <c r="N26" s="3">
        <v>19660</v>
      </c>
      <c r="O26" s="3">
        <v>20000</v>
      </c>
      <c r="P26" s="3">
        <v>8666</v>
      </c>
      <c r="Q26" s="3">
        <v>8466</v>
      </c>
      <c r="S26" s="2" t="s">
        <v>11</v>
      </c>
      <c r="T26" s="3">
        <v>23666</v>
      </c>
      <c r="U26" s="3">
        <v>21766</v>
      </c>
      <c r="V26" s="3">
        <v>12433</v>
      </c>
      <c r="W26" s="3">
        <v>13833</v>
      </c>
    </row>
    <row r="28" spans="1:23" x14ac:dyDescent="0.25">
      <c r="A28" s="2" t="s">
        <v>9</v>
      </c>
      <c r="B28" s="3">
        <f>AVERAGE(B26:C26)</f>
        <v>39660</v>
      </c>
      <c r="D28" s="3">
        <f>AVERAGE(D26:E26)</f>
        <v>14299.5</v>
      </c>
      <c r="G28" s="2" t="s">
        <v>9</v>
      </c>
      <c r="H28" s="3">
        <f>AVERAGE(H26:I26)</f>
        <v>22433</v>
      </c>
      <c r="J28" s="3">
        <f>AVERAGE(J26:K26)</f>
        <v>12583</v>
      </c>
      <c r="M28" s="2" t="s">
        <v>9</v>
      </c>
      <c r="N28" s="3">
        <f>AVERAGE(N26:O26)</f>
        <v>19830</v>
      </c>
      <c r="P28" s="3">
        <f>AVERAGE(P26:Q26)</f>
        <v>8566</v>
      </c>
      <c r="S28" s="2" t="s">
        <v>9</v>
      </c>
      <c r="T28" s="3">
        <f>AVERAGE(T26:U26)</f>
        <v>22716</v>
      </c>
      <c r="V28" s="3">
        <f>AVERAGE(V26:W26)</f>
        <v>13133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804CC-BA7B-4B3D-B349-65E22581138B}">
  <dimension ref="A1:Q30"/>
  <sheetViews>
    <sheetView workbookViewId="0">
      <selection activeCell="J39" sqref="J39"/>
    </sheetView>
  </sheetViews>
  <sheetFormatPr baseColWidth="10" defaultRowHeight="15" x14ac:dyDescent="0.25"/>
  <sheetData>
    <row r="1" spans="1:17" x14ac:dyDescent="0.25">
      <c r="A1" t="s">
        <v>0</v>
      </c>
      <c r="B1" s="1" t="s">
        <v>1</v>
      </c>
    </row>
    <row r="2" spans="1:17" x14ac:dyDescent="0.25">
      <c r="B2" s="1" t="s">
        <v>2</v>
      </c>
    </row>
    <row r="7" spans="1:17" x14ac:dyDescent="0.25">
      <c r="A7" s="1" t="s">
        <v>3</v>
      </c>
      <c r="G7" s="1" t="s">
        <v>3</v>
      </c>
      <c r="M7" s="1" t="s">
        <v>3</v>
      </c>
    </row>
    <row r="9" spans="1:17" x14ac:dyDescent="0.25">
      <c r="B9" s="1" t="s">
        <v>4</v>
      </c>
      <c r="C9" s="1" t="s">
        <v>5</v>
      </c>
      <c r="D9" s="1" t="s">
        <v>24</v>
      </c>
      <c r="E9" s="1" t="s">
        <v>25</v>
      </c>
      <c r="H9" s="1" t="s">
        <v>4</v>
      </c>
      <c r="I9" s="1" t="s">
        <v>5</v>
      </c>
      <c r="J9" s="1" t="s">
        <v>24</v>
      </c>
      <c r="K9" s="1" t="s">
        <v>25</v>
      </c>
      <c r="N9" s="1" t="s">
        <v>4</v>
      </c>
      <c r="O9" s="1" t="s">
        <v>5</v>
      </c>
      <c r="P9" s="1" t="s">
        <v>24</v>
      </c>
      <c r="Q9" s="1" t="s">
        <v>25</v>
      </c>
    </row>
    <row r="10" spans="1:17" ht="17.25" x14ac:dyDescent="0.25">
      <c r="A10" t="s">
        <v>6</v>
      </c>
      <c r="B10" t="s">
        <v>18</v>
      </c>
      <c r="G10" t="s">
        <v>6</v>
      </c>
      <c r="H10" t="s">
        <v>18</v>
      </c>
      <c r="M10" t="s">
        <v>6</v>
      </c>
      <c r="N10" t="s">
        <v>18</v>
      </c>
    </row>
    <row r="11" spans="1:17" x14ac:dyDescent="0.25">
      <c r="B11">
        <v>75</v>
      </c>
      <c r="D11">
        <v>57</v>
      </c>
      <c r="H11">
        <v>56</v>
      </c>
      <c r="J11">
        <v>53</v>
      </c>
      <c r="N11">
        <v>61</v>
      </c>
      <c r="P11">
        <v>51</v>
      </c>
    </row>
    <row r="12" spans="1:17" x14ac:dyDescent="0.25">
      <c r="B12">
        <v>67</v>
      </c>
      <c r="D12">
        <v>54</v>
      </c>
      <c r="H12">
        <v>58</v>
      </c>
      <c r="J12">
        <v>46</v>
      </c>
      <c r="N12">
        <v>53</v>
      </c>
      <c r="P12">
        <v>49</v>
      </c>
    </row>
    <row r="13" spans="1:17" x14ac:dyDescent="0.25">
      <c r="B13">
        <v>64</v>
      </c>
      <c r="D13">
        <v>54</v>
      </c>
      <c r="H13">
        <v>59</v>
      </c>
      <c r="J13">
        <v>43</v>
      </c>
      <c r="N13">
        <v>53</v>
      </c>
      <c r="P13">
        <v>60</v>
      </c>
    </row>
    <row r="14" spans="1:17" x14ac:dyDescent="0.25">
      <c r="A14" s="2" t="s">
        <v>9</v>
      </c>
      <c r="B14" s="2">
        <f>AVERAGE(B11:B13)</f>
        <v>68.666666666666671</v>
      </c>
      <c r="C14" s="2" t="e">
        <f>AVERAGE(C11:C13)</f>
        <v>#DIV/0!</v>
      </c>
      <c r="D14" s="2">
        <f>AVERAGE(D11:D13)</f>
        <v>55</v>
      </c>
      <c r="E14" s="2" t="e">
        <f>AVERAGE(E11:E13)</f>
        <v>#DIV/0!</v>
      </c>
      <c r="G14" s="2" t="s">
        <v>9</v>
      </c>
      <c r="H14" s="2">
        <f>AVERAGE(H11:H13)</f>
        <v>57.666666666666664</v>
      </c>
      <c r="I14" s="2" t="e">
        <f>AVERAGE(I11:I13)</f>
        <v>#DIV/0!</v>
      </c>
      <c r="J14" s="2">
        <f>AVERAGE(J11:J13)</f>
        <v>47.333333333333336</v>
      </c>
      <c r="K14" s="2" t="e">
        <f>AVERAGE(K11:K13)</f>
        <v>#DIV/0!</v>
      </c>
      <c r="M14" s="2" t="s">
        <v>9</v>
      </c>
      <c r="N14" s="2">
        <f>AVERAGE(N11:N13)</f>
        <v>55.666666666666664</v>
      </c>
      <c r="O14" s="2" t="e">
        <f>AVERAGE(O11:O13)</f>
        <v>#DIV/0!</v>
      </c>
      <c r="P14" s="2">
        <f>AVERAGE(P11:P13)</f>
        <v>53.333333333333336</v>
      </c>
      <c r="Q14" s="2" t="e">
        <f>AVERAGE(Q11:Q13)</f>
        <v>#DIV/0!</v>
      </c>
    </row>
    <row r="15" spans="1:17" x14ac:dyDescent="0.25">
      <c r="A15" s="2" t="s">
        <v>10</v>
      </c>
      <c r="B15" s="2">
        <f>STDEVA(B11:B13)</f>
        <v>5.6862407030773268</v>
      </c>
      <c r="C15" s="2" t="e">
        <f>STDEVA(C11:C13)</f>
        <v>#DIV/0!</v>
      </c>
      <c r="D15" s="2">
        <f>STDEVA(D11:D13)</f>
        <v>1.7320508075688772</v>
      </c>
      <c r="E15" s="2" t="e">
        <f>STDEVA(E11:E13)</f>
        <v>#DIV/0!</v>
      </c>
      <c r="G15" s="2" t="s">
        <v>10</v>
      </c>
      <c r="H15" s="2">
        <f>STDEVA(H11:H13)</f>
        <v>1.5275252316519465</v>
      </c>
      <c r="I15" s="2" t="e">
        <f>STDEVA(I11:I13)</f>
        <v>#DIV/0!</v>
      </c>
      <c r="J15" s="2">
        <f>STDEVA(J11:J13)</f>
        <v>5.1316014394468841</v>
      </c>
      <c r="K15" s="2" t="e">
        <f>STDEVA(K11:K13)</f>
        <v>#DIV/0!</v>
      </c>
      <c r="M15" s="2" t="s">
        <v>10</v>
      </c>
      <c r="N15" s="2">
        <f>STDEVA(N11:N13)</f>
        <v>4.6188021535170067</v>
      </c>
      <c r="O15" s="2" t="e">
        <f>STDEVA(O11:O13)</f>
        <v>#DIV/0!</v>
      </c>
      <c r="P15" s="2">
        <f>STDEVA(P11:P13)</f>
        <v>5.8594652770823155</v>
      </c>
      <c r="Q15" s="2" t="e">
        <f>STDEVA(Q11:Q13)</f>
        <v>#DIV/0!</v>
      </c>
    </row>
    <row r="16" spans="1:17" x14ac:dyDescent="0.25">
      <c r="A16" s="2" t="s">
        <v>11</v>
      </c>
      <c r="B16" s="3">
        <v>6866000</v>
      </c>
      <c r="C16" s="2"/>
      <c r="D16" s="3">
        <v>5500000</v>
      </c>
      <c r="E16" s="2"/>
      <c r="G16" s="2" t="s">
        <v>11</v>
      </c>
      <c r="H16" s="3">
        <v>5766000</v>
      </c>
      <c r="I16" s="2"/>
      <c r="J16" s="3">
        <v>4733000</v>
      </c>
      <c r="K16" s="2"/>
      <c r="M16" s="2" t="s">
        <v>11</v>
      </c>
      <c r="N16" s="3">
        <v>5566000</v>
      </c>
      <c r="O16" s="2"/>
      <c r="P16" s="3">
        <v>5333000</v>
      </c>
      <c r="Q16" s="2"/>
    </row>
    <row r="19" spans="1:17" x14ac:dyDescent="0.25">
      <c r="A19" s="1" t="s">
        <v>12</v>
      </c>
      <c r="G19" s="1" t="s">
        <v>12</v>
      </c>
      <c r="M19" s="1" t="s">
        <v>12</v>
      </c>
    </row>
    <row r="21" spans="1:17" x14ac:dyDescent="0.25">
      <c r="B21" s="1" t="s">
        <v>4</v>
      </c>
      <c r="C21" s="1" t="s">
        <v>5</v>
      </c>
      <c r="D21" s="1" t="s">
        <v>24</v>
      </c>
      <c r="E21" s="1" t="s">
        <v>25</v>
      </c>
      <c r="H21" s="1" t="s">
        <v>4</v>
      </c>
      <c r="I21" s="1" t="s">
        <v>5</v>
      </c>
      <c r="J21" s="1" t="s">
        <v>24</v>
      </c>
      <c r="K21" s="1" t="s">
        <v>25</v>
      </c>
      <c r="N21" s="1" t="s">
        <v>4</v>
      </c>
      <c r="O21" s="1" t="s">
        <v>5</v>
      </c>
      <c r="P21" s="1" t="s">
        <v>24</v>
      </c>
      <c r="Q21" s="1" t="s">
        <v>25</v>
      </c>
    </row>
    <row r="22" spans="1:17" ht="17.25" x14ac:dyDescent="0.25">
      <c r="A22" t="s">
        <v>31</v>
      </c>
      <c r="B22" t="s">
        <v>13</v>
      </c>
      <c r="D22" t="s">
        <v>21</v>
      </c>
      <c r="G22" t="s">
        <v>32</v>
      </c>
      <c r="H22" t="s">
        <v>13</v>
      </c>
      <c r="M22" t="s">
        <v>32</v>
      </c>
      <c r="N22" t="s">
        <v>13</v>
      </c>
    </row>
    <row r="23" spans="1:17" x14ac:dyDescent="0.25">
      <c r="B23">
        <v>66</v>
      </c>
      <c r="C23">
        <v>68</v>
      </c>
      <c r="D23">
        <v>157</v>
      </c>
      <c r="E23">
        <v>117</v>
      </c>
      <c r="H23">
        <v>51</v>
      </c>
      <c r="I23">
        <v>57</v>
      </c>
      <c r="J23">
        <v>121</v>
      </c>
      <c r="K23">
        <v>110</v>
      </c>
      <c r="N23">
        <v>53</v>
      </c>
      <c r="O23">
        <v>61</v>
      </c>
      <c r="P23">
        <v>101</v>
      </c>
      <c r="Q23">
        <v>120</v>
      </c>
    </row>
    <row r="24" spans="1:17" x14ac:dyDescent="0.25">
      <c r="B24">
        <v>69</v>
      </c>
      <c r="C24">
        <v>49</v>
      </c>
      <c r="D24">
        <v>147</v>
      </c>
      <c r="E24">
        <v>93</v>
      </c>
      <c r="H24">
        <v>51</v>
      </c>
      <c r="I24">
        <v>57</v>
      </c>
      <c r="J24">
        <v>125</v>
      </c>
      <c r="K24">
        <v>89</v>
      </c>
      <c r="N24">
        <v>53</v>
      </c>
      <c r="O24">
        <v>64</v>
      </c>
      <c r="P24">
        <v>109</v>
      </c>
      <c r="Q24">
        <v>105</v>
      </c>
    </row>
    <row r="25" spans="1:17" x14ac:dyDescent="0.25">
      <c r="B25">
        <v>61</v>
      </c>
      <c r="C25">
        <v>62</v>
      </c>
      <c r="D25">
        <v>151</v>
      </c>
      <c r="E25">
        <v>123</v>
      </c>
      <c r="H25">
        <v>60</v>
      </c>
      <c r="I25">
        <v>56</v>
      </c>
      <c r="J25">
        <v>107</v>
      </c>
      <c r="K25">
        <v>87</v>
      </c>
      <c r="N25">
        <v>59</v>
      </c>
      <c r="O25">
        <v>71</v>
      </c>
      <c r="P25">
        <v>119</v>
      </c>
      <c r="Q25">
        <v>107</v>
      </c>
    </row>
    <row r="26" spans="1:17" x14ac:dyDescent="0.25">
      <c r="A26" s="2" t="s">
        <v>9</v>
      </c>
      <c r="B26" s="2">
        <f>AVERAGE(B23:B25)</f>
        <v>65.333333333333329</v>
      </c>
      <c r="C26" s="2">
        <f>AVERAGE(C23:C25)</f>
        <v>59.666666666666664</v>
      </c>
      <c r="D26" s="2">
        <f>AVERAGE(D23:D25)</f>
        <v>151.66666666666666</v>
      </c>
      <c r="E26" s="2">
        <f>AVERAGE(E23:E25)</f>
        <v>111</v>
      </c>
      <c r="G26" s="2" t="s">
        <v>9</v>
      </c>
      <c r="H26" s="2">
        <f>AVERAGE(H23:H25)</f>
        <v>54</v>
      </c>
      <c r="I26" s="2">
        <f>AVERAGE(I23:I25)</f>
        <v>56.666666666666664</v>
      </c>
      <c r="J26" s="2">
        <f>AVERAGE(J23:J25)</f>
        <v>117.66666666666667</v>
      </c>
      <c r="K26" s="2">
        <f>AVERAGE(K23:K25)</f>
        <v>95.333333333333329</v>
      </c>
      <c r="M26" s="2" t="s">
        <v>9</v>
      </c>
      <c r="N26" s="2">
        <f>AVERAGE(N23:N25)</f>
        <v>55</v>
      </c>
      <c r="O26" s="2">
        <f t="shared" ref="O26" si="0">AVERAGE(O23:O25)</f>
        <v>65.333333333333329</v>
      </c>
      <c r="P26" s="2">
        <f>AVERAGE(P23:P25)</f>
        <v>109.66666666666667</v>
      </c>
      <c r="Q26" s="2">
        <f>AVERAGE(Q23:Q25)</f>
        <v>110.66666666666667</v>
      </c>
    </row>
    <row r="27" spans="1:17" x14ac:dyDescent="0.25">
      <c r="A27" s="2" t="s">
        <v>10</v>
      </c>
      <c r="B27" s="2">
        <f>STDEVA(B23:B25)</f>
        <v>4.0414518843273806</v>
      </c>
      <c r="C27" s="2">
        <f>STDEVA(C23:C25)</f>
        <v>9.7125348562222946</v>
      </c>
      <c r="D27" s="2">
        <f>STDEVA(D23:D25)</f>
        <v>5.0332229568471663</v>
      </c>
      <c r="E27" s="2">
        <f>STDEVA(E23:E25)</f>
        <v>15.874507866387544</v>
      </c>
      <c r="G27" s="2" t="s">
        <v>10</v>
      </c>
      <c r="H27" s="2">
        <f>STDEVA(H23:H25)</f>
        <v>5.196152422706632</v>
      </c>
      <c r="I27" s="2">
        <f>STDEVA(I23:I25)</f>
        <v>0.57735026918962584</v>
      </c>
      <c r="J27" s="2">
        <f>STDEVA(J23:J25)</f>
        <v>9.4516312525052175</v>
      </c>
      <c r="K27" s="2">
        <f>STDEVA(K23:K25)</f>
        <v>12.741009902410951</v>
      </c>
      <c r="M27" s="2" t="s">
        <v>10</v>
      </c>
      <c r="N27" s="2">
        <f>STDEVA(N23:N25)</f>
        <v>3.4641016151377544</v>
      </c>
      <c r="O27" s="2">
        <f t="shared" ref="O27" si="1">STDEVA(O23:O25)</f>
        <v>5.1316014394468841</v>
      </c>
      <c r="P27" s="2">
        <f>STDEVA(P23:P25)</f>
        <v>9.0184995056457886</v>
      </c>
      <c r="Q27" s="2">
        <f>STDEVA(Q23:Q25)</f>
        <v>8.1445278152470788</v>
      </c>
    </row>
    <row r="28" spans="1:17" x14ac:dyDescent="0.25">
      <c r="A28" s="2" t="s">
        <v>11</v>
      </c>
      <c r="B28" s="3">
        <v>65330</v>
      </c>
      <c r="C28" s="3">
        <v>59660</v>
      </c>
      <c r="D28" s="3">
        <v>15166</v>
      </c>
      <c r="E28" s="3">
        <v>11100</v>
      </c>
      <c r="G28" s="2" t="s">
        <v>11</v>
      </c>
      <c r="H28" s="3">
        <v>54000</v>
      </c>
      <c r="I28" s="3">
        <v>56660</v>
      </c>
      <c r="J28" s="3">
        <v>11766</v>
      </c>
      <c r="K28" s="3">
        <v>9533</v>
      </c>
      <c r="M28" s="2" t="s">
        <v>11</v>
      </c>
      <c r="N28" s="3">
        <v>55000</v>
      </c>
      <c r="O28" s="3">
        <v>65330</v>
      </c>
      <c r="P28" s="3">
        <v>10966</v>
      </c>
      <c r="Q28" s="3">
        <v>11066</v>
      </c>
    </row>
    <row r="30" spans="1:17" x14ac:dyDescent="0.25">
      <c r="A30" s="2" t="s">
        <v>9</v>
      </c>
      <c r="B30" s="3">
        <f>AVERAGE(B28:C28)</f>
        <v>62495</v>
      </c>
      <c r="D30" s="3">
        <f>AVERAGE(D28:E28)</f>
        <v>13133</v>
      </c>
      <c r="G30" s="2" t="s">
        <v>9</v>
      </c>
      <c r="H30" s="3">
        <f>AVERAGE(H28:I28)</f>
        <v>55330</v>
      </c>
      <c r="J30" s="3">
        <f>AVERAGE(J28:K28)</f>
        <v>10649.5</v>
      </c>
      <c r="M30" s="2" t="s">
        <v>9</v>
      </c>
      <c r="N30" s="3">
        <f>AVERAGE(N28:O28)</f>
        <v>60165</v>
      </c>
      <c r="P30" s="3">
        <f>AVERAGE(P28:Q28)</f>
        <v>11016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A40A7-320D-4E0A-AAF8-C886CA3722CB}">
  <dimension ref="A1:AP44"/>
  <sheetViews>
    <sheetView zoomScale="80" zoomScaleNormal="80" workbookViewId="0">
      <selection activeCell="Z39" sqref="Z39"/>
    </sheetView>
  </sheetViews>
  <sheetFormatPr baseColWidth="10" defaultRowHeight="15" x14ac:dyDescent="0.25"/>
  <sheetData>
    <row r="1" spans="1:42" x14ac:dyDescent="0.25">
      <c r="A1" t="s">
        <v>0</v>
      </c>
      <c r="B1" t="s">
        <v>51</v>
      </c>
    </row>
    <row r="2" spans="1:42" x14ac:dyDescent="0.25">
      <c r="B2" t="s">
        <v>52</v>
      </c>
    </row>
    <row r="3" spans="1:42" x14ac:dyDescent="0.25">
      <c r="B3" t="s">
        <v>53</v>
      </c>
    </row>
    <row r="4" spans="1:42" x14ac:dyDescent="0.25">
      <c r="B4" t="s">
        <v>54</v>
      </c>
    </row>
    <row r="7" spans="1:42" x14ac:dyDescent="0.25">
      <c r="A7" s="5"/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  <c r="J7" s="6">
        <v>9</v>
      </c>
      <c r="K7" s="6">
        <v>10</v>
      </c>
      <c r="L7" s="6">
        <v>11</v>
      </c>
      <c r="M7" s="6">
        <v>12</v>
      </c>
      <c r="O7" s="5"/>
      <c r="P7" s="6">
        <v>1</v>
      </c>
      <c r="Q7" s="6">
        <v>2</v>
      </c>
      <c r="R7" s="6">
        <v>3</v>
      </c>
      <c r="S7" s="6">
        <v>4</v>
      </c>
      <c r="T7" s="6">
        <v>5</v>
      </c>
      <c r="U7" s="6">
        <v>6</v>
      </c>
      <c r="V7" s="6">
        <v>7</v>
      </c>
      <c r="W7" s="6">
        <v>8</v>
      </c>
      <c r="X7" s="6">
        <v>9</v>
      </c>
      <c r="Y7" s="6">
        <v>10</v>
      </c>
      <c r="Z7" s="6">
        <v>11</v>
      </c>
      <c r="AA7" s="6">
        <v>12</v>
      </c>
      <c r="AC7" s="5"/>
      <c r="AD7" s="6">
        <v>1</v>
      </c>
      <c r="AE7" s="6">
        <v>2</v>
      </c>
      <c r="AF7" s="6">
        <v>3</v>
      </c>
      <c r="AG7" s="6">
        <v>4</v>
      </c>
      <c r="AH7" s="6">
        <v>5</v>
      </c>
      <c r="AI7" s="6">
        <v>6</v>
      </c>
      <c r="AJ7" s="6">
        <v>7</v>
      </c>
      <c r="AK7" s="6">
        <v>8</v>
      </c>
      <c r="AL7" s="6">
        <v>9</v>
      </c>
      <c r="AM7" s="6">
        <v>10</v>
      </c>
      <c r="AN7" s="6">
        <v>11</v>
      </c>
      <c r="AO7" s="6">
        <v>12</v>
      </c>
    </row>
    <row r="8" spans="1:42" x14ac:dyDescent="0.25">
      <c r="A8" s="6" t="s">
        <v>33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8">
        <v>420</v>
      </c>
      <c r="O8" s="6" t="s">
        <v>33</v>
      </c>
      <c r="P8" s="9">
        <v>0.10100000000000001</v>
      </c>
      <c r="Q8" s="9">
        <v>0.10199999999999999</v>
      </c>
      <c r="R8" s="9">
        <v>0.10299999999999999</v>
      </c>
      <c r="S8" s="10">
        <v>0.183</v>
      </c>
      <c r="T8" s="10">
        <v>0.184</v>
      </c>
      <c r="U8" s="10">
        <v>0.187</v>
      </c>
      <c r="V8" s="11">
        <v>0.107</v>
      </c>
      <c r="W8" s="11">
        <v>0.107</v>
      </c>
      <c r="X8" s="11">
        <v>0.107</v>
      </c>
      <c r="Y8" s="12">
        <v>0.184</v>
      </c>
      <c r="Z8" s="12">
        <v>0.192</v>
      </c>
      <c r="AA8" s="12">
        <v>0.191</v>
      </c>
      <c r="AB8" s="8">
        <v>420</v>
      </c>
      <c r="AC8" s="6" t="s">
        <v>33</v>
      </c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8">
        <v>420</v>
      </c>
    </row>
    <row r="9" spans="1:42" x14ac:dyDescent="0.25">
      <c r="A9" s="6" t="s">
        <v>34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8">
        <v>420</v>
      </c>
      <c r="O9" s="6" t="s">
        <v>34</v>
      </c>
      <c r="P9" s="12">
        <v>0.14699999999999999</v>
      </c>
      <c r="Q9" s="12">
        <v>0.152</v>
      </c>
      <c r="R9" s="12">
        <v>0.14899999999999999</v>
      </c>
      <c r="S9" s="12">
        <v>0.26600000000000001</v>
      </c>
      <c r="T9" s="12">
        <v>0.27500000000000002</v>
      </c>
      <c r="U9" s="12">
        <v>0.27100000000000002</v>
      </c>
      <c r="V9" s="12">
        <v>0.115</v>
      </c>
      <c r="W9" s="12">
        <v>0.11600000000000001</v>
      </c>
      <c r="X9" s="12">
        <v>0.11700000000000001</v>
      </c>
      <c r="Y9" s="13">
        <v>0.224</v>
      </c>
      <c r="Z9" s="13">
        <v>0.23100000000000001</v>
      </c>
      <c r="AA9" s="13">
        <v>0.22900000000000001</v>
      </c>
      <c r="AB9" s="8">
        <v>420</v>
      </c>
      <c r="AC9" s="6" t="s">
        <v>34</v>
      </c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8">
        <v>420</v>
      </c>
    </row>
    <row r="10" spans="1:42" x14ac:dyDescent="0.25">
      <c r="A10" s="6" t="s">
        <v>35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8">
        <v>420</v>
      </c>
      <c r="O10" s="6" t="s">
        <v>35</v>
      </c>
      <c r="P10" s="14">
        <v>0.10199999999999999</v>
      </c>
      <c r="Q10" s="14">
        <v>0.10199999999999999</v>
      </c>
      <c r="R10" s="14">
        <v>0.10199999999999999</v>
      </c>
      <c r="S10" s="12">
        <v>0.20699999999999999</v>
      </c>
      <c r="T10" s="12">
        <v>0.21</v>
      </c>
      <c r="U10" s="12">
        <v>0.21</v>
      </c>
      <c r="V10" s="12">
        <v>0.156</v>
      </c>
      <c r="W10" s="12">
        <v>0.161</v>
      </c>
      <c r="X10" s="12">
        <v>0.16</v>
      </c>
      <c r="Y10" s="12">
        <v>0.17899999999999999</v>
      </c>
      <c r="Z10" s="12">
        <v>0.184</v>
      </c>
      <c r="AA10" s="12">
        <v>0.18099999999999999</v>
      </c>
      <c r="AB10" s="8">
        <v>420</v>
      </c>
      <c r="AC10" s="6" t="s">
        <v>35</v>
      </c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8">
        <v>420</v>
      </c>
    </row>
    <row r="11" spans="1:42" x14ac:dyDescent="0.25">
      <c r="A11" s="6" t="s">
        <v>36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8">
        <v>420</v>
      </c>
      <c r="O11" s="6" t="s">
        <v>36</v>
      </c>
      <c r="P11" s="12">
        <v>0.28899999999999998</v>
      </c>
      <c r="Q11" s="12">
        <v>0.29899999999999999</v>
      </c>
      <c r="R11" s="12">
        <v>0.29399999999999998</v>
      </c>
      <c r="S11" s="12">
        <v>0.104</v>
      </c>
      <c r="T11" s="12">
        <v>0.10199999999999999</v>
      </c>
      <c r="U11" s="12">
        <v>0.1</v>
      </c>
      <c r="V11" s="12">
        <v>0.1</v>
      </c>
      <c r="W11" s="12">
        <v>0.10100000000000001</v>
      </c>
      <c r="X11" s="12">
        <v>0.10199999999999999</v>
      </c>
      <c r="Y11" s="12">
        <v>0.10100000000000001</v>
      </c>
      <c r="Z11" s="12">
        <v>0.10100000000000001</v>
      </c>
      <c r="AA11" s="12">
        <v>0.10100000000000001</v>
      </c>
      <c r="AB11" s="8">
        <v>420</v>
      </c>
      <c r="AC11" s="6" t="s">
        <v>36</v>
      </c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8">
        <v>420</v>
      </c>
    </row>
    <row r="12" spans="1:42" x14ac:dyDescent="0.25">
      <c r="A12" s="6" t="s">
        <v>37</v>
      </c>
      <c r="B12" s="9">
        <v>9.8000000000000004E-2</v>
      </c>
      <c r="C12" s="9">
        <v>9.8000000000000004E-2</v>
      </c>
      <c r="D12" s="9">
        <v>9.6000000000000002E-2</v>
      </c>
      <c r="E12" s="10">
        <v>0.22900000000000001</v>
      </c>
      <c r="F12" s="10">
        <v>0.23200000000000001</v>
      </c>
      <c r="G12" s="10">
        <v>0.23</v>
      </c>
      <c r="H12" s="11">
        <v>0.14099999999999999</v>
      </c>
      <c r="I12" s="11">
        <v>0.14599999999999999</v>
      </c>
      <c r="J12" s="11">
        <v>0.14399999999999999</v>
      </c>
      <c r="K12" s="12">
        <v>0.218</v>
      </c>
      <c r="L12" s="12">
        <v>0.222</v>
      </c>
      <c r="M12" s="12">
        <v>0.221</v>
      </c>
      <c r="N12" s="8">
        <v>420</v>
      </c>
      <c r="O12" s="6" t="s">
        <v>37</v>
      </c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8">
        <v>420</v>
      </c>
      <c r="AC12" s="6" t="s">
        <v>37</v>
      </c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8">
        <v>420</v>
      </c>
    </row>
    <row r="13" spans="1:42" x14ac:dyDescent="0.25">
      <c r="A13" s="6" t="s">
        <v>38</v>
      </c>
      <c r="B13" s="12">
        <v>0.222</v>
      </c>
      <c r="C13" s="12">
        <v>0.22600000000000001</v>
      </c>
      <c r="D13" s="12">
        <v>0.22500000000000001</v>
      </c>
      <c r="E13" s="12">
        <v>0.18</v>
      </c>
      <c r="F13" s="12">
        <v>0.17899999999999999</v>
      </c>
      <c r="G13" s="12">
        <v>0.184</v>
      </c>
      <c r="H13" s="13">
        <v>0.7</v>
      </c>
      <c r="I13" s="13">
        <v>0.73399999999999999</v>
      </c>
      <c r="J13" s="13">
        <v>0.71799999999999997</v>
      </c>
      <c r="K13" s="14">
        <v>0.23100000000000001</v>
      </c>
      <c r="L13" s="14">
        <v>0.24199999999999999</v>
      </c>
      <c r="M13" s="14">
        <v>0.23699999999999999</v>
      </c>
      <c r="N13" s="8">
        <v>420</v>
      </c>
      <c r="O13" s="6" t="s">
        <v>38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8">
        <v>420</v>
      </c>
      <c r="AC13" s="6" t="s">
        <v>38</v>
      </c>
      <c r="AD13" s="9">
        <v>0.10299999999999999</v>
      </c>
      <c r="AE13" s="9">
        <v>0.104</v>
      </c>
      <c r="AF13" s="9">
        <v>0.104</v>
      </c>
      <c r="AG13" s="10">
        <v>0.14099999999999999</v>
      </c>
      <c r="AH13" s="10">
        <v>0.154</v>
      </c>
      <c r="AI13" s="10">
        <v>0.14299999999999999</v>
      </c>
      <c r="AJ13" s="11">
        <v>0.14000000000000001</v>
      </c>
      <c r="AK13" s="11">
        <v>0.14099999999999999</v>
      </c>
      <c r="AL13" s="11">
        <v>0.14199999999999999</v>
      </c>
      <c r="AM13" s="12">
        <v>0.28999999999999998</v>
      </c>
      <c r="AN13" s="12">
        <v>0.29799999999999999</v>
      </c>
      <c r="AO13" s="12">
        <v>0.29799999999999999</v>
      </c>
      <c r="AP13" s="8">
        <v>420</v>
      </c>
    </row>
    <row r="14" spans="1:42" x14ac:dyDescent="0.25">
      <c r="A14" s="6" t="s">
        <v>39</v>
      </c>
      <c r="B14" s="12">
        <v>0.78900000000000003</v>
      </c>
      <c r="C14" s="12">
        <v>0.83599999999999997</v>
      </c>
      <c r="D14" s="12">
        <v>0.82399999999999995</v>
      </c>
      <c r="E14" s="12">
        <v>0.28799999999999998</v>
      </c>
      <c r="F14" s="12">
        <v>0.29199999999999998</v>
      </c>
      <c r="G14" s="12">
        <v>0.28999999999999998</v>
      </c>
      <c r="H14" s="12">
        <v>0.42499999999999999</v>
      </c>
      <c r="I14" s="12">
        <v>0.436</v>
      </c>
      <c r="J14" s="12">
        <v>0.438</v>
      </c>
      <c r="K14" s="12">
        <v>9.7000000000000003E-2</v>
      </c>
      <c r="L14" s="12">
        <v>9.6000000000000002E-2</v>
      </c>
      <c r="M14" s="12">
        <v>9.6000000000000002E-2</v>
      </c>
      <c r="N14" s="8">
        <v>420</v>
      </c>
      <c r="O14" s="6" t="s">
        <v>39</v>
      </c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8">
        <v>420</v>
      </c>
      <c r="AC14" s="6" t="s">
        <v>39</v>
      </c>
      <c r="AD14" s="12">
        <v>0.21299999999999999</v>
      </c>
      <c r="AE14" s="12">
        <v>0.218</v>
      </c>
      <c r="AF14" s="12">
        <v>0.218</v>
      </c>
      <c r="AG14" s="13">
        <v>0.47699999999999998</v>
      </c>
      <c r="AH14" s="13">
        <v>0.504</v>
      </c>
      <c r="AI14" s="13">
        <v>0.499</v>
      </c>
      <c r="AJ14" s="14">
        <v>0.125</v>
      </c>
      <c r="AK14" s="14">
        <v>0.126</v>
      </c>
      <c r="AL14" s="14">
        <v>0.13400000000000001</v>
      </c>
      <c r="AM14" s="12">
        <v>0.216</v>
      </c>
      <c r="AN14" s="12">
        <v>0.224</v>
      </c>
      <c r="AO14" s="12">
        <v>0.224</v>
      </c>
      <c r="AP14" s="8">
        <v>420</v>
      </c>
    </row>
    <row r="15" spans="1:42" x14ac:dyDescent="0.25">
      <c r="A15" s="6" t="s">
        <v>40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8">
        <v>420</v>
      </c>
      <c r="O15" s="6" t="s">
        <v>40</v>
      </c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8">
        <v>420</v>
      </c>
      <c r="AC15" s="6" t="s">
        <v>40</v>
      </c>
      <c r="AD15" s="12">
        <v>0.64</v>
      </c>
      <c r="AE15" s="12">
        <v>0.68300000000000005</v>
      </c>
      <c r="AF15" s="12">
        <v>0.68100000000000005</v>
      </c>
      <c r="AG15" s="12">
        <v>0.109</v>
      </c>
      <c r="AH15" s="12">
        <v>0.10199999999999999</v>
      </c>
      <c r="AI15" s="12">
        <v>0.10100000000000001</v>
      </c>
      <c r="AJ15" s="12">
        <v>0.10199999999999999</v>
      </c>
      <c r="AK15" s="12">
        <v>0.10100000000000001</v>
      </c>
      <c r="AL15" s="12">
        <v>0.1</v>
      </c>
      <c r="AM15" s="12">
        <v>0.10100000000000001</v>
      </c>
      <c r="AN15" s="12">
        <v>0.10100000000000001</v>
      </c>
      <c r="AO15" s="12">
        <v>0.10100000000000001</v>
      </c>
      <c r="AP15" s="8">
        <v>420</v>
      </c>
    </row>
    <row r="17" spans="1:42" x14ac:dyDescent="0.25">
      <c r="A17" s="15"/>
      <c r="O17" s="15"/>
      <c r="AC17" s="15"/>
    </row>
    <row r="18" spans="1:42" x14ac:dyDescent="0.25">
      <c r="A18">
        <v>23</v>
      </c>
      <c r="O18">
        <v>21.5</v>
      </c>
      <c r="AC18">
        <v>21.5</v>
      </c>
    </row>
    <row r="20" spans="1:42" x14ac:dyDescent="0.25">
      <c r="A20" s="5"/>
      <c r="B20" s="6">
        <v>1</v>
      </c>
      <c r="C20" s="6">
        <v>2</v>
      </c>
      <c r="D20" s="6">
        <v>3</v>
      </c>
      <c r="E20" s="6">
        <v>4</v>
      </c>
      <c r="F20" s="6">
        <v>5</v>
      </c>
      <c r="G20" s="6">
        <v>6</v>
      </c>
      <c r="H20" s="6">
        <v>7</v>
      </c>
      <c r="I20" s="6">
        <v>8</v>
      </c>
      <c r="J20" s="6">
        <v>9</v>
      </c>
      <c r="K20" s="6">
        <v>10</v>
      </c>
      <c r="L20" s="6">
        <v>11</v>
      </c>
      <c r="M20" s="6">
        <v>12</v>
      </c>
      <c r="O20" s="5"/>
      <c r="P20" s="6">
        <v>1</v>
      </c>
      <c r="Q20" s="6">
        <v>2</v>
      </c>
      <c r="R20" s="6">
        <v>3</v>
      </c>
      <c r="S20" s="6">
        <v>4</v>
      </c>
      <c r="T20" s="6">
        <v>5</v>
      </c>
      <c r="U20" s="6">
        <v>6</v>
      </c>
      <c r="V20" s="6">
        <v>7</v>
      </c>
      <c r="W20" s="6">
        <v>8</v>
      </c>
      <c r="X20" s="6">
        <v>9</v>
      </c>
      <c r="Y20" s="6">
        <v>10</v>
      </c>
      <c r="Z20" s="6">
        <v>11</v>
      </c>
      <c r="AA20" s="6">
        <v>12</v>
      </c>
      <c r="AC20" s="5"/>
      <c r="AD20" s="6">
        <v>1</v>
      </c>
      <c r="AE20" s="6">
        <v>2</v>
      </c>
      <c r="AF20" s="6">
        <v>3</v>
      </c>
      <c r="AG20" s="6">
        <v>4</v>
      </c>
      <c r="AH20" s="6">
        <v>5</v>
      </c>
      <c r="AI20" s="6">
        <v>6</v>
      </c>
      <c r="AJ20" s="6">
        <v>7</v>
      </c>
      <c r="AK20" s="6">
        <v>8</v>
      </c>
      <c r="AL20" s="6">
        <v>9</v>
      </c>
      <c r="AM20" s="6">
        <v>10</v>
      </c>
      <c r="AN20" s="6">
        <v>11</v>
      </c>
      <c r="AO20" s="6">
        <v>12</v>
      </c>
    </row>
    <row r="21" spans="1:42" x14ac:dyDescent="0.25">
      <c r="A21" s="6" t="s">
        <v>33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8">
        <v>550</v>
      </c>
      <c r="O21" s="6" t="s">
        <v>33</v>
      </c>
      <c r="P21" s="9">
        <v>8.5999999999999993E-2</v>
      </c>
      <c r="Q21" s="9">
        <v>8.6999999999999994E-2</v>
      </c>
      <c r="R21" s="9">
        <v>8.8999999999999996E-2</v>
      </c>
      <c r="S21" s="10">
        <v>9.4E-2</v>
      </c>
      <c r="T21" s="10">
        <v>8.7999999999999995E-2</v>
      </c>
      <c r="U21" s="10">
        <v>8.8999999999999996E-2</v>
      </c>
      <c r="V21" s="11">
        <v>8.7999999999999995E-2</v>
      </c>
      <c r="W21" s="11">
        <v>8.6999999999999994E-2</v>
      </c>
      <c r="X21" s="11">
        <v>8.6999999999999994E-2</v>
      </c>
      <c r="Y21" s="12">
        <v>8.8999999999999996E-2</v>
      </c>
      <c r="Z21" s="12">
        <v>8.8999999999999996E-2</v>
      </c>
      <c r="AA21" s="12">
        <v>8.8999999999999996E-2</v>
      </c>
      <c r="AB21" s="8">
        <v>550</v>
      </c>
      <c r="AC21" s="6" t="s">
        <v>33</v>
      </c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8">
        <v>550</v>
      </c>
    </row>
    <row r="22" spans="1:42" x14ac:dyDescent="0.25">
      <c r="A22" s="6" t="s">
        <v>34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8">
        <v>550</v>
      </c>
      <c r="O22" s="6" t="s">
        <v>34</v>
      </c>
      <c r="P22" s="12">
        <v>8.7999999999999995E-2</v>
      </c>
      <c r="Q22" s="12">
        <v>0.09</v>
      </c>
      <c r="R22" s="12">
        <v>8.7999999999999995E-2</v>
      </c>
      <c r="S22" s="12">
        <v>9.2999999999999999E-2</v>
      </c>
      <c r="T22" s="12">
        <v>8.7999999999999995E-2</v>
      </c>
      <c r="U22" s="12">
        <v>8.8999999999999996E-2</v>
      </c>
      <c r="V22" s="12">
        <v>8.7999999999999995E-2</v>
      </c>
      <c r="W22" s="12">
        <v>8.7999999999999995E-2</v>
      </c>
      <c r="X22" s="12">
        <v>8.8999999999999996E-2</v>
      </c>
      <c r="Y22" s="13">
        <v>8.8999999999999996E-2</v>
      </c>
      <c r="Z22" s="13">
        <v>8.8999999999999996E-2</v>
      </c>
      <c r="AA22" s="13">
        <v>8.7999999999999995E-2</v>
      </c>
      <c r="AB22" s="8">
        <v>550</v>
      </c>
      <c r="AC22" s="6" t="s">
        <v>34</v>
      </c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8">
        <v>550</v>
      </c>
    </row>
    <row r="23" spans="1:42" x14ac:dyDescent="0.25">
      <c r="A23" s="6" t="s">
        <v>35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8">
        <v>550</v>
      </c>
      <c r="O23" s="6" t="s">
        <v>35</v>
      </c>
      <c r="P23" s="14">
        <v>8.6999999999999994E-2</v>
      </c>
      <c r="Q23" s="14">
        <v>8.6999999999999994E-2</v>
      </c>
      <c r="R23" s="14">
        <v>8.7999999999999995E-2</v>
      </c>
      <c r="S23" s="12">
        <v>8.7999999999999995E-2</v>
      </c>
      <c r="T23" s="12">
        <v>8.7999999999999995E-2</v>
      </c>
      <c r="U23" s="12">
        <v>8.7999999999999995E-2</v>
      </c>
      <c r="V23" s="12">
        <v>8.7999999999999995E-2</v>
      </c>
      <c r="W23" s="12">
        <v>8.6999999999999994E-2</v>
      </c>
      <c r="X23" s="12">
        <v>8.7999999999999995E-2</v>
      </c>
      <c r="Y23" s="12">
        <v>8.8999999999999996E-2</v>
      </c>
      <c r="Z23" s="12">
        <v>8.7999999999999995E-2</v>
      </c>
      <c r="AA23" s="12">
        <v>8.7999999999999995E-2</v>
      </c>
      <c r="AB23" s="8">
        <v>550</v>
      </c>
      <c r="AC23" s="6" t="s">
        <v>35</v>
      </c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8">
        <v>550</v>
      </c>
    </row>
    <row r="24" spans="1:42" x14ac:dyDescent="0.25">
      <c r="A24" s="6" t="s">
        <v>36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8">
        <v>550</v>
      </c>
      <c r="O24" s="6" t="s">
        <v>36</v>
      </c>
      <c r="P24" s="12">
        <v>8.7999999999999995E-2</v>
      </c>
      <c r="Q24" s="12">
        <v>8.8999999999999996E-2</v>
      </c>
      <c r="R24" s="12">
        <v>8.7999999999999995E-2</v>
      </c>
      <c r="S24" s="12">
        <v>9.0999999999999998E-2</v>
      </c>
      <c r="T24" s="12">
        <v>8.7999999999999995E-2</v>
      </c>
      <c r="U24" s="12">
        <v>8.6999999999999994E-2</v>
      </c>
      <c r="V24" s="12">
        <v>8.6999999999999994E-2</v>
      </c>
      <c r="W24" s="12">
        <v>8.7999999999999995E-2</v>
      </c>
      <c r="X24" s="12">
        <v>8.8999999999999996E-2</v>
      </c>
      <c r="Y24" s="12">
        <v>8.8999999999999996E-2</v>
      </c>
      <c r="Z24" s="12">
        <v>8.8999999999999996E-2</v>
      </c>
      <c r="AA24" s="12">
        <v>8.8999999999999996E-2</v>
      </c>
      <c r="AB24" s="8">
        <v>550</v>
      </c>
      <c r="AC24" s="6" t="s">
        <v>36</v>
      </c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8">
        <v>550</v>
      </c>
    </row>
    <row r="25" spans="1:42" x14ac:dyDescent="0.25">
      <c r="A25" s="6" t="s">
        <v>37</v>
      </c>
      <c r="B25" s="9">
        <v>8.8999999999999996E-2</v>
      </c>
      <c r="C25" s="9">
        <v>8.8999999999999996E-2</v>
      </c>
      <c r="D25" s="9">
        <v>8.7999999999999995E-2</v>
      </c>
      <c r="E25" s="10">
        <v>8.7999999999999995E-2</v>
      </c>
      <c r="F25" s="10">
        <v>8.7999999999999995E-2</v>
      </c>
      <c r="G25" s="10">
        <v>8.5999999999999993E-2</v>
      </c>
      <c r="H25" s="11">
        <v>8.5999999999999993E-2</v>
      </c>
      <c r="I25" s="11">
        <v>8.8999999999999996E-2</v>
      </c>
      <c r="J25" s="11">
        <v>8.6999999999999994E-2</v>
      </c>
      <c r="K25" s="16">
        <v>8.7999999999999995E-2</v>
      </c>
      <c r="L25" s="17">
        <v>8.6999999999999994E-2</v>
      </c>
      <c r="M25" s="18">
        <v>8.7999999999999995E-2</v>
      </c>
      <c r="N25" s="8">
        <v>550</v>
      </c>
      <c r="O25" s="6" t="s">
        <v>37</v>
      </c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8">
        <v>550</v>
      </c>
      <c r="AC25" s="6" t="s">
        <v>37</v>
      </c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8">
        <v>550</v>
      </c>
    </row>
    <row r="26" spans="1:42" x14ac:dyDescent="0.25">
      <c r="A26" s="6" t="s">
        <v>38</v>
      </c>
      <c r="B26" s="18">
        <v>8.7999999999999995E-2</v>
      </c>
      <c r="C26" s="19">
        <v>9.0999999999999998E-2</v>
      </c>
      <c r="D26" s="18">
        <v>8.7999999999999995E-2</v>
      </c>
      <c r="E26" s="18">
        <v>8.7999999999999995E-2</v>
      </c>
      <c r="F26" s="20">
        <v>8.5999999999999993E-2</v>
      </c>
      <c r="G26" s="21">
        <v>8.8999999999999996E-2</v>
      </c>
      <c r="H26" s="13">
        <v>0.09</v>
      </c>
      <c r="I26" s="13">
        <v>9.5000000000000001E-2</v>
      </c>
      <c r="J26" s="13">
        <v>0.09</v>
      </c>
      <c r="K26" s="14">
        <v>8.7999999999999995E-2</v>
      </c>
      <c r="L26" s="14">
        <v>8.8999999999999996E-2</v>
      </c>
      <c r="M26" s="14">
        <v>8.6999999999999994E-2</v>
      </c>
      <c r="N26" s="8">
        <v>550</v>
      </c>
      <c r="O26" s="6" t="s">
        <v>38</v>
      </c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8">
        <v>550</v>
      </c>
      <c r="AC26" s="6" t="s">
        <v>38</v>
      </c>
      <c r="AD26" s="9">
        <v>8.7999999999999995E-2</v>
      </c>
      <c r="AE26" s="9">
        <v>8.8999999999999996E-2</v>
      </c>
      <c r="AF26" s="9">
        <v>8.8999999999999996E-2</v>
      </c>
      <c r="AG26" s="10">
        <v>8.8999999999999996E-2</v>
      </c>
      <c r="AH26" s="10">
        <v>9.6000000000000002E-2</v>
      </c>
      <c r="AI26" s="10">
        <v>8.7999999999999995E-2</v>
      </c>
      <c r="AJ26" s="11">
        <v>8.7999999999999995E-2</v>
      </c>
      <c r="AK26" s="11">
        <v>8.6999999999999994E-2</v>
      </c>
      <c r="AL26" s="11">
        <v>8.8999999999999996E-2</v>
      </c>
      <c r="AM26" s="12">
        <v>0.09</v>
      </c>
      <c r="AN26" s="12">
        <v>9.0999999999999998E-2</v>
      </c>
      <c r="AO26" s="12">
        <v>8.8999999999999996E-2</v>
      </c>
      <c r="AP26" s="8">
        <v>550</v>
      </c>
    </row>
    <row r="27" spans="1:42" x14ac:dyDescent="0.25">
      <c r="A27" s="6" t="s">
        <v>39</v>
      </c>
      <c r="B27" s="22">
        <v>0.09</v>
      </c>
      <c r="C27" s="23">
        <v>9.0999999999999998E-2</v>
      </c>
      <c r="D27" s="22">
        <v>0.09</v>
      </c>
      <c r="E27" s="21">
        <v>0.09</v>
      </c>
      <c r="F27" s="16">
        <v>8.8999999999999996E-2</v>
      </c>
      <c r="G27" s="21">
        <v>8.8999999999999996E-2</v>
      </c>
      <c r="H27" s="23">
        <v>9.0999999999999998E-2</v>
      </c>
      <c r="I27" s="22">
        <v>0.09</v>
      </c>
      <c r="J27" s="23">
        <v>9.0999999999999998E-2</v>
      </c>
      <c r="K27" s="18">
        <v>8.7999999999999995E-2</v>
      </c>
      <c r="L27" s="16">
        <v>8.8999999999999996E-2</v>
      </c>
      <c r="M27" s="17">
        <v>8.6999999999999994E-2</v>
      </c>
      <c r="N27" s="8">
        <v>550</v>
      </c>
      <c r="O27" s="6" t="s">
        <v>39</v>
      </c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8">
        <v>550</v>
      </c>
      <c r="AC27" s="6" t="s">
        <v>39</v>
      </c>
      <c r="AD27" s="12">
        <v>9.0999999999999998E-2</v>
      </c>
      <c r="AE27" s="12">
        <v>8.8999999999999996E-2</v>
      </c>
      <c r="AF27" s="12">
        <v>8.8999999999999996E-2</v>
      </c>
      <c r="AG27" s="13">
        <v>9.5000000000000001E-2</v>
      </c>
      <c r="AH27" s="13">
        <v>9.0999999999999998E-2</v>
      </c>
      <c r="AI27" s="13">
        <v>9.4E-2</v>
      </c>
      <c r="AJ27" s="14">
        <v>8.8999999999999996E-2</v>
      </c>
      <c r="AK27" s="14">
        <v>8.5999999999999993E-2</v>
      </c>
      <c r="AL27" s="14">
        <v>9.5000000000000001E-2</v>
      </c>
      <c r="AM27" s="12">
        <v>8.6999999999999994E-2</v>
      </c>
      <c r="AN27" s="12">
        <v>8.7999999999999995E-2</v>
      </c>
      <c r="AO27" s="12">
        <v>8.8999999999999996E-2</v>
      </c>
      <c r="AP27" s="8">
        <v>550</v>
      </c>
    </row>
    <row r="28" spans="1:42" x14ac:dyDescent="0.25">
      <c r="A28" s="6" t="s">
        <v>40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8">
        <v>550</v>
      </c>
      <c r="O28" s="6" t="s">
        <v>40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8">
        <v>550</v>
      </c>
      <c r="AC28" s="6" t="s">
        <v>40</v>
      </c>
      <c r="AD28" s="12">
        <v>0.09</v>
      </c>
      <c r="AE28" s="12">
        <v>0.09</v>
      </c>
      <c r="AF28" s="12">
        <v>9.1999999999999998E-2</v>
      </c>
      <c r="AG28" s="12">
        <v>9.6000000000000002E-2</v>
      </c>
      <c r="AH28" s="12">
        <v>8.7999999999999995E-2</v>
      </c>
      <c r="AI28" s="12">
        <v>0.09</v>
      </c>
      <c r="AJ28" s="12">
        <v>0.09</v>
      </c>
      <c r="AK28" s="12">
        <v>8.8999999999999996E-2</v>
      </c>
      <c r="AL28" s="12">
        <v>8.8999999999999996E-2</v>
      </c>
      <c r="AM28" s="12">
        <v>9.0999999999999998E-2</v>
      </c>
      <c r="AN28" s="12">
        <v>8.7999999999999995E-2</v>
      </c>
      <c r="AO28" s="12">
        <v>8.8999999999999996E-2</v>
      </c>
      <c r="AP28" s="8">
        <v>550</v>
      </c>
    </row>
    <row r="32" spans="1:42" x14ac:dyDescent="0.25">
      <c r="A32" s="27" t="s">
        <v>48</v>
      </c>
      <c r="B32" s="27"/>
      <c r="C32" s="27"/>
      <c r="D32" s="27"/>
    </row>
    <row r="33" spans="1:36" x14ac:dyDescent="0.25">
      <c r="A33" s="27"/>
      <c r="B33" s="27"/>
      <c r="C33" s="27"/>
      <c r="D33" s="27"/>
    </row>
    <row r="34" spans="1:36" x14ac:dyDescent="0.25">
      <c r="A34" s="27"/>
      <c r="B34" s="27"/>
      <c r="C34" s="27"/>
      <c r="D34" s="27"/>
    </row>
    <row r="35" spans="1:36" x14ac:dyDescent="0.25">
      <c r="A35" s="27"/>
      <c r="B35" s="26" t="s">
        <v>47</v>
      </c>
      <c r="C35" s="25" t="s">
        <v>46</v>
      </c>
      <c r="D35" s="24" t="s">
        <v>45</v>
      </c>
      <c r="F35" s="26" t="s">
        <v>47</v>
      </c>
      <c r="G35" s="29" t="s">
        <v>50</v>
      </c>
      <c r="H35" s="28" t="s">
        <v>49</v>
      </c>
      <c r="O35" s="27"/>
      <c r="P35" s="26" t="s">
        <v>47</v>
      </c>
      <c r="Q35" s="25" t="s">
        <v>46</v>
      </c>
      <c r="R35" s="24" t="s">
        <v>45</v>
      </c>
      <c r="T35" s="26" t="s">
        <v>47</v>
      </c>
      <c r="U35" s="29" t="s">
        <v>50</v>
      </c>
      <c r="V35" s="28" t="s">
        <v>49</v>
      </c>
      <c r="AC35" s="27"/>
      <c r="AD35" s="26" t="s">
        <v>47</v>
      </c>
      <c r="AE35" s="25" t="s">
        <v>46</v>
      </c>
      <c r="AF35" s="24" t="s">
        <v>45</v>
      </c>
      <c r="AH35" s="26" t="s">
        <v>47</v>
      </c>
      <c r="AI35" s="29" t="s">
        <v>50</v>
      </c>
      <c r="AJ35" s="28" t="s">
        <v>49</v>
      </c>
    </row>
    <row r="37" spans="1:36" x14ac:dyDescent="0.25">
      <c r="B37">
        <f>1000*((Fig2A!B12-(1.75*Fig2A!B25)/15*1*(0.129*20)))</f>
        <v>71.210999999999999</v>
      </c>
      <c r="C37">
        <f>1000*((Fig2A!E12-(1.75*Fig2A!E25)/15*1*(0.129*20)))</f>
        <v>202.512</v>
      </c>
      <c r="D37">
        <f>1000*((Fig2A!H12-(1.75*Fig2A!H25)/15*1*(0.125*20)))</f>
        <v>115.91666666666666</v>
      </c>
      <c r="F37">
        <f>1000*((Fig2A!B12-(1.75*Fig2A!B25)/15*1*(0.129*20)))</f>
        <v>71.210999999999999</v>
      </c>
      <c r="G37">
        <f>1000*((Fig2A!H13-(1.75*Fig2A!H26)/15*1*(0.129*20)))</f>
        <v>672.90999999999985</v>
      </c>
      <c r="H37">
        <f>1000*((Fig2A!K13-(1.75*Fig2A!K26)/15*1*(0.125*20)))</f>
        <v>205.33333333333334</v>
      </c>
      <c r="P37">
        <f>1000*((Fig2A!P8-(1.75*Fig2A!P21)/15*1*(0.1*20)))</f>
        <v>80.933333333333337</v>
      </c>
      <c r="Q37">
        <f>1000*((Fig2A!S8-(1.75*Fig2A!S21)/15*1*(0.1*20)))</f>
        <v>161.06666666666666</v>
      </c>
      <c r="R37">
        <f>1000*((Fig2A!V8-(1.75*Fig2A!V21)/15*1*(0.04*20)))</f>
        <v>98.786666666666662</v>
      </c>
      <c r="T37">
        <f>1000*((Fig2A!P8-(1.75*Fig2A!P21)/15*1*(0.1*20)))</f>
        <v>80.933333333333337</v>
      </c>
      <c r="U37">
        <f>1000*((Fig2A!Y9-(1.75*Fig2A!Y22)/15*1*(0.07*20)))</f>
        <v>209.46333333333334</v>
      </c>
      <c r="V37">
        <f>1000*((Fig2A!P10-(1.75*Fig2A!P23)/15*1*(0.03*20)))</f>
        <v>95.91</v>
      </c>
      <c r="AD37">
        <f>1000*((Fig2A!AD13-(1.75*Fig2A!AD26)/15*1*(0.109*20)))</f>
        <v>80.618666666666655</v>
      </c>
      <c r="AE37">
        <f>1000*((Fig2A!AG13-(1.75*Fig2A!AG26)/15*1*(0.109*20)))</f>
        <v>118.36433333333332</v>
      </c>
      <c r="AF37">
        <f>1000*((Fig2A!AJ13-(1.75*Fig2A!AJ26)/15*1*(0.062*20)))</f>
        <v>127.26933333333335</v>
      </c>
      <c r="AH37">
        <f>1000*((Fig2A!AD13-(1.75*Fig2A!AD26)/15*1*(0.109*20)))</f>
        <v>80.618666666666655</v>
      </c>
      <c r="AI37">
        <f>1000*((Fig2A!AG14-(1.75*Fig2A!AG27)/15*1*(0.11*20)))</f>
        <v>452.61666666666667</v>
      </c>
      <c r="AJ37">
        <f>1000*((Fig2A!AJ14-(1.75*Fig2A!AJ27)/15*1*(0.044*20)))</f>
        <v>115.86266666666667</v>
      </c>
    </row>
    <row r="38" spans="1:36" x14ac:dyDescent="0.25">
      <c r="B38">
        <f>1000*((Fig2A!C12-(1.75*Fig2A!C25)/15*1*(0.129*20)))</f>
        <v>71.210999999999999</v>
      </c>
      <c r="C38">
        <f>1000*((Fig2A!F12-(1.75*Fig2A!F25)/15*1*(0.129*20)))</f>
        <v>205.512</v>
      </c>
      <c r="D38">
        <f>1000*((Fig2A!I12-(1.75*Fig2A!I25)/15*1*(0.125*20)))</f>
        <v>120.04166666666666</v>
      </c>
      <c r="F38">
        <f>1000*((Fig2A!C12-(1.75*Fig2A!C25)/15*1*(0.129*20)))</f>
        <v>71.210999999999999</v>
      </c>
      <c r="G38">
        <f>1000*((Fig2A!I13-(1.75*Fig2A!I26)/15*1*(0.129*20)))</f>
        <v>705.40499999999997</v>
      </c>
      <c r="H38">
        <f>1000*((Fig2A!L13-(1.75*Fig2A!L26)/15*1*(0.125*20)))</f>
        <v>216.04166666666666</v>
      </c>
      <c r="P38">
        <f>1000*((Fig2A!Q8-(1.75*Fig2A!Q21)/15*1*(0.1*20)))</f>
        <v>81.699999999999989</v>
      </c>
      <c r="Q38">
        <f>1000*((Fig2A!T8-(1.75*Fig2A!T21)/15*1*(0.1*20)))</f>
        <v>163.46666666666664</v>
      </c>
      <c r="R38">
        <f>1000*((Fig2A!W8-(1.75*Fig2A!W21)/15*1*(0.04*20)))</f>
        <v>98.88</v>
      </c>
      <c r="T38">
        <f>1000*((Fig2A!Q8-(1.75*Fig2A!Q21)/15*1*(0.1*20)))</f>
        <v>81.699999999999989</v>
      </c>
      <c r="U38">
        <f>1000*((Fig2A!Z9-(1.75*Fig2A!Z22)/15*1*(0.07*20)))</f>
        <v>216.46333333333334</v>
      </c>
      <c r="V38">
        <f>1000*((Fig2A!Q10-(1.75*Fig2A!Q22)/15*1*(0.03*20)))</f>
        <v>95.699999999999989</v>
      </c>
      <c r="AD38">
        <f>1000*((Fig2A!AE13-(1.75*Fig2A!AE26)/15*1*(0.109*20)))</f>
        <v>81.364333333333335</v>
      </c>
      <c r="AE38">
        <f>1000*((Fig2A!AH13-(1.75*Fig2A!AH26)/15*1*(0.109*20)))</f>
        <v>129.584</v>
      </c>
      <c r="AF38">
        <f>1000*((Fig2A!AK13-(1.75*Fig2A!AK26)/15*1*(0.062*20)))</f>
        <v>128.41399999999999</v>
      </c>
      <c r="AH38">
        <f>1000*((Fig2A!AE13-(1.75*Fig2A!AE26)/15*1*(0.109*20)))</f>
        <v>81.364333333333335</v>
      </c>
      <c r="AI38">
        <f>1000*((Fig2A!AH14-(1.75*Fig2A!AH27)/15*1*(0.11*20)))</f>
        <v>480.64333333333332</v>
      </c>
      <c r="AJ38">
        <f>1000*((Fig2A!AK14-(1.75*Fig2A!AK27)/15*1*(0.044*20)))</f>
        <v>117.17066666666668</v>
      </c>
    </row>
    <row r="39" spans="1:36" x14ac:dyDescent="0.25">
      <c r="B39">
        <f>1000*((Fig2A!D12-(1.75*Fig2A!D25)/15*1*(0.129*20)))</f>
        <v>69.512</v>
      </c>
      <c r="C39">
        <f>1000*((Fig2A!G12-(1.75*Fig2A!G25)/15*1*(0.129*20)))</f>
        <v>204.114</v>
      </c>
      <c r="D39">
        <f>1000*((Fig2A!J12-(1.75*Fig2A!J25)/15*1*(0.125*20)))</f>
        <v>118.625</v>
      </c>
      <c r="F39">
        <f>1000*((Fig2A!D12-(1.75*Fig2A!D25)/15*1*(0.129*20)))</f>
        <v>69.512</v>
      </c>
      <c r="G39">
        <f>1000*((Fig2A!J13-(1.75*Fig2A!J26)/15*1*(0.129*20)))</f>
        <v>690.91</v>
      </c>
      <c r="H39">
        <f>1000*((Fig2A!M13-(1.75*Fig2A!M26)/15*1*(0.125*20)))</f>
        <v>211.62499999999997</v>
      </c>
      <c r="P39">
        <f>1000*((Fig2A!R8-(1.75*Fig2A!R21)/15*1*(0.1*20)))</f>
        <v>82.23333333333332</v>
      </c>
      <c r="Q39">
        <f>1000*((Fig2A!U8-(1.75*Fig2A!U21)/15*1*(0.1*20)))</f>
        <v>166.23333333333335</v>
      </c>
      <c r="R39">
        <f>1000*((Fig2A!X8-(1.75*Fig2A!X21)/15*1*(0.04*20)))</f>
        <v>98.88</v>
      </c>
      <c r="T39">
        <f>1000*((Fig2A!R8-(1.75*Fig2A!R21)/15*1*(0.1*20)))</f>
        <v>82.23333333333332</v>
      </c>
      <c r="U39">
        <f>1000*((Fig2A!AA9-(1.75*Fig2A!AA22)/15*1*(0.07*20)))</f>
        <v>214.62666666666669</v>
      </c>
      <c r="V39">
        <f>1000*((Fig2A!R10-(1.75*Fig2A!R23)/15*1*(0.03*20)))</f>
        <v>95.839999999999989</v>
      </c>
      <c r="AD39">
        <f>1000*((Fig2A!AF13-(1.75*Fig2A!AF26)/15*1*(0.109*20)))</f>
        <v>81.364333333333335</v>
      </c>
      <c r="AE39">
        <f>1000*((Fig2A!AI13-(1.75*Fig2A!AI26)/15*1*(0.109*20)))</f>
        <v>120.61866666666666</v>
      </c>
      <c r="AF39">
        <f>1000*((Fig2A!AL13-(1.75*Fig2A!AL26)/15*1*(0.062*20)))</f>
        <v>129.12466666666666</v>
      </c>
      <c r="AH39">
        <f>1000*((Fig2A!AF13-(1.75*Fig2A!AF26)/15*1*(0.109*20)))</f>
        <v>81.364333333333335</v>
      </c>
      <c r="AI39">
        <f>1000*((Fig2A!AI14-(1.75*Fig2A!AI27)/15*1*(0.11*20)))</f>
        <v>474.87333333333333</v>
      </c>
      <c r="AJ39">
        <f>1000*((Fig2A!AL14-(1.75*Fig2A!AL27)/15*1*(0.044*20)))</f>
        <v>124.24666666666667</v>
      </c>
    </row>
    <row r="40" spans="1:36" x14ac:dyDescent="0.25">
      <c r="A40" s="2" t="s">
        <v>9</v>
      </c>
      <c r="B40" s="2">
        <f>AVERAGE(B37:B39)</f>
        <v>70.644666666666666</v>
      </c>
      <c r="C40" s="2">
        <f>AVERAGE(C37:C39)</f>
        <v>204.04600000000002</v>
      </c>
      <c r="D40" s="2">
        <f>AVERAGE(D37:D39)</f>
        <v>118.19444444444444</v>
      </c>
      <c r="F40" s="2">
        <f>AVERAGE(F37:F39)</f>
        <v>70.644666666666666</v>
      </c>
      <c r="G40" s="2">
        <f>AVERAGE(G37:G39)</f>
        <v>689.74166666666667</v>
      </c>
      <c r="H40" s="2">
        <f>AVERAGE(H37:H39)</f>
        <v>211</v>
      </c>
      <c r="O40" s="2" t="s">
        <v>9</v>
      </c>
      <c r="P40" s="2">
        <f>AVERAGE(P37:P39)</f>
        <v>81.62222222222222</v>
      </c>
      <c r="Q40" s="2">
        <f>AVERAGE(Q37:Q39)</f>
        <v>163.58888888888887</v>
      </c>
      <c r="R40" s="2">
        <f>AVERAGE(R37:R39)</f>
        <v>98.848888888888879</v>
      </c>
      <c r="T40" s="2">
        <f>AVERAGE(T37:T39)</f>
        <v>81.62222222222222</v>
      </c>
      <c r="U40" s="2">
        <f>AVERAGE(U37:U39)</f>
        <v>213.51777777777781</v>
      </c>
      <c r="V40" s="2">
        <f>AVERAGE(V37:V39)</f>
        <v>95.816666666666663</v>
      </c>
      <c r="AC40" s="2" t="s">
        <v>9</v>
      </c>
      <c r="AD40" s="2">
        <f>AVERAGE(AD37:AD39)</f>
        <v>81.11577777777778</v>
      </c>
      <c r="AE40" s="2">
        <f>AVERAGE(AE37:AE39)</f>
        <v>122.85566666666666</v>
      </c>
      <c r="AF40" s="2">
        <f>AVERAGE(AF37:AF39)</f>
        <v>128.26933333333332</v>
      </c>
      <c r="AH40" s="2">
        <f>AVERAGE(AH37:AH39)</f>
        <v>81.11577777777778</v>
      </c>
      <c r="AI40" s="2">
        <f>AVERAGE(AI37:AI39)</f>
        <v>469.37777777777774</v>
      </c>
      <c r="AJ40" s="2">
        <f>AVERAGE(AJ37:AJ39)</f>
        <v>119.09333333333335</v>
      </c>
    </row>
    <row r="41" spans="1:36" x14ac:dyDescent="0.25">
      <c r="A41" s="2" t="s">
        <v>44</v>
      </c>
      <c r="B41" s="2">
        <f>B40/C40</f>
        <v>0.34621931655933791</v>
      </c>
      <c r="C41" s="2">
        <f>C40/C40</f>
        <v>1</v>
      </c>
      <c r="D41" s="2">
        <f>D40/C40</f>
        <v>0.57925391551142602</v>
      </c>
      <c r="F41" s="2">
        <f>F40/G40</f>
        <v>0.1024219212507098</v>
      </c>
      <c r="G41" s="2">
        <f>G40/G40</f>
        <v>1</v>
      </c>
      <c r="H41" s="2">
        <f>H40/G40</f>
        <v>0.30591163358262152</v>
      </c>
      <c r="O41" s="2" t="s">
        <v>44</v>
      </c>
      <c r="P41" s="2">
        <f>P40/Q40</f>
        <v>0.49894722542959996</v>
      </c>
      <c r="Q41" s="2">
        <f>Q40/Q40</f>
        <v>1</v>
      </c>
      <c r="R41" s="2">
        <f>R40/Q40</f>
        <v>0.60425185084561572</v>
      </c>
      <c r="T41" s="2">
        <f>T40/U40</f>
        <v>0.38227365923212214</v>
      </c>
      <c r="U41" s="2">
        <f>U40/U40</f>
        <v>1</v>
      </c>
      <c r="V41" s="2">
        <f>V40/U40</f>
        <v>0.44875264094584882</v>
      </c>
      <c r="AC41" s="2" t="s">
        <v>44</v>
      </c>
      <c r="AD41" s="2">
        <f>AD40/AE40</f>
        <v>0.66025263611048557</v>
      </c>
      <c r="AE41" s="2">
        <f>AE40/AE40</f>
        <v>1</v>
      </c>
      <c r="AF41" s="2">
        <f>AF40/AE40</f>
        <v>1.0440652581484506</v>
      </c>
      <c r="AH41" s="2">
        <f>AH40/AI40</f>
        <v>0.17281554777009756</v>
      </c>
      <c r="AI41" s="2">
        <f>AI40/AI40</f>
        <v>1</v>
      </c>
      <c r="AJ41" s="2">
        <f>AJ40/AI40</f>
        <v>0.25372597291923121</v>
      </c>
    </row>
    <row r="42" spans="1:36" x14ac:dyDescent="0.25">
      <c r="A42" s="2" t="s">
        <v>43</v>
      </c>
      <c r="B42" s="2">
        <f>B40/B40</f>
        <v>1</v>
      </c>
      <c r="C42" s="2">
        <f>C40/B40</f>
        <v>2.8883425972236645</v>
      </c>
      <c r="D42" s="2">
        <f>D40/B40</f>
        <v>1.6730837587802492</v>
      </c>
      <c r="F42" s="2">
        <f>F40/F40</f>
        <v>1</v>
      </c>
      <c r="G42" s="2">
        <f>G40/F40</f>
        <v>9.7635348740645682</v>
      </c>
      <c r="H42" s="2">
        <f>H40/F40</f>
        <v>2.9867789028659866</v>
      </c>
      <c r="O42" s="2" t="s">
        <v>43</v>
      </c>
      <c r="P42" s="2">
        <f>P40/P40</f>
        <v>1</v>
      </c>
      <c r="Q42" s="2">
        <f>Q40/P40</f>
        <v>2.0042199836645791</v>
      </c>
      <c r="R42" s="2">
        <f>R40/P40</f>
        <v>1.2110536346310916</v>
      </c>
      <c r="T42" s="2">
        <f>T40/T40</f>
        <v>1</v>
      </c>
      <c r="U42" s="2">
        <f>U40/T40</f>
        <v>2.615927035121155</v>
      </c>
      <c r="V42" s="2">
        <f>V40/T40</f>
        <v>1.1739041655322624</v>
      </c>
      <c r="AC42" s="2" t="s">
        <v>43</v>
      </c>
      <c r="AD42" s="2">
        <f>AD40/AD40</f>
        <v>1</v>
      </c>
      <c r="AE42" s="2">
        <f>AE40/AD40</f>
        <v>1.514571764364242</v>
      </c>
      <c r="AF42" s="2">
        <f>AF40/AD40</f>
        <v>1.5813117601453066</v>
      </c>
      <c r="AH42" s="2">
        <f>AH40/AH40</f>
        <v>1</v>
      </c>
      <c r="AI42" s="2">
        <f>AI40/AH40</f>
        <v>5.7865163922075711</v>
      </c>
      <c r="AJ42" s="2">
        <f>AJ40/AH40</f>
        <v>1.4681895014259454</v>
      </c>
    </row>
    <row r="43" spans="1:36" x14ac:dyDescent="0.25">
      <c r="A43" s="2" t="s">
        <v>42</v>
      </c>
      <c r="B43" s="2">
        <f>B40-B40</f>
        <v>0</v>
      </c>
      <c r="C43" s="2">
        <f>C40-B40</f>
        <v>133.40133333333335</v>
      </c>
      <c r="D43" s="2">
        <f>D40-B40</f>
        <v>47.549777777777777</v>
      </c>
      <c r="F43" s="2">
        <f>F40-F40</f>
        <v>0</v>
      </c>
      <c r="G43" s="2">
        <f>G40-F40</f>
        <v>619.09699999999998</v>
      </c>
      <c r="H43" s="2">
        <f>H40-F40</f>
        <v>140.35533333333333</v>
      </c>
      <c r="O43" s="2" t="s">
        <v>42</v>
      </c>
      <c r="P43" s="2">
        <f>P40-P40</f>
        <v>0</v>
      </c>
      <c r="Q43" s="2">
        <f>Q40-P40</f>
        <v>81.966666666666654</v>
      </c>
      <c r="R43" s="2">
        <f>R40-P40</f>
        <v>17.226666666666659</v>
      </c>
      <c r="T43" s="2">
        <f>T40-T40</f>
        <v>0</v>
      </c>
      <c r="U43" s="2">
        <f>U40-T40</f>
        <v>131.89555555555557</v>
      </c>
      <c r="V43" s="2">
        <f>V40-T40</f>
        <v>14.194444444444443</v>
      </c>
      <c r="AC43" s="2" t="s">
        <v>42</v>
      </c>
      <c r="AD43" s="2">
        <f>AD40-AD40</f>
        <v>0</v>
      </c>
      <c r="AE43" s="2">
        <f>AE40-AD40</f>
        <v>41.739888888888885</v>
      </c>
      <c r="AF43" s="2">
        <f>AF40-AD40</f>
        <v>47.153555555555542</v>
      </c>
      <c r="AH43" s="2">
        <f>AH40-AH40</f>
        <v>0</v>
      </c>
      <c r="AI43" s="2">
        <f>AI40-AH40</f>
        <v>388.26199999999994</v>
      </c>
      <c r="AJ43" s="2">
        <f>AJ40-AH40</f>
        <v>37.977555555555568</v>
      </c>
    </row>
    <row r="44" spans="1:36" x14ac:dyDescent="0.25">
      <c r="A44" s="2" t="s">
        <v>41</v>
      </c>
      <c r="B44" s="2"/>
      <c r="C44" s="2">
        <f>C43/C43</f>
        <v>1</v>
      </c>
      <c r="D44" s="2">
        <f>D43/C43</f>
        <v>0.35644154814377993</v>
      </c>
      <c r="F44" s="2"/>
      <c r="G44" s="2">
        <f>G43/G43</f>
        <v>1</v>
      </c>
      <c r="H44" s="2">
        <f>H43/G43</f>
        <v>0.22670976169054824</v>
      </c>
      <c r="O44" s="2" t="s">
        <v>41</v>
      </c>
      <c r="P44" s="2"/>
      <c r="Q44" s="2">
        <f>Q43/Q43</f>
        <v>1</v>
      </c>
      <c r="R44" s="2">
        <f>R43/Q43</f>
        <v>0.21016673444489625</v>
      </c>
      <c r="T44" s="2"/>
      <c r="U44" s="2">
        <f>U43/U43</f>
        <v>1</v>
      </c>
      <c r="V44" s="2">
        <f>V43/U43</f>
        <v>0.10761882297440734</v>
      </c>
      <c r="AC44" s="2" t="s">
        <v>41</v>
      </c>
      <c r="AD44" s="2"/>
      <c r="AE44" s="2">
        <f>AE43/AE43</f>
        <v>1</v>
      </c>
      <c r="AF44" s="2">
        <f>AF43/AE43</f>
        <v>1.1297000737370859</v>
      </c>
      <c r="AH44" s="2"/>
      <c r="AI44" s="2">
        <f>AI43/AI43</f>
        <v>1</v>
      </c>
      <c r="AJ44" s="2">
        <f>AJ43/AI43</f>
        <v>9.7814247996341572E-2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4771E-666C-4928-8F45-8F1494829D44}">
  <dimension ref="A1:W25"/>
  <sheetViews>
    <sheetView workbookViewId="0">
      <selection activeCell="F3" sqref="F3"/>
    </sheetView>
  </sheetViews>
  <sheetFormatPr baseColWidth="10" defaultRowHeight="15" x14ac:dyDescent="0.25"/>
  <sheetData>
    <row r="1" spans="1:23" x14ac:dyDescent="0.25">
      <c r="A1" t="s">
        <v>0</v>
      </c>
      <c r="B1" t="s">
        <v>56</v>
      </c>
    </row>
    <row r="2" spans="1:23" x14ac:dyDescent="0.25">
      <c r="B2" t="s">
        <v>55</v>
      </c>
    </row>
    <row r="3" spans="1:23" x14ac:dyDescent="0.25">
      <c r="B3" t="s">
        <v>62</v>
      </c>
    </row>
    <row r="7" spans="1:23" x14ac:dyDescent="0.25">
      <c r="A7" s="1" t="s">
        <v>57</v>
      </c>
    </row>
    <row r="8" spans="1:23" x14ac:dyDescent="0.25">
      <c r="B8">
        <v>8640</v>
      </c>
      <c r="J8" s="1" t="s">
        <v>60</v>
      </c>
      <c r="R8" s="1" t="s">
        <v>61</v>
      </c>
    </row>
    <row r="10" spans="1:23" x14ac:dyDescent="0.25">
      <c r="A10" s="30">
        <v>45926</v>
      </c>
      <c r="B10">
        <v>1</v>
      </c>
      <c r="C10">
        <v>2</v>
      </c>
      <c r="D10">
        <v>3</v>
      </c>
      <c r="E10">
        <v>4</v>
      </c>
      <c r="F10">
        <v>5</v>
      </c>
      <c r="G10">
        <v>6</v>
      </c>
      <c r="J10">
        <v>1</v>
      </c>
      <c r="K10">
        <v>2</v>
      </c>
      <c r="L10">
        <v>3</v>
      </c>
      <c r="M10">
        <v>4</v>
      </c>
      <c r="N10">
        <v>5</v>
      </c>
      <c r="O10">
        <v>6</v>
      </c>
      <c r="R10">
        <v>1</v>
      </c>
      <c r="S10">
        <v>2</v>
      </c>
      <c r="T10">
        <v>3</v>
      </c>
      <c r="U10">
        <v>4</v>
      </c>
      <c r="V10">
        <v>5</v>
      </c>
      <c r="W10">
        <v>6</v>
      </c>
    </row>
    <row r="11" spans="1:23" x14ac:dyDescent="0.25">
      <c r="A11" s="1" t="s">
        <v>58</v>
      </c>
      <c r="B11">
        <v>69.8</v>
      </c>
      <c r="C11">
        <v>74.400000000000006</v>
      </c>
      <c r="D11">
        <v>66.900000000000006</v>
      </c>
      <c r="E11">
        <v>70.3</v>
      </c>
      <c r="F11">
        <v>76.900000000000006</v>
      </c>
      <c r="G11">
        <v>70.099999999999994</v>
      </c>
      <c r="I11" s="1" t="s">
        <v>58</v>
      </c>
      <c r="J11">
        <v>255</v>
      </c>
      <c r="K11">
        <v>596</v>
      </c>
      <c r="L11">
        <v>404</v>
      </c>
      <c r="M11">
        <v>412</v>
      </c>
      <c r="N11">
        <v>324</v>
      </c>
      <c r="O11">
        <v>1165</v>
      </c>
      <c r="Q11" s="1" t="s">
        <v>58</v>
      </c>
      <c r="R11">
        <v>378</v>
      </c>
      <c r="S11">
        <v>172</v>
      </c>
      <c r="T11">
        <v>202</v>
      </c>
      <c r="U11">
        <v>157</v>
      </c>
      <c r="V11">
        <v>167</v>
      </c>
      <c r="W11">
        <v>521</v>
      </c>
    </row>
    <row r="12" spans="1:23" x14ac:dyDescent="0.25">
      <c r="I12" s="1" t="s">
        <v>59</v>
      </c>
      <c r="J12">
        <f t="shared" ref="J12:O12" si="0">J11-B11</f>
        <v>185.2</v>
      </c>
      <c r="K12">
        <f t="shared" si="0"/>
        <v>521.6</v>
      </c>
      <c r="L12">
        <f t="shared" si="0"/>
        <v>337.1</v>
      </c>
      <c r="M12">
        <f t="shared" si="0"/>
        <v>341.7</v>
      </c>
      <c r="N12">
        <f t="shared" si="0"/>
        <v>247.1</v>
      </c>
      <c r="O12">
        <f t="shared" si="0"/>
        <v>1094.9000000000001</v>
      </c>
      <c r="Q12" s="1" t="s">
        <v>59</v>
      </c>
      <c r="R12">
        <f t="shared" ref="R12:W12" si="1">R11-B11</f>
        <v>308.2</v>
      </c>
      <c r="S12">
        <f t="shared" si="1"/>
        <v>97.6</v>
      </c>
      <c r="T12">
        <f t="shared" si="1"/>
        <v>135.1</v>
      </c>
      <c r="U12">
        <f t="shared" si="1"/>
        <v>86.7</v>
      </c>
      <c r="V12">
        <f t="shared" si="1"/>
        <v>90.1</v>
      </c>
      <c r="W12">
        <f t="shared" si="1"/>
        <v>450.9</v>
      </c>
    </row>
    <row r="13" spans="1:23" x14ac:dyDescent="0.25">
      <c r="A13" s="1"/>
      <c r="I13" s="1"/>
      <c r="Q13" s="1"/>
    </row>
    <row r="16" spans="1:23" x14ac:dyDescent="0.25">
      <c r="A16" s="30">
        <v>45940</v>
      </c>
      <c r="B16">
        <v>1</v>
      </c>
      <c r="C16">
        <v>2</v>
      </c>
      <c r="D16">
        <v>3</v>
      </c>
      <c r="E16">
        <v>4</v>
      </c>
      <c r="F16">
        <v>5</v>
      </c>
      <c r="G16">
        <v>6</v>
      </c>
      <c r="J16">
        <v>1</v>
      </c>
      <c r="K16">
        <v>2</v>
      </c>
      <c r="L16">
        <v>3</v>
      </c>
      <c r="M16">
        <v>4</v>
      </c>
      <c r="N16">
        <v>5</v>
      </c>
      <c r="O16">
        <v>6</v>
      </c>
      <c r="R16">
        <v>1</v>
      </c>
      <c r="S16">
        <v>2</v>
      </c>
      <c r="T16">
        <v>3</v>
      </c>
      <c r="U16">
        <v>4</v>
      </c>
      <c r="V16">
        <v>5</v>
      </c>
      <c r="W16">
        <v>6</v>
      </c>
    </row>
    <row r="17" spans="1:23" x14ac:dyDescent="0.25">
      <c r="A17" s="1" t="s">
        <v>58</v>
      </c>
      <c r="B17">
        <v>122</v>
      </c>
      <c r="C17">
        <v>79.099999999999994</v>
      </c>
      <c r="D17">
        <v>94.4</v>
      </c>
      <c r="E17">
        <v>88.1</v>
      </c>
      <c r="F17">
        <v>71.099999999999994</v>
      </c>
      <c r="G17">
        <v>66.5</v>
      </c>
      <c r="I17" s="1" t="s">
        <v>58</v>
      </c>
      <c r="J17">
        <v>234</v>
      </c>
      <c r="K17">
        <v>267</v>
      </c>
      <c r="L17">
        <v>316</v>
      </c>
      <c r="M17">
        <v>252</v>
      </c>
      <c r="N17">
        <v>161</v>
      </c>
      <c r="O17">
        <v>876</v>
      </c>
      <c r="Q17" s="1" t="s">
        <v>58</v>
      </c>
      <c r="R17">
        <v>181</v>
      </c>
      <c r="S17">
        <v>123</v>
      </c>
      <c r="T17">
        <v>174</v>
      </c>
      <c r="U17">
        <v>202</v>
      </c>
      <c r="V17">
        <v>206</v>
      </c>
      <c r="W17">
        <v>402</v>
      </c>
    </row>
    <row r="18" spans="1:23" x14ac:dyDescent="0.25">
      <c r="I18" s="1" t="s">
        <v>59</v>
      </c>
      <c r="J18">
        <f t="shared" ref="J18:O18" si="2">J17-B17</f>
        <v>112</v>
      </c>
      <c r="K18">
        <f t="shared" si="2"/>
        <v>187.9</v>
      </c>
      <c r="L18">
        <f t="shared" si="2"/>
        <v>221.6</v>
      </c>
      <c r="M18">
        <f t="shared" si="2"/>
        <v>163.9</v>
      </c>
      <c r="N18">
        <f t="shared" si="2"/>
        <v>89.9</v>
      </c>
      <c r="O18">
        <f t="shared" si="2"/>
        <v>809.5</v>
      </c>
      <c r="Q18" s="1" t="s">
        <v>59</v>
      </c>
      <c r="R18">
        <f t="shared" ref="R18:W18" si="3">R17-B17</f>
        <v>59</v>
      </c>
      <c r="S18">
        <f t="shared" si="3"/>
        <v>43.900000000000006</v>
      </c>
      <c r="T18">
        <f t="shared" si="3"/>
        <v>79.599999999999994</v>
      </c>
      <c r="U18">
        <f t="shared" si="3"/>
        <v>113.9</v>
      </c>
      <c r="V18">
        <f t="shared" si="3"/>
        <v>134.9</v>
      </c>
      <c r="W18">
        <f t="shared" si="3"/>
        <v>335.5</v>
      </c>
    </row>
    <row r="19" spans="1:23" x14ac:dyDescent="0.25">
      <c r="A19" s="1"/>
      <c r="I19" s="1"/>
      <c r="Q19" s="1"/>
    </row>
    <row r="22" spans="1:23" x14ac:dyDescent="0.25">
      <c r="A22" s="30">
        <v>45947</v>
      </c>
      <c r="B22">
        <v>1</v>
      </c>
      <c r="C22">
        <v>2</v>
      </c>
      <c r="D22">
        <v>3</v>
      </c>
      <c r="E22">
        <v>4</v>
      </c>
      <c r="F22">
        <v>5</v>
      </c>
      <c r="G22">
        <v>6</v>
      </c>
      <c r="J22">
        <v>1</v>
      </c>
      <c r="K22">
        <v>2</v>
      </c>
      <c r="L22">
        <v>3</v>
      </c>
      <c r="M22">
        <v>4</v>
      </c>
      <c r="N22">
        <v>5</v>
      </c>
      <c r="O22">
        <v>6</v>
      </c>
      <c r="R22">
        <v>1</v>
      </c>
      <c r="S22">
        <v>2</v>
      </c>
      <c r="T22">
        <v>3</v>
      </c>
      <c r="U22">
        <v>4</v>
      </c>
      <c r="V22">
        <v>5</v>
      </c>
      <c r="W22">
        <v>6</v>
      </c>
    </row>
    <row r="23" spans="1:23" x14ac:dyDescent="0.25">
      <c r="A23" s="1" t="s">
        <v>58</v>
      </c>
      <c r="B23">
        <v>81.7</v>
      </c>
      <c r="C23">
        <v>77.400000000000006</v>
      </c>
      <c r="D23">
        <v>63.8</v>
      </c>
      <c r="E23">
        <v>66.099999999999994</v>
      </c>
      <c r="F23">
        <v>62.6</v>
      </c>
      <c r="G23">
        <v>65.3</v>
      </c>
      <c r="I23" s="1" t="s">
        <v>58</v>
      </c>
      <c r="J23">
        <v>492</v>
      </c>
      <c r="K23">
        <v>443</v>
      </c>
      <c r="L23">
        <v>366</v>
      </c>
      <c r="M23">
        <v>448</v>
      </c>
      <c r="N23">
        <v>375</v>
      </c>
      <c r="O23">
        <v>1300</v>
      </c>
      <c r="Q23" s="1" t="s">
        <v>58</v>
      </c>
      <c r="R23">
        <v>212</v>
      </c>
      <c r="S23">
        <v>182</v>
      </c>
      <c r="T23">
        <v>147</v>
      </c>
      <c r="U23">
        <v>178</v>
      </c>
      <c r="V23">
        <v>144</v>
      </c>
      <c r="W23">
        <v>380</v>
      </c>
    </row>
    <row r="24" spans="1:23" x14ac:dyDescent="0.25">
      <c r="I24" s="1" t="s">
        <v>59</v>
      </c>
      <c r="J24">
        <f t="shared" ref="J24:O24" si="4">J23-B23</f>
        <v>410.3</v>
      </c>
      <c r="K24">
        <f t="shared" si="4"/>
        <v>365.6</v>
      </c>
      <c r="L24">
        <f t="shared" si="4"/>
        <v>302.2</v>
      </c>
      <c r="M24">
        <f t="shared" si="4"/>
        <v>381.9</v>
      </c>
      <c r="N24">
        <f t="shared" si="4"/>
        <v>312.39999999999998</v>
      </c>
      <c r="O24">
        <f t="shared" si="4"/>
        <v>1234.7</v>
      </c>
      <c r="Q24" s="1" t="s">
        <v>59</v>
      </c>
      <c r="R24">
        <f t="shared" ref="R24:W24" si="5">R23-B23</f>
        <v>130.30000000000001</v>
      </c>
      <c r="S24">
        <f t="shared" si="5"/>
        <v>104.6</v>
      </c>
      <c r="T24">
        <f t="shared" si="5"/>
        <v>83.2</v>
      </c>
      <c r="U24">
        <f t="shared" si="5"/>
        <v>111.9</v>
      </c>
      <c r="V24">
        <f t="shared" si="5"/>
        <v>81.400000000000006</v>
      </c>
      <c r="W24">
        <f t="shared" si="5"/>
        <v>314.7</v>
      </c>
    </row>
    <row r="25" spans="1:23" x14ac:dyDescent="0.25">
      <c r="A25" s="1"/>
      <c r="I25" s="1"/>
      <c r="Q25" s="1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2B956-99C8-49EA-A98E-D8F29AF8A4E5}">
  <dimension ref="A1:Q69"/>
  <sheetViews>
    <sheetView topLeftCell="A13" workbookViewId="0">
      <selection activeCell="R23" sqref="R23:R104"/>
    </sheetView>
  </sheetViews>
  <sheetFormatPr baseColWidth="10" defaultRowHeight="15" x14ac:dyDescent="0.25"/>
  <sheetData>
    <row r="1" spans="1:17" x14ac:dyDescent="0.25">
      <c r="A1" t="s">
        <v>0</v>
      </c>
      <c r="B1" t="s">
        <v>1</v>
      </c>
    </row>
    <row r="2" spans="1:17" x14ac:dyDescent="0.25">
      <c r="B2" t="s">
        <v>2</v>
      </c>
    </row>
    <row r="7" spans="1:17" x14ac:dyDescent="0.25">
      <c r="A7" s="1" t="s">
        <v>63</v>
      </c>
      <c r="G7" s="1" t="s">
        <v>63</v>
      </c>
      <c r="M7" s="1" t="s">
        <v>63</v>
      </c>
    </row>
    <row r="9" spans="1:17" x14ac:dyDescent="0.25">
      <c r="A9" t="s">
        <v>64</v>
      </c>
      <c r="B9" t="s">
        <v>65</v>
      </c>
      <c r="D9" t="s">
        <v>66</v>
      </c>
      <c r="E9" t="s">
        <v>67</v>
      </c>
      <c r="G9" t="s">
        <v>64</v>
      </c>
      <c r="H9" t="s">
        <v>65</v>
      </c>
      <c r="J9" t="s">
        <v>66</v>
      </c>
      <c r="K9" t="s">
        <v>67</v>
      </c>
      <c r="M9" t="s">
        <v>64</v>
      </c>
      <c r="N9" t="s">
        <v>65</v>
      </c>
      <c r="P9" t="s">
        <v>66</v>
      </c>
      <c r="Q9" t="s">
        <v>67</v>
      </c>
    </row>
    <row r="11" spans="1:17" x14ac:dyDescent="0.25">
      <c r="A11" t="s">
        <v>68</v>
      </c>
      <c r="B11" t="s">
        <v>68</v>
      </c>
      <c r="D11" t="s">
        <v>68</v>
      </c>
      <c r="E11" t="s">
        <v>68</v>
      </c>
      <c r="G11" t="s">
        <v>68</v>
      </c>
      <c r="H11" t="s">
        <v>68</v>
      </c>
      <c r="J11" t="s">
        <v>68</v>
      </c>
      <c r="K11" t="s">
        <v>68</v>
      </c>
      <c r="M11" t="s">
        <v>68</v>
      </c>
      <c r="N11" t="s">
        <v>68</v>
      </c>
      <c r="P11" t="s">
        <v>68</v>
      </c>
      <c r="Q11" t="s">
        <v>68</v>
      </c>
    </row>
    <row r="13" spans="1:17" x14ac:dyDescent="0.25">
      <c r="A13">
        <v>20.213000000000001</v>
      </c>
      <c r="B13">
        <v>21.402000000000001</v>
      </c>
      <c r="D13">
        <v>19.638999999999999</v>
      </c>
      <c r="E13">
        <v>20.045000000000002</v>
      </c>
      <c r="G13">
        <v>19.567</v>
      </c>
      <c r="H13">
        <v>20.475000000000001</v>
      </c>
      <c r="J13">
        <v>19.48</v>
      </c>
      <c r="K13">
        <v>18.963000000000001</v>
      </c>
      <c r="M13">
        <v>21.67</v>
      </c>
      <c r="N13">
        <v>22.559000000000001</v>
      </c>
      <c r="P13">
        <v>19.123000000000001</v>
      </c>
      <c r="Q13">
        <v>20.556000000000001</v>
      </c>
    </row>
    <row r="14" spans="1:17" x14ac:dyDescent="0.25">
      <c r="A14">
        <v>20.260999999999999</v>
      </c>
      <c r="B14">
        <v>21.507000000000001</v>
      </c>
      <c r="D14">
        <v>19.779</v>
      </c>
      <c r="E14">
        <v>20.428000000000001</v>
      </c>
      <c r="G14">
        <v>19.309000000000001</v>
      </c>
      <c r="H14">
        <v>20.648</v>
      </c>
      <c r="J14">
        <v>19.925999999999998</v>
      </c>
      <c r="K14">
        <v>19.817</v>
      </c>
      <c r="M14">
        <v>21.734000000000002</v>
      </c>
      <c r="N14">
        <v>22.617999999999999</v>
      </c>
      <c r="P14">
        <v>19.562000000000001</v>
      </c>
      <c r="Q14">
        <v>20.971</v>
      </c>
    </row>
    <row r="17" spans="1:17" x14ac:dyDescent="0.25">
      <c r="A17" t="s">
        <v>69</v>
      </c>
      <c r="B17" t="s">
        <v>69</v>
      </c>
      <c r="D17" t="s">
        <v>69</v>
      </c>
      <c r="E17" t="s">
        <v>69</v>
      </c>
      <c r="G17" t="s">
        <v>69</v>
      </c>
      <c r="H17" t="s">
        <v>69</v>
      </c>
      <c r="J17" t="s">
        <v>69</v>
      </c>
      <c r="K17" t="s">
        <v>69</v>
      </c>
      <c r="M17" t="s">
        <v>69</v>
      </c>
      <c r="N17" t="s">
        <v>69</v>
      </c>
      <c r="P17" t="s">
        <v>69</v>
      </c>
      <c r="Q17" t="s">
        <v>69</v>
      </c>
    </row>
    <row r="19" spans="1:17" x14ac:dyDescent="0.25">
      <c r="A19">
        <v>19.184999999999999</v>
      </c>
      <c r="B19">
        <v>19.975000000000001</v>
      </c>
      <c r="D19">
        <v>19.681999999999999</v>
      </c>
      <c r="E19">
        <v>18.936</v>
      </c>
      <c r="G19">
        <v>17.97</v>
      </c>
      <c r="H19">
        <v>20.07</v>
      </c>
      <c r="J19">
        <v>19.085000000000001</v>
      </c>
      <c r="K19">
        <v>18.224</v>
      </c>
      <c r="M19">
        <v>20.997</v>
      </c>
      <c r="N19">
        <v>21.122</v>
      </c>
      <c r="P19">
        <v>19.364999999999998</v>
      </c>
      <c r="Q19">
        <v>19.294</v>
      </c>
    </row>
    <row r="20" spans="1:17" x14ac:dyDescent="0.25">
      <c r="A20">
        <v>20.555</v>
      </c>
      <c r="B20">
        <v>20.867000000000001</v>
      </c>
      <c r="D20">
        <v>19.88</v>
      </c>
      <c r="E20">
        <v>18.969000000000001</v>
      </c>
      <c r="G20">
        <v>18.218</v>
      </c>
      <c r="H20">
        <v>20.152999999999999</v>
      </c>
      <c r="J20">
        <v>18.527999999999999</v>
      </c>
      <c r="K20">
        <v>19.309999999999999</v>
      </c>
      <c r="M20">
        <v>21.122</v>
      </c>
      <c r="N20">
        <v>21.210999999999999</v>
      </c>
      <c r="P20">
        <v>19.326000000000001</v>
      </c>
      <c r="Q20">
        <v>19.928999999999998</v>
      </c>
    </row>
    <row r="23" spans="1:17" x14ac:dyDescent="0.25">
      <c r="A23" s="1" t="s">
        <v>73</v>
      </c>
      <c r="G23" s="1" t="s">
        <v>73</v>
      </c>
      <c r="M23" s="1" t="s">
        <v>73</v>
      </c>
    </row>
    <row r="25" spans="1:17" x14ac:dyDescent="0.25">
      <c r="A25" t="s">
        <v>64</v>
      </c>
      <c r="B25" t="s">
        <v>65</v>
      </c>
      <c r="D25" t="s">
        <v>66</v>
      </c>
      <c r="E25" t="s">
        <v>67</v>
      </c>
      <c r="G25" t="s">
        <v>64</v>
      </c>
      <c r="H25" t="s">
        <v>65</v>
      </c>
      <c r="J25" t="s">
        <v>66</v>
      </c>
      <c r="K25" t="s">
        <v>67</v>
      </c>
      <c r="M25" t="s">
        <v>64</v>
      </c>
      <c r="N25" t="s">
        <v>65</v>
      </c>
      <c r="P25" t="s">
        <v>66</v>
      </c>
      <c r="Q25" t="s">
        <v>67</v>
      </c>
    </row>
    <row r="27" spans="1:17" x14ac:dyDescent="0.25">
      <c r="A27" t="s">
        <v>68</v>
      </c>
      <c r="B27" t="s">
        <v>68</v>
      </c>
      <c r="D27" t="s">
        <v>68</v>
      </c>
      <c r="E27" t="s">
        <v>68</v>
      </c>
      <c r="G27" t="s">
        <v>68</v>
      </c>
      <c r="H27" t="s">
        <v>68</v>
      </c>
      <c r="J27" t="s">
        <v>68</v>
      </c>
      <c r="K27" t="s">
        <v>68</v>
      </c>
      <c r="M27" t="s">
        <v>68</v>
      </c>
      <c r="N27" t="s">
        <v>68</v>
      </c>
      <c r="P27" t="s">
        <v>68</v>
      </c>
      <c r="Q27" t="s">
        <v>68</v>
      </c>
    </row>
    <row r="29" spans="1:17" x14ac:dyDescent="0.25">
      <c r="A29">
        <f>AVERAGE(Fig2D!A13:A14)</f>
        <v>20.237000000000002</v>
      </c>
      <c r="B29">
        <f>AVERAGE(Fig2D!B13:B14)</f>
        <v>21.454500000000003</v>
      </c>
      <c r="D29">
        <f>AVERAGE(Fig2D!D13:D14)</f>
        <v>19.709</v>
      </c>
      <c r="E29">
        <f>AVERAGE(Fig2D!E13:E14)</f>
        <v>20.236499999999999</v>
      </c>
      <c r="G29">
        <f>AVERAGE(Fig2D!G13:G14)</f>
        <v>19.438000000000002</v>
      </c>
      <c r="H29">
        <f>AVERAGE(Fig2D!H13:H14)</f>
        <v>20.561500000000002</v>
      </c>
      <c r="J29">
        <f>AVERAGE(Fig2D!J13:J14)</f>
        <v>19.702999999999999</v>
      </c>
      <c r="K29">
        <f>AVERAGE(Fig2D!K13:K14)</f>
        <v>19.39</v>
      </c>
      <c r="M29">
        <f>AVERAGE(Fig2D!M13:M14)</f>
        <v>21.702000000000002</v>
      </c>
      <c r="N29">
        <f>AVERAGE(Fig2D!N13:N14)</f>
        <v>22.5885</v>
      </c>
      <c r="P29">
        <f>AVERAGE(Fig2D!P13:P14)</f>
        <v>19.342500000000001</v>
      </c>
      <c r="Q29">
        <f>AVERAGE(Fig2D!Q13:Q14)</f>
        <v>20.763500000000001</v>
      </c>
    </row>
    <row r="33" spans="1:17" x14ac:dyDescent="0.25">
      <c r="A33" t="s">
        <v>69</v>
      </c>
      <c r="B33" t="s">
        <v>69</v>
      </c>
      <c r="D33" t="s">
        <v>69</v>
      </c>
      <c r="E33" t="s">
        <v>69</v>
      </c>
      <c r="G33" t="s">
        <v>69</v>
      </c>
      <c r="H33" t="s">
        <v>69</v>
      </c>
      <c r="J33" t="s">
        <v>69</v>
      </c>
      <c r="K33" t="s">
        <v>69</v>
      </c>
      <c r="M33" t="s">
        <v>69</v>
      </c>
      <c r="N33" t="s">
        <v>69</v>
      </c>
      <c r="P33" t="s">
        <v>69</v>
      </c>
      <c r="Q33" t="s">
        <v>69</v>
      </c>
    </row>
    <row r="35" spans="1:17" x14ac:dyDescent="0.25">
      <c r="A35">
        <f>AVERAGE(Fig2D!A19:A20)</f>
        <v>19.869999999999997</v>
      </c>
      <c r="B35">
        <f>AVERAGE(Fig2D!B19:B20)</f>
        <v>20.420999999999999</v>
      </c>
      <c r="D35">
        <f>AVERAGE(Fig2D!D19:D20)</f>
        <v>19.780999999999999</v>
      </c>
      <c r="E35">
        <f>AVERAGE(Fig2D!E19:E20)</f>
        <v>18.952500000000001</v>
      </c>
      <c r="G35">
        <f>AVERAGE(Fig2D!G19:G20)</f>
        <v>18.094000000000001</v>
      </c>
      <c r="H35">
        <f>AVERAGE(Fig2D!H19:H20)</f>
        <v>20.111499999999999</v>
      </c>
      <c r="J35">
        <f>AVERAGE(Fig2D!J19:J20)</f>
        <v>18.8065</v>
      </c>
      <c r="K35">
        <f>AVERAGE(Fig2D!K19:K20)</f>
        <v>18.766999999999999</v>
      </c>
      <c r="M35">
        <f>AVERAGE(Fig2D!M19:M20)</f>
        <v>21.0595</v>
      </c>
      <c r="N35">
        <f>AVERAGE(Fig2D!N19:N20)</f>
        <v>21.166499999999999</v>
      </c>
      <c r="P35">
        <f>AVERAGE(Fig2D!P19:P20)</f>
        <v>19.345500000000001</v>
      </c>
      <c r="Q35">
        <f>AVERAGE(Fig2D!Q19:Q20)</f>
        <v>19.611499999999999</v>
      </c>
    </row>
    <row r="41" spans="1:17" x14ac:dyDescent="0.25">
      <c r="A41" s="1" t="s">
        <v>72</v>
      </c>
      <c r="G41" s="1" t="s">
        <v>72</v>
      </c>
      <c r="M41" s="1" t="s">
        <v>72</v>
      </c>
    </row>
    <row r="43" spans="1:17" x14ac:dyDescent="0.25">
      <c r="A43" t="s">
        <v>64</v>
      </c>
      <c r="B43" t="s">
        <v>65</v>
      </c>
      <c r="D43" t="s">
        <v>66</v>
      </c>
      <c r="E43" t="s">
        <v>67</v>
      </c>
      <c r="G43" t="s">
        <v>64</v>
      </c>
      <c r="H43" t="s">
        <v>65</v>
      </c>
      <c r="J43" t="s">
        <v>66</v>
      </c>
      <c r="K43" t="s">
        <v>67</v>
      </c>
      <c r="M43" t="s">
        <v>64</v>
      </c>
      <c r="N43" t="s">
        <v>65</v>
      </c>
      <c r="P43" t="s">
        <v>66</v>
      </c>
      <c r="Q43" t="s">
        <v>67</v>
      </c>
    </row>
    <row r="45" spans="1:17" x14ac:dyDescent="0.25">
      <c r="A45" t="s">
        <v>68</v>
      </c>
      <c r="B45" t="s">
        <v>68</v>
      </c>
      <c r="D45" t="s">
        <v>68</v>
      </c>
      <c r="E45" t="s">
        <v>68</v>
      </c>
      <c r="G45" t="s">
        <v>68</v>
      </c>
      <c r="H45" t="s">
        <v>68</v>
      </c>
      <c r="J45" t="s">
        <v>68</v>
      </c>
      <c r="K45" t="s">
        <v>68</v>
      </c>
      <c r="M45" t="s">
        <v>68</v>
      </c>
      <c r="N45" t="s">
        <v>68</v>
      </c>
      <c r="P45" t="s">
        <v>68</v>
      </c>
      <c r="Q45" t="s">
        <v>68</v>
      </c>
    </row>
    <row r="47" spans="1:17" x14ac:dyDescent="0.25">
      <c r="A47">
        <f>A29-A35</f>
        <v>0.36700000000000443</v>
      </c>
      <c r="B47">
        <f>B29-B35</f>
        <v>1.0335000000000036</v>
      </c>
      <c r="D47">
        <f>D29-D35</f>
        <v>-7.1999999999999176E-2</v>
      </c>
      <c r="E47">
        <f>E29-E35</f>
        <v>1.2839999999999989</v>
      </c>
      <c r="G47">
        <f>G29-G35</f>
        <v>1.3440000000000012</v>
      </c>
      <c r="H47">
        <f>H29-H35</f>
        <v>0.45000000000000284</v>
      </c>
      <c r="J47">
        <f>J29-J35</f>
        <v>0.89649999999999963</v>
      </c>
      <c r="K47">
        <f>K29-K35</f>
        <v>0.62300000000000111</v>
      </c>
      <c r="M47">
        <f>M29-M35</f>
        <v>0.64250000000000185</v>
      </c>
      <c r="N47">
        <f>N29-N35</f>
        <v>1.4220000000000006</v>
      </c>
      <c r="P47">
        <f>P29-P35</f>
        <v>-3.0000000000001137E-3</v>
      </c>
      <c r="Q47">
        <f>Q29-Q35</f>
        <v>1.152000000000001</v>
      </c>
    </row>
    <row r="53" spans="1:17" x14ac:dyDescent="0.25">
      <c r="A53" s="31" t="s">
        <v>71</v>
      </c>
      <c r="G53" s="31" t="s">
        <v>71</v>
      </c>
      <c r="M53" s="31" t="s">
        <v>71</v>
      </c>
    </row>
    <row r="55" spans="1:17" x14ac:dyDescent="0.25">
      <c r="A55" t="s">
        <v>64</v>
      </c>
      <c r="B55" t="s">
        <v>65</v>
      </c>
      <c r="D55" t="s">
        <v>66</v>
      </c>
      <c r="E55" t="s">
        <v>67</v>
      </c>
      <c r="G55" t="s">
        <v>64</v>
      </c>
      <c r="H55" t="s">
        <v>65</v>
      </c>
      <c r="J55" t="s">
        <v>66</v>
      </c>
      <c r="K55" t="s">
        <v>67</v>
      </c>
      <c r="M55" t="s">
        <v>64</v>
      </c>
      <c r="N55" t="s">
        <v>65</v>
      </c>
      <c r="P55" t="s">
        <v>66</v>
      </c>
      <c r="Q55" t="s">
        <v>67</v>
      </c>
    </row>
    <row r="57" spans="1:17" x14ac:dyDescent="0.25">
      <c r="A57" t="s">
        <v>68</v>
      </c>
      <c r="B57" t="s">
        <v>68</v>
      </c>
      <c r="D57" t="s">
        <v>68</v>
      </c>
      <c r="E57" t="s">
        <v>68</v>
      </c>
      <c r="G57" t="s">
        <v>68</v>
      </c>
      <c r="H57" t="s">
        <v>68</v>
      </c>
      <c r="J57" t="s">
        <v>68</v>
      </c>
      <c r="K57" t="s">
        <v>68</v>
      </c>
      <c r="M57" t="s">
        <v>68</v>
      </c>
      <c r="N57" t="s">
        <v>68</v>
      </c>
      <c r="P57" t="s">
        <v>68</v>
      </c>
      <c r="Q57" t="s">
        <v>68</v>
      </c>
    </row>
    <row r="59" spans="1:17" x14ac:dyDescent="0.25">
      <c r="A59">
        <f>A47-A47</f>
        <v>0</v>
      </c>
      <c r="B59">
        <f>A47-B47</f>
        <v>-0.6664999999999992</v>
      </c>
      <c r="D59">
        <f>A47-D47</f>
        <v>0.43900000000000361</v>
      </c>
      <c r="E59">
        <f>A47-E47</f>
        <v>-0.91699999999999449</v>
      </c>
      <c r="G59">
        <f>G47-G47</f>
        <v>0</v>
      </c>
      <c r="H59">
        <f>G47-H47</f>
        <v>0.89399999999999835</v>
      </c>
      <c r="J59">
        <f>G47-J47</f>
        <v>0.44750000000000156</v>
      </c>
      <c r="K59">
        <f>G47-K47</f>
        <v>0.72100000000000009</v>
      </c>
      <c r="M59">
        <f>M47-M47</f>
        <v>0</v>
      </c>
      <c r="N59">
        <f>M47-N47</f>
        <v>-0.77949999999999875</v>
      </c>
      <c r="P59">
        <f>M47-P47</f>
        <v>0.64550000000000196</v>
      </c>
      <c r="Q59">
        <f>M47-Q47</f>
        <v>-0.50949999999999918</v>
      </c>
    </row>
    <row r="63" spans="1:17" x14ac:dyDescent="0.25">
      <c r="A63" s="1" t="s">
        <v>70</v>
      </c>
      <c r="G63" s="1" t="s">
        <v>70</v>
      </c>
      <c r="M63" s="1" t="s">
        <v>70</v>
      </c>
    </row>
    <row r="65" spans="1:17" x14ac:dyDescent="0.25">
      <c r="A65" t="s">
        <v>64</v>
      </c>
      <c r="B65" t="s">
        <v>65</v>
      </c>
      <c r="D65" t="s">
        <v>66</v>
      </c>
      <c r="E65" t="s">
        <v>67</v>
      </c>
      <c r="G65" t="s">
        <v>64</v>
      </c>
      <c r="H65" t="s">
        <v>65</v>
      </c>
      <c r="J65" t="s">
        <v>66</v>
      </c>
      <c r="K65" t="s">
        <v>67</v>
      </c>
      <c r="M65" t="s">
        <v>64</v>
      </c>
      <c r="N65" t="s">
        <v>65</v>
      </c>
      <c r="P65" t="s">
        <v>66</v>
      </c>
      <c r="Q65" t="s">
        <v>67</v>
      </c>
    </row>
    <row r="67" spans="1:17" x14ac:dyDescent="0.25">
      <c r="A67" t="s">
        <v>68</v>
      </c>
      <c r="B67" t="s">
        <v>68</v>
      </c>
      <c r="D67" t="s">
        <v>68</v>
      </c>
      <c r="E67" t="s">
        <v>68</v>
      </c>
      <c r="G67" t="s">
        <v>68</v>
      </c>
      <c r="H67" t="s">
        <v>68</v>
      </c>
      <c r="J67" t="s">
        <v>68</v>
      </c>
      <c r="K67" t="s">
        <v>68</v>
      </c>
      <c r="M67" t="s">
        <v>68</v>
      </c>
      <c r="N67" t="s">
        <v>68</v>
      </c>
      <c r="P67" t="s">
        <v>68</v>
      </c>
      <c r="Q67" t="s">
        <v>68</v>
      </c>
    </row>
    <row r="69" spans="1:17" x14ac:dyDescent="0.25">
      <c r="A69">
        <f>2^A59</f>
        <v>1</v>
      </c>
      <c r="B69">
        <f>2^B59</f>
        <v>0.63003330504492117</v>
      </c>
      <c r="D69">
        <f>2^D59</f>
        <v>1.3556643268000044</v>
      </c>
      <c r="E69">
        <f>2^E59</f>
        <v>0.52960916734194019</v>
      </c>
      <c r="G69">
        <f>2^G59</f>
        <v>1</v>
      </c>
      <c r="H69">
        <f>2^H59</f>
        <v>1.8583213485018244</v>
      </c>
      <c r="J69">
        <f>2^J59</f>
        <v>1.3636751391832029</v>
      </c>
      <c r="K69">
        <f>2^K59</f>
        <v>1.648324169906481</v>
      </c>
      <c r="M69">
        <f>2^M59</f>
        <v>1</v>
      </c>
      <c r="N69">
        <f>2^N59</f>
        <v>0.58256866116364536</v>
      </c>
      <c r="P69">
        <f>2^P59</f>
        <v>1.5642813309196459</v>
      </c>
      <c r="Q69">
        <f>2^Q59</f>
        <v>0.70246585179844967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7114C-9B98-450C-BEE7-82D7E88531AC}">
  <dimension ref="A1:L10"/>
  <sheetViews>
    <sheetView workbookViewId="0">
      <selection activeCell="N15" sqref="N15"/>
    </sheetView>
  </sheetViews>
  <sheetFormatPr baseColWidth="10" defaultRowHeight="15" x14ac:dyDescent="0.25"/>
  <sheetData>
    <row r="1" spans="1:12" x14ac:dyDescent="0.25">
      <c r="A1" t="s">
        <v>74</v>
      </c>
      <c r="B1" t="s">
        <v>1</v>
      </c>
    </row>
    <row r="2" spans="1:12" x14ac:dyDescent="0.25">
      <c r="B2" t="s">
        <v>2</v>
      </c>
    </row>
    <row r="3" spans="1:12" x14ac:dyDescent="0.25">
      <c r="B3" t="s">
        <v>75</v>
      </c>
    </row>
    <row r="7" spans="1:12" x14ac:dyDescent="0.25">
      <c r="A7" t="s">
        <v>76</v>
      </c>
    </row>
    <row r="9" spans="1:12" x14ac:dyDescent="0.25">
      <c r="B9">
        <v>8640</v>
      </c>
      <c r="F9" t="s">
        <v>22</v>
      </c>
      <c r="J9">
        <v>9436</v>
      </c>
    </row>
    <row r="10" spans="1:12" x14ac:dyDescent="0.25">
      <c r="B10">
        <v>17</v>
      </c>
      <c r="C10" s="32">
        <v>17</v>
      </c>
      <c r="D10" s="32">
        <v>21</v>
      </c>
      <c r="F10" s="32">
        <v>14</v>
      </c>
      <c r="G10" s="32">
        <v>11</v>
      </c>
      <c r="H10" s="32">
        <v>12</v>
      </c>
      <c r="J10" s="32">
        <v>2</v>
      </c>
      <c r="K10" s="32">
        <v>1</v>
      </c>
      <c r="L10" s="32">
        <v>2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BF93C-B879-48FB-81D5-3C4F87005CA1}">
  <dimension ref="A1:AK171"/>
  <sheetViews>
    <sheetView topLeftCell="A115" zoomScale="80" zoomScaleNormal="80" workbookViewId="0">
      <selection activeCell="H164" sqref="H164"/>
    </sheetView>
  </sheetViews>
  <sheetFormatPr baseColWidth="10" defaultRowHeight="15" x14ac:dyDescent="0.25"/>
  <sheetData>
    <row r="1" spans="1:37" x14ac:dyDescent="0.25">
      <c r="A1" s="1" t="s">
        <v>0</v>
      </c>
      <c r="B1" s="1" t="s">
        <v>1</v>
      </c>
      <c r="D1" s="1" t="s">
        <v>99</v>
      </c>
    </row>
    <row r="2" spans="1:37" x14ac:dyDescent="0.25">
      <c r="A2" s="1"/>
      <c r="B2" s="1" t="s">
        <v>2</v>
      </c>
      <c r="D2" s="1" t="s">
        <v>100</v>
      </c>
    </row>
    <row r="3" spans="1:37" x14ac:dyDescent="0.25">
      <c r="A3" s="1"/>
      <c r="B3" s="1" t="s">
        <v>77</v>
      </c>
    </row>
    <row r="7" spans="1:37" x14ac:dyDescent="0.25">
      <c r="C7" s="1">
        <v>8640</v>
      </c>
      <c r="U7" s="1" t="s">
        <v>22</v>
      </c>
    </row>
    <row r="8" spans="1:37" x14ac:dyDescent="0.25">
      <c r="C8" t="s">
        <v>78</v>
      </c>
      <c r="F8" t="s">
        <v>78</v>
      </c>
      <c r="I8" t="s">
        <v>78</v>
      </c>
      <c r="L8" t="s">
        <v>78</v>
      </c>
      <c r="O8" t="s">
        <v>78</v>
      </c>
      <c r="R8" t="s">
        <v>78</v>
      </c>
      <c r="U8" t="s">
        <v>78</v>
      </c>
      <c r="X8" t="s">
        <v>78</v>
      </c>
      <c r="AA8" t="s">
        <v>78</v>
      </c>
      <c r="AD8" t="s">
        <v>78</v>
      </c>
      <c r="AG8" t="s">
        <v>78</v>
      </c>
      <c r="AJ8" t="s">
        <v>78</v>
      </c>
    </row>
    <row r="9" spans="1:37" x14ac:dyDescent="0.25">
      <c r="B9" s="1" t="s">
        <v>79</v>
      </c>
      <c r="C9">
        <v>0</v>
      </c>
      <c r="D9">
        <v>0</v>
      </c>
      <c r="F9">
        <v>2</v>
      </c>
      <c r="G9">
        <v>0</v>
      </c>
      <c r="I9">
        <v>4</v>
      </c>
      <c r="J9">
        <v>0</v>
      </c>
      <c r="L9">
        <v>6</v>
      </c>
      <c r="M9">
        <v>0</v>
      </c>
      <c r="O9">
        <v>24</v>
      </c>
      <c r="P9">
        <v>1</v>
      </c>
      <c r="R9">
        <v>48</v>
      </c>
      <c r="S9">
        <v>1</v>
      </c>
      <c r="U9">
        <v>0</v>
      </c>
      <c r="V9">
        <v>0</v>
      </c>
      <c r="X9">
        <v>2</v>
      </c>
      <c r="Y9">
        <v>0</v>
      </c>
      <c r="AA9">
        <v>4</v>
      </c>
      <c r="AB9">
        <v>0</v>
      </c>
      <c r="AD9">
        <v>6</v>
      </c>
      <c r="AE9">
        <v>0</v>
      </c>
      <c r="AG9">
        <v>24</v>
      </c>
      <c r="AH9">
        <v>1</v>
      </c>
      <c r="AJ9">
        <v>48</v>
      </c>
      <c r="AK9">
        <v>1</v>
      </c>
    </row>
    <row r="10" spans="1:37" x14ac:dyDescent="0.25">
      <c r="B10" s="1" t="s">
        <v>80</v>
      </c>
      <c r="C10">
        <v>0</v>
      </c>
      <c r="D10">
        <v>0</v>
      </c>
      <c r="F10">
        <v>2</v>
      </c>
      <c r="G10">
        <v>0</v>
      </c>
      <c r="I10">
        <v>4</v>
      </c>
      <c r="J10">
        <v>0</v>
      </c>
      <c r="L10">
        <v>6</v>
      </c>
      <c r="M10">
        <v>0</v>
      </c>
      <c r="O10">
        <v>24</v>
      </c>
      <c r="P10">
        <v>1</v>
      </c>
      <c r="R10">
        <v>48</v>
      </c>
      <c r="S10">
        <v>1</v>
      </c>
      <c r="U10">
        <v>0</v>
      </c>
      <c r="V10">
        <v>0</v>
      </c>
      <c r="X10">
        <v>2</v>
      </c>
      <c r="Y10">
        <v>0</v>
      </c>
      <c r="AA10">
        <v>4</v>
      </c>
      <c r="AB10">
        <v>0</v>
      </c>
      <c r="AD10">
        <v>6</v>
      </c>
      <c r="AE10">
        <v>0</v>
      </c>
      <c r="AG10">
        <v>24</v>
      </c>
      <c r="AH10">
        <v>1</v>
      </c>
      <c r="AJ10">
        <v>48</v>
      </c>
      <c r="AK10">
        <v>1</v>
      </c>
    </row>
    <row r="11" spans="1:37" x14ac:dyDescent="0.25">
      <c r="B11" s="1" t="s">
        <v>81</v>
      </c>
      <c r="C11">
        <v>0</v>
      </c>
      <c r="D11">
        <v>0</v>
      </c>
      <c r="F11">
        <v>2</v>
      </c>
      <c r="G11">
        <v>0</v>
      </c>
      <c r="I11">
        <v>4</v>
      </c>
      <c r="J11">
        <v>0</v>
      </c>
      <c r="L11">
        <v>6</v>
      </c>
      <c r="M11">
        <v>0</v>
      </c>
      <c r="O11">
        <v>24</v>
      </c>
      <c r="P11">
        <v>1</v>
      </c>
      <c r="R11">
        <v>48</v>
      </c>
      <c r="S11">
        <v>1</v>
      </c>
      <c r="U11">
        <v>0</v>
      </c>
      <c r="V11">
        <v>0</v>
      </c>
      <c r="X11">
        <v>2</v>
      </c>
      <c r="Y11">
        <v>0</v>
      </c>
      <c r="AA11">
        <v>4</v>
      </c>
      <c r="AB11">
        <v>0</v>
      </c>
      <c r="AD11">
        <v>6</v>
      </c>
      <c r="AE11">
        <v>0</v>
      </c>
      <c r="AG11">
        <v>24</v>
      </c>
      <c r="AH11">
        <v>1</v>
      </c>
      <c r="AJ11">
        <v>48</v>
      </c>
      <c r="AK11">
        <v>1</v>
      </c>
    </row>
    <row r="12" spans="1:37" x14ac:dyDescent="0.25">
      <c r="B12" s="1" t="s">
        <v>82</v>
      </c>
      <c r="C12">
        <v>0</v>
      </c>
      <c r="D12">
        <v>0</v>
      </c>
      <c r="F12">
        <v>2</v>
      </c>
      <c r="G12">
        <v>0</v>
      </c>
      <c r="I12">
        <v>4</v>
      </c>
      <c r="J12">
        <v>0</v>
      </c>
      <c r="L12">
        <v>6</v>
      </c>
      <c r="M12">
        <v>0</v>
      </c>
      <c r="O12">
        <v>24</v>
      </c>
      <c r="P12">
        <v>1</v>
      </c>
      <c r="R12">
        <v>48</v>
      </c>
      <c r="S12">
        <v>1</v>
      </c>
      <c r="U12">
        <v>0</v>
      </c>
      <c r="V12">
        <v>0</v>
      </c>
      <c r="X12">
        <v>2</v>
      </c>
      <c r="Y12">
        <v>0</v>
      </c>
      <c r="AA12">
        <v>4</v>
      </c>
      <c r="AB12">
        <v>0</v>
      </c>
      <c r="AD12">
        <v>6</v>
      </c>
      <c r="AE12">
        <v>0</v>
      </c>
      <c r="AG12">
        <v>24</v>
      </c>
      <c r="AH12">
        <v>0</v>
      </c>
      <c r="AJ12">
        <v>48</v>
      </c>
      <c r="AK12">
        <v>0</v>
      </c>
    </row>
    <row r="13" spans="1:37" x14ac:dyDescent="0.25">
      <c r="B13" s="1" t="s">
        <v>83</v>
      </c>
      <c r="C13">
        <v>0</v>
      </c>
      <c r="D13">
        <v>0</v>
      </c>
      <c r="F13">
        <v>2</v>
      </c>
      <c r="G13">
        <v>0</v>
      </c>
      <c r="I13">
        <v>4</v>
      </c>
      <c r="J13">
        <v>0</v>
      </c>
      <c r="L13">
        <v>6</v>
      </c>
      <c r="M13">
        <v>0</v>
      </c>
      <c r="O13">
        <v>24</v>
      </c>
      <c r="P13">
        <v>1</v>
      </c>
      <c r="R13">
        <v>48</v>
      </c>
      <c r="S13">
        <v>1</v>
      </c>
      <c r="U13">
        <v>0</v>
      </c>
      <c r="V13">
        <v>0</v>
      </c>
      <c r="X13">
        <v>2</v>
      </c>
      <c r="Y13">
        <v>0</v>
      </c>
      <c r="AA13">
        <v>4</v>
      </c>
      <c r="AB13">
        <v>0</v>
      </c>
      <c r="AD13">
        <v>6</v>
      </c>
      <c r="AE13">
        <v>0</v>
      </c>
      <c r="AG13">
        <v>24</v>
      </c>
      <c r="AH13">
        <v>0</v>
      </c>
      <c r="AJ13">
        <v>48</v>
      </c>
      <c r="AK13">
        <v>0</v>
      </c>
    </row>
    <row r="14" spans="1:37" x14ac:dyDescent="0.25">
      <c r="B14" s="1" t="s">
        <v>84</v>
      </c>
      <c r="C14">
        <v>0</v>
      </c>
      <c r="D14">
        <v>0</v>
      </c>
      <c r="F14">
        <v>2</v>
      </c>
      <c r="G14">
        <v>0</v>
      </c>
      <c r="I14">
        <v>4</v>
      </c>
      <c r="J14">
        <v>0</v>
      </c>
      <c r="L14">
        <v>6</v>
      </c>
      <c r="M14">
        <v>0</v>
      </c>
      <c r="O14">
        <v>24</v>
      </c>
      <c r="P14">
        <v>1</v>
      </c>
      <c r="R14">
        <v>48</v>
      </c>
      <c r="S14">
        <v>1</v>
      </c>
      <c r="U14">
        <v>0</v>
      </c>
      <c r="V14">
        <v>0</v>
      </c>
      <c r="X14">
        <v>2</v>
      </c>
      <c r="Y14">
        <v>0</v>
      </c>
      <c r="AA14">
        <v>4</v>
      </c>
      <c r="AB14">
        <v>0</v>
      </c>
      <c r="AD14">
        <v>6</v>
      </c>
      <c r="AE14">
        <v>0</v>
      </c>
      <c r="AG14">
        <v>24</v>
      </c>
      <c r="AH14">
        <v>0</v>
      </c>
      <c r="AJ14">
        <v>48</v>
      </c>
      <c r="AK14">
        <v>0</v>
      </c>
    </row>
    <row r="15" spans="1:37" x14ac:dyDescent="0.25">
      <c r="B15" s="1" t="s">
        <v>85</v>
      </c>
      <c r="C15">
        <v>0</v>
      </c>
      <c r="D15">
        <v>0</v>
      </c>
      <c r="F15">
        <v>2</v>
      </c>
      <c r="G15">
        <v>0</v>
      </c>
      <c r="I15">
        <v>4</v>
      </c>
      <c r="J15">
        <v>0</v>
      </c>
      <c r="L15">
        <v>6</v>
      </c>
      <c r="M15">
        <v>0</v>
      </c>
      <c r="O15">
        <v>24</v>
      </c>
      <c r="P15">
        <v>1</v>
      </c>
      <c r="R15">
        <v>48</v>
      </c>
      <c r="S15">
        <v>1</v>
      </c>
      <c r="U15">
        <v>0</v>
      </c>
      <c r="V15">
        <v>0</v>
      </c>
      <c r="X15">
        <v>2</v>
      </c>
      <c r="Y15">
        <v>0</v>
      </c>
      <c r="AA15">
        <v>4</v>
      </c>
      <c r="AB15">
        <v>0</v>
      </c>
      <c r="AD15">
        <v>6</v>
      </c>
      <c r="AE15">
        <v>0</v>
      </c>
      <c r="AG15">
        <v>24</v>
      </c>
      <c r="AH15">
        <v>0</v>
      </c>
      <c r="AJ15">
        <v>48</v>
      </c>
      <c r="AK15">
        <v>0</v>
      </c>
    </row>
    <row r="16" spans="1:37" x14ac:dyDescent="0.25">
      <c r="B16" s="1" t="s">
        <v>86</v>
      </c>
      <c r="C16">
        <v>0</v>
      </c>
      <c r="D16">
        <v>0</v>
      </c>
      <c r="F16">
        <v>2</v>
      </c>
      <c r="G16">
        <v>0</v>
      </c>
      <c r="I16">
        <v>4</v>
      </c>
      <c r="J16">
        <v>0</v>
      </c>
      <c r="L16">
        <v>6</v>
      </c>
      <c r="M16">
        <v>0</v>
      </c>
      <c r="O16">
        <v>24</v>
      </c>
      <c r="P16">
        <v>1</v>
      </c>
      <c r="R16">
        <v>48</v>
      </c>
      <c r="S16">
        <v>1</v>
      </c>
      <c r="U16">
        <v>0</v>
      </c>
      <c r="V16">
        <v>0</v>
      </c>
      <c r="X16">
        <v>2</v>
      </c>
      <c r="Y16">
        <v>0</v>
      </c>
      <c r="AA16">
        <v>4</v>
      </c>
      <c r="AB16">
        <v>0</v>
      </c>
      <c r="AD16">
        <v>6</v>
      </c>
      <c r="AE16">
        <v>0</v>
      </c>
      <c r="AG16">
        <v>24</v>
      </c>
      <c r="AH16">
        <v>0</v>
      </c>
      <c r="AJ16">
        <v>48</v>
      </c>
      <c r="AK16">
        <v>0</v>
      </c>
    </row>
    <row r="17" spans="2:37" x14ac:dyDescent="0.25">
      <c r="B17" s="1" t="s">
        <v>87</v>
      </c>
      <c r="C17">
        <v>0</v>
      </c>
      <c r="D17">
        <v>0</v>
      </c>
      <c r="F17">
        <v>2</v>
      </c>
      <c r="G17">
        <v>0</v>
      </c>
      <c r="I17">
        <v>4</v>
      </c>
      <c r="J17">
        <v>0</v>
      </c>
      <c r="L17">
        <v>6</v>
      </c>
      <c r="M17">
        <v>0</v>
      </c>
      <c r="O17">
        <v>24</v>
      </c>
      <c r="P17">
        <v>1</v>
      </c>
      <c r="R17">
        <v>48</v>
      </c>
      <c r="S17">
        <v>1</v>
      </c>
      <c r="U17">
        <v>0</v>
      </c>
      <c r="V17">
        <v>0</v>
      </c>
      <c r="X17">
        <v>2</v>
      </c>
      <c r="Y17">
        <v>0</v>
      </c>
      <c r="AA17">
        <v>4</v>
      </c>
      <c r="AB17">
        <v>0</v>
      </c>
      <c r="AD17">
        <v>6</v>
      </c>
      <c r="AE17">
        <v>0</v>
      </c>
      <c r="AG17">
        <v>24</v>
      </c>
      <c r="AH17">
        <v>0</v>
      </c>
      <c r="AJ17">
        <v>48</v>
      </c>
      <c r="AK17">
        <v>0</v>
      </c>
    </row>
    <row r="18" spans="2:37" x14ac:dyDescent="0.25">
      <c r="B18" s="1" t="s">
        <v>88</v>
      </c>
      <c r="C18">
        <v>0</v>
      </c>
      <c r="D18">
        <v>0</v>
      </c>
      <c r="F18">
        <v>2</v>
      </c>
      <c r="G18">
        <v>0</v>
      </c>
      <c r="I18">
        <v>4</v>
      </c>
      <c r="J18">
        <v>0</v>
      </c>
      <c r="L18">
        <v>6</v>
      </c>
      <c r="M18">
        <v>0</v>
      </c>
      <c r="O18">
        <v>24</v>
      </c>
      <c r="P18">
        <v>1</v>
      </c>
      <c r="R18">
        <v>48</v>
      </c>
      <c r="S18">
        <v>1</v>
      </c>
      <c r="U18">
        <v>0</v>
      </c>
      <c r="V18">
        <v>0</v>
      </c>
      <c r="X18">
        <v>2</v>
      </c>
      <c r="Y18">
        <v>0</v>
      </c>
      <c r="AA18">
        <v>4</v>
      </c>
      <c r="AB18">
        <v>0</v>
      </c>
      <c r="AD18">
        <v>6</v>
      </c>
      <c r="AE18">
        <v>0</v>
      </c>
      <c r="AG18">
        <v>24</v>
      </c>
      <c r="AH18">
        <v>0</v>
      </c>
      <c r="AJ18">
        <v>48</v>
      </c>
      <c r="AK18">
        <v>0</v>
      </c>
    </row>
    <row r="19" spans="2:37" x14ac:dyDescent="0.25">
      <c r="B19" s="1" t="s">
        <v>89</v>
      </c>
      <c r="C19">
        <v>0</v>
      </c>
      <c r="D19">
        <v>0</v>
      </c>
      <c r="F19">
        <v>2</v>
      </c>
      <c r="G19">
        <v>0</v>
      </c>
      <c r="I19">
        <v>4</v>
      </c>
      <c r="J19">
        <v>0</v>
      </c>
      <c r="L19">
        <v>6</v>
      </c>
      <c r="M19">
        <v>0</v>
      </c>
      <c r="O19">
        <v>24</v>
      </c>
      <c r="P19">
        <v>1</v>
      </c>
      <c r="R19">
        <v>48</v>
      </c>
      <c r="S19">
        <v>1</v>
      </c>
      <c r="U19">
        <v>0</v>
      </c>
      <c r="V19">
        <v>0</v>
      </c>
      <c r="X19">
        <v>2</v>
      </c>
      <c r="Y19">
        <v>0</v>
      </c>
      <c r="AA19">
        <v>4</v>
      </c>
      <c r="AB19">
        <v>0</v>
      </c>
      <c r="AD19">
        <v>6</v>
      </c>
      <c r="AE19">
        <v>0</v>
      </c>
      <c r="AG19">
        <v>24</v>
      </c>
      <c r="AH19">
        <v>0</v>
      </c>
      <c r="AJ19">
        <v>48</v>
      </c>
      <c r="AK19">
        <v>0</v>
      </c>
    </row>
    <row r="20" spans="2:37" x14ac:dyDescent="0.25">
      <c r="B20" s="1" t="s">
        <v>90</v>
      </c>
      <c r="C20">
        <v>0</v>
      </c>
      <c r="D20">
        <v>0</v>
      </c>
      <c r="F20">
        <v>2</v>
      </c>
      <c r="G20">
        <v>0</v>
      </c>
      <c r="I20">
        <v>4</v>
      </c>
      <c r="J20">
        <v>0</v>
      </c>
      <c r="L20">
        <v>6</v>
      </c>
      <c r="M20">
        <v>0</v>
      </c>
      <c r="O20">
        <v>24</v>
      </c>
      <c r="P20">
        <v>1</v>
      </c>
      <c r="R20">
        <v>48</v>
      </c>
      <c r="S20">
        <v>1</v>
      </c>
      <c r="U20">
        <v>0</v>
      </c>
      <c r="V20">
        <v>0</v>
      </c>
      <c r="X20">
        <v>2</v>
      </c>
      <c r="Y20">
        <v>0</v>
      </c>
      <c r="AA20">
        <v>4</v>
      </c>
      <c r="AB20">
        <v>0</v>
      </c>
      <c r="AD20">
        <v>6</v>
      </c>
      <c r="AE20">
        <v>0</v>
      </c>
      <c r="AG20">
        <v>24</v>
      </c>
      <c r="AH20">
        <v>0</v>
      </c>
      <c r="AJ20">
        <v>48</v>
      </c>
      <c r="AK20">
        <v>0</v>
      </c>
    </row>
    <row r="21" spans="2:37" x14ac:dyDescent="0.25">
      <c r="B21" s="1" t="s">
        <v>91</v>
      </c>
      <c r="C21">
        <v>0</v>
      </c>
      <c r="D21">
        <v>0</v>
      </c>
      <c r="F21">
        <v>2</v>
      </c>
      <c r="G21">
        <v>0</v>
      </c>
      <c r="I21">
        <v>4</v>
      </c>
      <c r="J21">
        <v>0</v>
      </c>
      <c r="L21">
        <v>6</v>
      </c>
      <c r="M21">
        <v>0</v>
      </c>
      <c r="O21">
        <v>24</v>
      </c>
      <c r="P21">
        <v>0</v>
      </c>
      <c r="R21">
        <v>48</v>
      </c>
      <c r="S21">
        <v>0</v>
      </c>
      <c r="U21">
        <v>0</v>
      </c>
      <c r="V21">
        <v>0</v>
      </c>
      <c r="X21">
        <v>2</v>
      </c>
      <c r="Y21">
        <v>0</v>
      </c>
      <c r="AA21">
        <v>4</v>
      </c>
      <c r="AB21">
        <v>0</v>
      </c>
      <c r="AD21">
        <v>6</v>
      </c>
      <c r="AE21">
        <v>0</v>
      </c>
      <c r="AG21">
        <v>24</v>
      </c>
      <c r="AH21">
        <v>0</v>
      </c>
      <c r="AJ21">
        <v>48</v>
      </c>
      <c r="AK21">
        <v>0</v>
      </c>
    </row>
    <row r="22" spans="2:37" x14ac:dyDescent="0.25">
      <c r="B22" s="1" t="s">
        <v>92</v>
      </c>
      <c r="C22">
        <v>0</v>
      </c>
      <c r="D22">
        <v>0</v>
      </c>
      <c r="F22">
        <v>2</v>
      </c>
      <c r="G22">
        <v>0</v>
      </c>
      <c r="I22">
        <v>4</v>
      </c>
      <c r="J22">
        <v>0</v>
      </c>
      <c r="L22">
        <v>6</v>
      </c>
      <c r="M22">
        <v>0</v>
      </c>
      <c r="O22">
        <v>24</v>
      </c>
      <c r="P22">
        <v>0</v>
      </c>
      <c r="R22">
        <v>48</v>
      </c>
      <c r="S22">
        <v>0</v>
      </c>
      <c r="U22">
        <v>0</v>
      </c>
      <c r="V22">
        <v>0</v>
      </c>
      <c r="X22">
        <v>2</v>
      </c>
      <c r="Y22">
        <v>0</v>
      </c>
      <c r="AA22">
        <v>4</v>
      </c>
      <c r="AB22">
        <v>0</v>
      </c>
      <c r="AD22">
        <v>6</v>
      </c>
      <c r="AE22">
        <v>0</v>
      </c>
      <c r="AG22">
        <v>24</v>
      </c>
      <c r="AH22">
        <v>0</v>
      </c>
      <c r="AJ22">
        <v>48</v>
      </c>
      <c r="AK22">
        <v>0</v>
      </c>
    </row>
    <row r="23" spans="2:37" x14ac:dyDescent="0.25">
      <c r="B23" s="1" t="s">
        <v>93</v>
      </c>
      <c r="C23">
        <v>0</v>
      </c>
      <c r="D23">
        <v>0</v>
      </c>
      <c r="F23">
        <v>2</v>
      </c>
      <c r="G23">
        <v>0</v>
      </c>
      <c r="I23">
        <v>4</v>
      </c>
      <c r="J23">
        <v>0</v>
      </c>
      <c r="L23">
        <v>6</v>
      </c>
      <c r="M23">
        <v>0</v>
      </c>
      <c r="O23">
        <v>24</v>
      </c>
      <c r="P23">
        <v>0</v>
      </c>
      <c r="R23">
        <v>48</v>
      </c>
      <c r="S23">
        <v>0</v>
      </c>
      <c r="U23">
        <v>0</v>
      </c>
      <c r="V23">
        <v>0</v>
      </c>
      <c r="X23">
        <v>2</v>
      </c>
      <c r="Y23">
        <v>0</v>
      </c>
      <c r="AA23">
        <v>4</v>
      </c>
      <c r="AB23">
        <v>0</v>
      </c>
      <c r="AD23">
        <v>6</v>
      </c>
      <c r="AE23">
        <v>0</v>
      </c>
      <c r="AG23">
        <v>24</v>
      </c>
      <c r="AH23">
        <v>0</v>
      </c>
      <c r="AJ23">
        <v>48</v>
      </c>
      <c r="AK23">
        <v>0</v>
      </c>
    </row>
    <row r="28" spans="2:37" x14ac:dyDescent="0.25">
      <c r="C28" s="1" t="s">
        <v>94</v>
      </c>
      <c r="U28" s="1" t="s">
        <v>95</v>
      </c>
    </row>
    <row r="29" spans="2:37" x14ac:dyDescent="0.25">
      <c r="C29" t="s">
        <v>78</v>
      </c>
      <c r="F29" t="s">
        <v>78</v>
      </c>
      <c r="I29" t="s">
        <v>78</v>
      </c>
      <c r="L29" t="s">
        <v>78</v>
      </c>
      <c r="O29" t="s">
        <v>78</v>
      </c>
      <c r="R29" t="s">
        <v>78</v>
      </c>
      <c r="U29" t="s">
        <v>78</v>
      </c>
      <c r="X29" t="s">
        <v>78</v>
      </c>
      <c r="AA29" t="s">
        <v>78</v>
      </c>
      <c r="AD29" t="s">
        <v>78</v>
      </c>
      <c r="AG29" t="s">
        <v>78</v>
      </c>
      <c r="AJ29" t="s">
        <v>78</v>
      </c>
    </row>
    <row r="30" spans="2:37" x14ac:dyDescent="0.25">
      <c r="B30" s="1" t="s">
        <v>79</v>
      </c>
      <c r="C30">
        <v>0</v>
      </c>
      <c r="D30">
        <v>0</v>
      </c>
      <c r="F30">
        <v>2</v>
      </c>
      <c r="G30">
        <v>0</v>
      </c>
      <c r="I30">
        <v>4</v>
      </c>
      <c r="J30">
        <v>0</v>
      </c>
      <c r="L30">
        <v>6</v>
      </c>
      <c r="M30">
        <v>0</v>
      </c>
      <c r="O30">
        <v>24</v>
      </c>
      <c r="P30">
        <v>1</v>
      </c>
      <c r="R30">
        <v>48</v>
      </c>
      <c r="S30">
        <v>1</v>
      </c>
      <c r="U30">
        <v>0</v>
      </c>
      <c r="V30">
        <v>0</v>
      </c>
      <c r="X30">
        <v>2</v>
      </c>
      <c r="Y30">
        <v>0</v>
      </c>
      <c r="AA30">
        <v>4</v>
      </c>
      <c r="AB30">
        <v>0</v>
      </c>
      <c r="AD30">
        <v>6</v>
      </c>
      <c r="AE30">
        <v>0</v>
      </c>
      <c r="AG30">
        <v>24</v>
      </c>
      <c r="AH30">
        <v>0</v>
      </c>
      <c r="AJ30">
        <v>48</v>
      </c>
      <c r="AK30">
        <v>0</v>
      </c>
    </row>
    <row r="31" spans="2:37" x14ac:dyDescent="0.25">
      <c r="B31" s="1" t="s">
        <v>80</v>
      </c>
      <c r="C31">
        <v>0</v>
      </c>
      <c r="D31">
        <v>0</v>
      </c>
      <c r="F31">
        <v>2</v>
      </c>
      <c r="G31">
        <v>0</v>
      </c>
      <c r="I31">
        <v>4</v>
      </c>
      <c r="J31">
        <v>0</v>
      </c>
      <c r="L31">
        <v>6</v>
      </c>
      <c r="M31">
        <v>0</v>
      </c>
      <c r="O31">
        <v>24</v>
      </c>
      <c r="P31">
        <v>1</v>
      </c>
      <c r="R31">
        <v>48</v>
      </c>
      <c r="S31">
        <v>1</v>
      </c>
      <c r="U31">
        <v>0</v>
      </c>
      <c r="V31">
        <v>0</v>
      </c>
      <c r="X31">
        <v>2</v>
      </c>
      <c r="Y31">
        <v>0</v>
      </c>
      <c r="AA31">
        <v>4</v>
      </c>
      <c r="AB31">
        <v>0</v>
      </c>
      <c r="AD31">
        <v>6</v>
      </c>
      <c r="AE31">
        <v>0</v>
      </c>
      <c r="AG31">
        <v>24</v>
      </c>
      <c r="AH31">
        <v>0</v>
      </c>
      <c r="AJ31">
        <v>48</v>
      </c>
      <c r="AK31">
        <v>0</v>
      </c>
    </row>
    <row r="32" spans="2:37" x14ac:dyDescent="0.25">
      <c r="B32" s="1" t="s">
        <v>81</v>
      </c>
      <c r="C32">
        <v>0</v>
      </c>
      <c r="D32">
        <v>0</v>
      </c>
      <c r="F32">
        <v>2</v>
      </c>
      <c r="G32">
        <v>0</v>
      </c>
      <c r="I32">
        <v>4</v>
      </c>
      <c r="J32">
        <v>0</v>
      </c>
      <c r="L32">
        <v>6</v>
      </c>
      <c r="M32">
        <v>0</v>
      </c>
      <c r="O32">
        <v>24</v>
      </c>
      <c r="P32">
        <v>1</v>
      </c>
      <c r="R32">
        <v>48</v>
      </c>
      <c r="S32">
        <v>1</v>
      </c>
      <c r="U32">
        <v>0</v>
      </c>
      <c r="V32">
        <v>0</v>
      </c>
      <c r="X32">
        <v>2</v>
      </c>
      <c r="Y32">
        <v>0</v>
      </c>
      <c r="AA32">
        <v>4</v>
      </c>
      <c r="AB32">
        <v>0</v>
      </c>
      <c r="AD32">
        <v>6</v>
      </c>
      <c r="AE32">
        <v>0</v>
      </c>
      <c r="AG32">
        <v>24</v>
      </c>
      <c r="AH32">
        <v>0</v>
      </c>
      <c r="AJ32">
        <v>48</v>
      </c>
      <c r="AK32">
        <v>0</v>
      </c>
    </row>
    <row r="33" spans="2:37" x14ac:dyDescent="0.25">
      <c r="B33" s="1" t="s">
        <v>82</v>
      </c>
      <c r="C33">
        <v>0</v>
      </c>
      <c r="D33">
        <v>0</v>
      </c>
      <c r="F33">
        <v>2</v>
      </c>
      <c r="G33">
        <v>0</v>
      </c>
      <c r="I33">
        <v>4</v>
      </c>
      <c r="J33">
        <v>0</v>
      </c>
      <c r="L33">
        <v>6</v>
      </c>
      <c r="M33">
        <v>0</v>
      </c>
      <c r="O33">
        <v>24</v>
      </c>
      <c r="P33">
        <v>1</v>
      </c>
      <c r="R33">
        <v>48</v>
      </c>
      <c r="S33">
        <v>1</v>
      </c>
      <c r="U33">
        <v>0</v>
      </c>
      <c r="V33">
        <v>0</v>
      </c>
      <c r="X33">
        <v>2</v>
      </c>
      <c r="Y33">
        <v>0</v>
      </c>
      <c r="AA33">
        <v>4</v>
      </c>
      <c r="AB33">
        <v>0</v>
      </c>
      <c r="AD33">
        <v>6</v>
      </c>
      <c r="AE33">
        <v>0</v>
      </c>
      <c r="AG33">
        <v>24</v>
      </c>
      <c r="AH33">
        <v>0</v>
      </c>
      <c r="AJ33">
        <v>48</v>
      </c>
      <c r="AK33">
        <v>0</v>
      </c>
    </row>
    <row r="34" spans="2:37" x14ac:dyDescent="0.25">
      <c r="B34" s="1" t="s">
        <v>83</v>
      </c>
      <c r="C34">
        <v>0</v>
      </c>
      <c r="D34">
        <v>0</v>
      </c>
      <c r="F34">
        <v>2</v>
      </c>
      <c r="G34">
        <v>0</v>
      </c>
      <c r="I34">
        <v>4</v>
      </c>
      <c r="J34">
        <v>0</v>
      </c>
      <c r="L34">
        <v>6</v>
      </c>
      <c r="M34">
        <v>0</v>
      </c>
      <c r="O34">
        <v>24</v>
      </c>
      <c r="P34">
        <v>1</v>
      </c>
      <c r="R34">
        <v>48</v>
      </c>
      <c r="S34">
        <v>1</v>
      </c>
      <c r="U34">
        <v>0</v>
      </c>
      <c r="V34">
        <v>0</v>
      </c>
      <c r="X34">
        <v>2</v>
      </c>
      <c r="Y34">
        <v>0</v>
      </c>
      <c r="AA34">
        <v>4</v>
      </c>
      <c r="AB34">
        <v>0</v>
      </c>
      <c r="AD34">
        <v>6</v>
      </c>
      <c r="AE34">
        <v>0</v>
      </c>
      <c r="AG34">
        <v>24</v>
      </c>
      <c r="AH34">
        <v>0</v>
      </c>
      <c r="AJ34">
        <v>48</v>
      </c>
      <c r="AK34">
        <v>0</v>
      </c>
    </row>
    <row r="35" spans="2:37" x14ac:dyDescent="0.25">
      <c r="B35" s="1" t="s">
        <v>84</v>
      </c>
      <c r="C35">
        <v>0</v>
      </c>
      <c r="D35">
        <v>0</v>
      </c>
      <c r="F35">
        <v>2</v>
      </c>
      <c r="G35">
        <v>0</v>
      </c>
      <c r="I35">
        <v>4</v>
      </c>
      <c r="J35">
        <v>0</v>
      </c>
      <c r="L35">
        <v>6</v>
      </c>
      <c r="M35">
        <v>0</v>
      </c>
      <c r="O35">
        <v>24</v>
      </c>
      <c r="P35">
        <v>1</v>
      </c>
      <c r="R35">
        <v>48</v>
      </c>
      <c r="S35">
        <v>1</v>
      </c>
      <c r="U35">
        <v>0</v>
      </c>
      <c r="V35">
        <v>0</v>
      </c>
      <c r="X35">
        <v>2</v>
      </c>
      <c r="Y35">
        <v>0</v>
      </c>
      <c r="AA35">
        <v>4</v>
      </c>
      <c r="AB35">
        <v>0</v>
      </c>
      <c r="AD35">
        <v>6</v>
      </c>
      <c r="AE35">
        <v>0</v>
      </c>
      <c r="AG35">
        <v>24</v>
      </c>
      <c r="AH35">
        <v>0</v>
      </c>
      <c r="AJ35">
        <v>48</v>
      </c>
      <c r="AK35">
        <v>0</v>
      </c>
    </row>
    <row r="36" spans="2:37" x14ac:dyDescent="0.25">
      <c r="B36" s="1" t="s">
        <v>85</v>
      </c>
      <c r="C36">
        <v>0</v>
      </c>
      <c r="D36">
        <v>0</v>
      </c>
      <c r="F36">
        <v>2</v>
      </c>
      <c r="G36">
        <v>0</v>
      </c>
      <c r="I36">
        <v>4</v>
      </c>
      <c r="J36">
        <v>0</v>
      </c>
      <c r="L36">
        <v>6</v>
      </c>
      <c r="M36">
        <v>0</v>
      </c>
      <c r="O36">
        <v>24</v>
      </c>
      <c r="P36">
        <v>1</v>
      </c>
      <c r="R36">
        <v>48</v>
      </c>
      <c r="S36">
        <v>1</v>
      </c>
      <c r="U36">
        <v>0</v>
      </c>
      <c r="V36">
        <v>0</v>
      </c>
      <c r="X36">
        <v>2</v>
      </c>
      <c r="Y36">
        <v>0</v>
      </c>
      <c r="AA36">
        <v>4</v>
      </c>
      <c r="AB36">
        <v>0</v>
      </c>
      <c r="AD36">
        <v>6</v>
      </c>
      <c r="AE36">
        <v>0</v>
      </c>
      <c r="AG36">
        <v>24</v>
      </c>
      <c r="AH36">
        <v>0</v>
      </c>
      <c r="AJ36">
        <v>48</v>
      </c>
      <c r="AK36">
        <v>0</v>
      </c>
    </row>
    <row r="37" spans="2:37" x14ac:dyDescent="0.25">
      <c r="B37" s="1" t="s">
        <v>86</v>
      </c>
      <c r="C37">
        <v>0</v>
      </c>
      <c r="D37">
        <v>0</v>
      </c>
      <c r="F37">
        <v>2</v>
      </c>
      <c r="G37">
        <v>0</v>
      </c>
      <c r="I37">
        <v>4</v>
      </c>
      <c r="J37">
        <v>0</v>
      </c>
      <c r="L37">
        <v>6</v>
      </c>
      <c r="M37">
        <v>0</v>
      </c>
      <c r="O37">
        <v>24</v>
      </c>
      <c r="P37">
        <v>1</v>
      </c>
      <c r="R37">
        <v>48</v>
      </c>
      <c r="S37">
        <v>1</v>
      </c>
      <c r="U37">
        <v>0</v>
      </c>
      <c r="V37">
        <v>0</v>
      </c>
      <c r="X37">
        <v>2</v>
      </c>
      <c r="Y37">
        <v>0</v>
      </c>
      <c r="AA37">
        <v>4</v>
      </c>
      <c r="AB37">
        <v>0</v>
      </c>
      <c r="AD37">
        <v>6</v>
      </c>
      <c r="AE37">
        <v>0</v>
      </c>
      <c r="AG37">
        <v>24</v>
      </c>
      <c r="AH37">
        <v>0</v>
      </c>
      <c r="AJ37">
        <v>48</v>
      </c>
      <c r="AK37">
        <v>0</v>
      </c>
    </row>
    <row r="38" spans="2:37" x14ac:dyDescent="0.25">
      <c r="B38" s="1" t="s">
        <v>87</v>
      </c>
      <c r="C38">
        <v>0</v>
      </c>
      <c r="D38">
        <v>0</v>
      </c>
      <c r="F38">
        <v>2</v>
      </c>
      <c r="G38">
        <v>0</v>
      </c>
      <c r="I38">
        <v>4</v>
      </c>
      <c r="J38">
        <v>0</v>
      </c>
      <c r="L38">
        <v>6</v>
      </c>
      <c r="M38">
        <v>0</v>
      </c>
      <c r="O38">
        <v>24</v>
      </c>
      <c r="P38">
        <v>1</v>
      </c>
      <c r="R38">
        <v>48</v>
      </c>
      <c r="S38">
        <v>1</v>
      </c>
      <c r="U38">
        <v>0</v>
      </c>
      <c r="V38">
        <v>0</v>
      </c>
      <c r="X38">
        <v>2</v>
      </c>
      <c r="Y38">
        <v>0</v>
      </c>
      <c r="AA38">
        <v>4</v>
      </c>
      <c r="AB38">
        <v>0</v>
      </c>
      <c r="AD38">
        <v>6</v>
      </c>
      <c r="AE38">
        <v>0</v>
      </c>
      <c r="AG38">
        <v>24</v>
      </c>
      <c r="AH38">
        <v>0</v>
      </c>
      <c r="AJ38">
        <v>48</v>
      </c>
      <c r="AK38">
        <v>0</v>
      </c>
    </row>
    <row r="39" spans="2:37" x14ac:dyDescent="0.25">
      <c r="B39" s="1" t="s">
        <v>88</v>
      </c>
      <c r="C39">
        <v>0</v>
      </c>
      <c r="D39">
        <v>0</v>
      </c>
      <c r="F39">
        <v>2</v>
      </c>
      <c r="G39">
        <v>0</v>
      </c>
      <c r="I39">
        <v>4</v>
      </c>
      <c r="J39">
        <v>0</v>
      </c>
      <c r="L39">
        <v>6</v>
      </c>
      <c r="M39">
        <v>0</v>
      </c>
      <c r="O39">
        <v>24</v>
      </c>
      <c r="P39">
        <v>1</v>
      </c>
      <c r="R39">
        <v>48</v>
      </c>
      <c r="S39">
        <v>1</v>
      </c>
      <c r="U39">
        <v>0</v>
      </c>
      <c r="V39">
        <v>0</v>
      </c>
      <c r="X39">
        <v>2</v>
      </c>
      <c r="Y39">
        <v>0</v>
      </c>
      <c r="AA39">
        <v>4</v>
      </c>
      <c r="AB39">
        <v>0</v>
      </c>
      <c r="AD39">
        <v>6</v>
      </c>
      <c r="AE39">
        <v>0</v>
      </c>
      <c r="AG39">
        <v>24</v>
      </c>
      <c r="AH39">
        <v>0</v>
      </c>
      <c r="AJ39">
        <v>48</v>
      </c>
      <c r="AK39">
        <v>0</v>
      </c>
    </row>
    <row r="40" spans="2:37" x14ac:dyDescent="0.25">
      <c r="B40" s="1" t="s">
        <v>89</v>
      </c>
      <c r="C40">
        <v>0</v>
      </c>
      <c r="D40">
        <v>0</v>
      </c>
      <c r="F40">
        <v>2</v>
      </c>
      <c r="G40">
        <v>0</v>
      </c>
      <c r="I40">
        <v>4</v>
      </c>
      <c r="J40">
        <v>0</v>
      </c>
      <c r="L40">
        <v>6</v>
      </c>
      <c r="M40">
        <v>0</v>
      </c>
      <c r="O40">
        <v>24</v>
      </c>
      <c r="P40">
        <v>1</v>
      </c>
      <c r="R40">
        <v>48</v>
      </c>
      <c r="S40">
        <v>1</v>
      </c>
      <c r="U40">
        <v>0</v>
      </c>
      <c r="V40">
        <v>0</v>
      </c>
      <c r="X40">
        <v>2</v>
      </c>
      <c r="Y40">
        <v>0</v>
      </c>
      <c r="AA40">
        <v>4</v>
      </c>
      <c r="AB40">
        <v>0</v>
      </c>
      <c r="AD40">
        <v>6</v>
      </c>
      <c r="AE40">
        <v>0</v>
      </c>
      <c r="AG40">
        <v>24</v>
      </c>
      <c r="AH40">
        <v>0</v>
      </c>
      <c r="AJ40">
        <v>48</v>
      </c>
      <c r="AK40">
        <v>0</v>
      </c>
    </row>
    <row r="41" spans="2:37" x14ac:dyDescent="0.25">
      <c r="B41" s="1" t="s">
        <v>90</v>
      </c>
      <c r="C41">
        <v>0</v>
      </c>
      <c r="D41">
        <v>0</v>
      </c>
      <c r="F41">
        <v>2</v>
      </c>
      <c r="G41">
        <v>0</v>
      </c>
      <c r="I41">
        <v>4</v>
      </c>
      <c r="J41">
        <v>0</v>
      </c>
      <c r="L41">
        <v>6</v>
      </c>
      <c r="M41">
        <v>0</v>
      </c>
      <c r="O41">
        <v>24</v>
      </c>
      <c r="P41">
        <v>0</v>
      </c>
      <c r="R41">
        <v>48</v>
      </c>
      <c r="S41">
        <v>0</v>
      </c>
      <c r="U41">
        <v>0</v>
      </c>
      <c r="V41">
        <v>0</v>
      </c>
      <c r="X41">
        <v>2</v>
      </c>
      <c r="Y41">
        <v>0</v>
      </c>
      <c r="AA41">
        <v>4</v>
      </c>
      <c r="AB41">
        <v>0</v>
      </c>
      <c r="AD41">
        <v>6</v>
      </c>
      <c r="AE41">
        <v>0</v>
      </c>
      <c r="AG41">
        <v>24</v>
      </c>
      <c r="AH41">
        <v>0</v>
      </c>
      <c r="AJ41">
        <v>48</v>
      </c>
      <c r="AK41">
        <v>0</v>
      </c>
    </row>
    <row r="42" spans="2:37" x14ac:dyDescent="0.25">
      <c r="B42" s="1" t="s">
        <v>91</v>
      </c>
      <c r="C42">
        <v>0</v>
      </c>
      <c r="D42">
        <v>0</v>
      </c>
      <c r="F42">
        <v>2</v>
      </c>
      <c r="G42">
        <v>0</v>
      </c>
      <c r="I42">
        <v>4</v>
      </c>
      <c r="J42">
        <v>0</v>
      </c>
      <c r="L42">
        <v>6</v>
      </c>
      <c r="M42">
        <v>0</v>
      </c>
      <c r="O42">
        <v>24</v>
      </c>
      <c r="P42">
        <v>0</v>
      </c>
      <c r="R42">
        <v>48</v>
      </c>
      <c r="S42">
        <v>0</v>
      </c>
      <c r="U42">
        <v>0</v>
      </c>
      <c r="V42">
        <v>0</v>
      </c>
      <c r="X42">
        <v>2</v>
      </c>
      <c r="Y42">
        <v>0</v>
      </c>
      <c r="AA42">
        <v>4</v>
      </c>
      <c r="AB42">
        <v>0</v>
      </c>
      <c r="AD42">
        <v>6</v>
      </c>
      <c r="AE42">
        <v>0</v>
      </c>
      <c r="AG42">
        <v>24</v>
      </c>
      <c r="AH42">
        <v>0</v>
      </c>
      <c r="AJ42">
        <v>48</v>
      </c>
      <c r="AK42">
        <v>0</v>
      </c>
    </row>
    <row r="43" spans="2:37" x14ac:dyDescent="0.25">
      <c r="B43" s="1" t="s">
        <v>92</v>
      </c>
      <c r="C43">
        <v>0</v>
      </c>
      <c r="D43">
        <v>0</v>
      </c>
      <c r="F43">
        <v>2</v>
      </c>
      <c r="G43">
        <v>0</v>
      </c>
      <c r="I43">
        <v>4</v>
      </c>
      <c r="J43">
        <v>0</v>
      </c>
      <c r="L43">
        <v>6</v>
      </c>
      <c r="M43">
        <v>0</v>
      </c>
      <c r="O43">
        <v>24</v>
      </c>
      <c r="P43">
        <v>0</v>
      </c>
      <c r="R43">
        <v>48</v>
      </c>
      <c r="S43">
        <v>0</v>
      </c>
      <c r="U43">
        <v>0</v>
      </c>
      <c r="V43">
        <v>0</v>
      </c>
      <c r="X43">
        <v>2</v>
      </c>
      <c r="Y43">
        <v>0</v>
      </c>
      <c r="AA43">
        <v>4</v>
      </c>
      <c r="AB43">
        <v>0</v>
      </c>
      <c r="AD43">
        <v>6</v>
      </c>
      <c r="AE43">
        <v>0</v>
      </c>
      <c r="AG43">
        <v>24</v>
      </c>
      <c r="AH43">
        <v>0</v>
      </c>
      <c r="AJ43">
        <v>48</v>
      </c>
      <c r="AK43">
        <v>0</v>
      </c>
    </row>
    <row r="44" spans="2:37" x14ac:dyDescent="0.25">
      <c r="B44" s="1" t="s">
        <v>93</v>
      </c>
      <c r="C44">
        <v>0</v>
      </c>
      <c r="D44">
        <v>0</v>
      </c>
      <c r="F44">
        <v>2</v>
      </c>
      <c r="G44">
        <v>0</v>
      </c>
      <c r="I44">
        <v>4</v>
      </c>
      <c r="J44">
        <v>0</v>
      </c>
      <c r="L44">
        <v>6</v>
      </c>
      <c r="M44">
        <v>0</v>
      </c>
      <c r="O44">
        <v>24</v>
      </c>
      <c r="P44">
        <v>0</v>
      </c>
      <c r="R44">
        <v>48</v>
      </c>
      <c r="S44">
        <v>0</v>
      </c>
      <c r="U44">
        <v>0</v>
      </c>
      <c r="V44">
        <v>0</v>
      </c>
      <c r="X44">
        <v>2</v>
      </c>
      <c r="Y44">
        <v>0</v>
      </c>
      <c r="AA44">
        <v>4</v>
      </c>
      <c r="AB44">
        <v>0</v>
      </c>
      <c r="AD44">
        <v>6</v>
      </c>
      <c r="AE44">
        <v>0</v>
      </c>
      <c r="AG44">
        <v>24</v>
      </c>
      <c r="AH44">
        <v>0</v>
      </c>
      <c r="AJ44">
        <v>48</v>
      </c>
      <c r="AK44">
        <v>0</v>
      </c>
    </row>
    <row r="49" spans="1:36" x14ac:dyDescent="0.25">
      <c r="B49" t="s">
        <v>96</v>
      </c>
    </row>
    <row r="51" spans="1:36" x14ac:dyDescent="0.25">
      <c r="B51">
        <v>8640</v>
      </c>
      <c r="C51" t="s">
        <v>97</v>
      </c>
      <c r="D51" t="s">
        <v>101</v>
      </c>
    </row>
    <row r="52" spans="1:36" ht="17.25" x14ac:dyDescent="0.25">
      <c r="B52" t="s">
        <v>18</v>
      </c>
    </row>
    <row r="53" spans="1:36" x14ac:dyDescent="0.25">
      <c r="B53">
        <v>11</v>
      </c>
      <c r="C53">
        <v>10</v>
      </c>
      <c r="D53">
        <v>21</v>
      </c>
    </row>
    <row r="54" spans="1:36" x14ac:dyDescent="0.25">
      <c r="B54">
        <v>10</v>
      </c>
      <c r="C54">
        <v>16</v>
      </c>
      <c r="D54">
        <v>22</v>
      </c>
    </row>
    <row r="55" spans="1:36" x14ac:dyDescent="0.25">
      <c r="B55">
        <v>20</v>
      </c>
      <c r="C55">
        <v>13</v>
      </c>
      <c r="D55">
        <v>24</v>
      </c>
    </row>
    <row r="56" spans="1:36" x14ac:dyDescent="0.25">
      <c r="A56" s="2" t="s">
        <v>9</v>
      </c>
      <c r="B56" s="2">
        <f>AVERAGE(B53:B55)</f>
        <v>13.666666666666666</v>
      </c>
      <c r="C56" s="2">
        <f>AVERAGE(C53:C55)</f>
        <v>13</v>
      </c>
      <c r="D56" s="2">
        <f>AVERAGE(D53:D55)</f>
        <v>22.333333333333332</v>
      </c>
    </row>
    <row r="57" spans="1:36" x14ac:dyDescent="0.25">
      <c r="A57" s="2" t="s">
        <v>27</v>
      </c>
      <c r="B57" s="2">
        <f>STDEVA(B53:B55)</f>
        <v>5.5075705472861003</v>
      </c>
      <c r="C57" s="2">
        <f>STDEVA(C53:C55)</f>
        <v>3</v>
      </c>
      <c r="D57" s="2">
        <f>STDEVA(D53:D55)</f>
        <v>1.5275252316519465</v>
      </c>
    </row>
    <row r="58" spans="1:36" x14ac:dyDescent="0.25">
      <c r="A58" s="2" t="s">
        <v>11</v>
      </c>
      <c r="B58" s="3">
        <v>1366000</v>
      </c>
      <c r="C58" s="3">
        <v>1300000</v>
      </c>
      <c r="D58" s="3">
        <v>2233000</v>
      </c>
    </row>
    <row r="59" spans="1:36" x14ac:dyDescent="0.25">
      <c r="A59" s="2" t="s">
        <v>98</v>
      </c>
      <c r="B59" s="3">
        <f>B58/(100)</f>
        <v>13660</v>
      </c>
      <c r="C59" s="3">
        <f>C58/(100)</f>
        <v>13000</v>
      </c>
      <c r="D59" s="3">
        <f>D58/(100)</f>
        <v>22330</v>
      </c>
    </row>
    <row r="63" spans="1:36" x14ac:dyDescent="0.25">
      <c r="C63" s="1">
        <v>8640</v>
      </c>
      <c r="U63" s="1" t="s">
        <v>22</v>
      </c>
    </row>
    <row r="64" spans="1:36" x14ac:dyDescent="0.25">
      <c r="C64" t="s">
        <v>78</v>
      </c>
      <c r="F64" t="s">
        <v>78</v>
      </c>
      <c r="I64" t="s">
        <v>78</v>
      </c>
      <c r="L64" t="s">
        <v>78</v>
      </c>
      <c r="O64" t="s">
        <v>78</v>
      </c>
      <c r="R64" t="s">
        <v>78</v>
      </c>
      <c r="U64" t="s">
        <v>78</v>
      </c>
      <c r="X64" t="s">
        <v>78</v>
      </c>
      <c r="AA64" t="s">
        <v>78</v>
      </c>
      <c r="AD64" t="s">
        <v>78</v>
      </c>
      <c r="AG64" t="s">
        <v>78</v>
      </c>
      <c r="AJ64" t="s">
        <v>78</v>
      </c>
    </row>
    <row r="65" spans="2:37" x14ac:dyDescent="0.25">
      <c r="B65" s="1" t="s">
        <v>79</v>
      </c>
      <c r="C65">
        <v>0</v>
      </c>
      <c r="D65">
        <v>0</v>
      </c>
      <c r="F65">
        <v>2</v>
      </c>
      <c r="G65">
        <v>0</v>
      </c>
      <c r="I65">
        <v>4</v>
      </c>
      <c r="J65">
        <v>0</v>
      </c>
      <c r="L65">
        <v>6</v>
      </c>
      <c r="M65">
        <v>0</v>
      </c>
      <c r="O65">
        <v>24</v>
      </c>
      <c r="P65">
        <v>1</v>
      </c>
      <c r="R65">
        <v>48</v>
      </c>
      <c r="S65">
        <v>1</v>
      </c>
      <c r="U65">
        <v>0</v>
      </c>
      <c r="V65">
        <v>0</v>
      </c>
      <c r="X65">
        <v>2</v>
      </c>
      <c r="Y65">
        <v>0</v>
      </c>
      <c r="AA65">
        <v>4</v>
      </c>
      <c r="AB65">
        <v>0</v>
      </c>
      <c r="AD65">
        <v>6</v>
      </c>
      <c r="AE65">
        <v>0</v>
      </c>
      <c r="AG65">
        <v>24</v>
      </c>
      <c r="AH65">
        <v>1</v>
      </c>
      <c r="AJ65">
        <v>48</v>
      </c>
      <c r="AK65">
        <v>1</v>
      </c>
    </row>
    <row r="66" spans="2:37" x14ac:dyDescent="0.25">
      <c r="B66" s="1" t="s">
        <v>80</v>
      </c>
      <c r="C66">
        <v>0</v>
      </c>
      <c r="D66">
        <v>0</v>
      </c>
      <c r="F66">
        <v>2</v>
      </c>
      <c r="G66">
        <v>0</v>
      </c>
      <c r="I66">
        <v>4</v>
      </c>
      <c r="J66">
        <v>0</v>
      </c>
      <c r="L66">
        <v>6</v>
      </c>
      <c r="M66">
        <v>0</v>
      </c>
      <c r="O66">
        <v>24</v>
      </c>
      <c r="P66">
        <v>1</v>
      </c>
      <c r="R66">
        <v>48</v>
      </c>
      <c r="S66">
        <v>1</v>
      </c>
      <c r="U66">
        <v>0</v>
      </c>
      <c r="V66">
        <v>0</v>
      </c>
      <c r="X66">
        <v>2</v>
      </c>
      <c r="Y66">
        <v>0</v>
      </c>
      <c r="AA66">
        <v>4</v>
      </c>
      <c r="AB66">
        <v>0</v>
      </c>
      <c r="AD66">
        <v>6</v>
      </c>
      <c r="AE66">
        <v>0</v>
      </c>
      <c r="AG66">
        <v>24</v>
      </c>
      <c r="AH66">
        <v>1</v>
      </c>
      <c r="AJ66">
        <v>48</v>
      </c>
      <c r="AK66">
        <v>1</v>
      </c>
    </row>
    <row r="67" spans="2:37" x14ac:dyDescent="0.25">
      <c r="B67" s="1" t="s">
        <v>81</v>
      </c>
      <c r="C67">
        <v>0</v>
      </c>
      <c r="D67">
        <v>0</v>
      </c>
      <c r="F67">
        <v>2</v>
      </c>
      <c r="G67">
        <v>0</v>
      </c>
      <c r="I67">
        <v>4</v>
      </c>
      <c r="J67">
        <v>0</v>
      </c>
      <c r="L67">
        <v>6</v>
      </c>
      <c r="M67">
        <v>0</v>
      </c>
      <c r="O67">
        <v>24</v>
      </c>
      <c r="P67">
        <v>1</v>
      </c>
      <c r="R67">
        <v>48</v>
      </c>
      <c r="S67">
        <v>1</v>
      </c>
      <c r="U67">
        <v>0</v>
      </c>
      <c r="V67">
        <v>0</v>
      </c>
      <c r="X67">
        <v>2</v>
      </c>
      <c r="Y67">
        <v>0</v>
      </c>
      <c r="AA67">
        <v>4</v>
      </c>
      <c r="AB67">
        <v>0</v>
      </c>
      <c r="AD67">
        <v>6</v>
      </c>
      <c r="AE67">
        <v>0</v>
      </c>
      <c r="AG67">
        <v>24</v>
      </c>
      <c r="AH67">
        <v>0</v>
      </c>
      <c r="AJ67">
        <v>48</v>
      </c>
      <c r="AK67">
        <v>1</v>
      </c>
    </row>
    <row r="68" spans="2:37" x14ac:dyDescent="0.25">
      <c r="B68" s="1" t="s">
        <v>82</v>
      </c>
      <c r="C68">
        <v>0</v>
      </c>
      <c r="D68">
        <v>0</v>
      </c>
      <c r="F68">
        <v>2</v>
      </c>
      <c r="G68">
        <v>0</v>
      </c>
      <c r="I68">
        <v>4</v>
      </c>
      <c r="J68">
        <v>0</v>
      </c>
      <c r="L68">
        <v>6</v>
      </c>
      <c r="M68">
        <v>0</v>
      </c>
      <c r="O68">
        <v>24</v>
      </c>
      <c r="P68">
        <v>1</v>
      </c>
      <c r="R68">
        <v>48</v>
      </c>
      <c r="S68">
        <v>1</v>
      </c>
      <c r="U68">
        <v>0</v>
      </c>
      <c r="V68">
        <v>0</v>
      </c>
      <c r="X68">
        <v>2</v>
      </c>
      <c r="Y68">
        <v>0</v>
      </c>
      <c r="AA68">
        <v>4</v>
      </c>
      <c r="AB68">
        <v>0</v>
      </c>
      <c r="AD68">
        <v>6</v>
      </c>
      <c r="AE68">
        <v>0</v>
      </c>
      <c r="AG68">
        <v>24</v>
      </c>
      <c r="AH68">
        <v>0</v>
      </c>
      <c r="AJ68">
        <v>48</v>
      </c>
      <c r="AK68">
        <v>1</v>
      </c>
    </row>
    <row r="69" spans="2:37" x14ac:dyDescent="0.25">
      <c r="B69" s="1" t="s">
        <v>83</v>
      </c>
      <c r="C69">
        <v>0</v>
      </c>
      <c r="D69">
        <v>0</v>
      </c>
      <c r="F69">
        <v>2</v>
      </c>
      <c r="G69">
        <v>0</v>
      </c>
      <c r="I69">
        <v>4</v>
      </c>
      <c r="J69">
        <v>0</v>
      </c>
      <c r="L69">
        <v>6</v>
      </c>
      <c r="M69">
        <v>0</v>
      </c>
      <c r="O69">
        <v>24</v>
      </c>
      <c r="P69">
        <v>1</v>
      </c>
      <c r="R69">
        <v>48</v>
      </c>
      <c r="S69">
        <v>1</v>
      </c>
      <c r="U69">
        <v>0</v>
      </c>
      <c r="V69">
        <v>0</v>
      </c>
      <c r="X69">
        <v>2</v>
      </c>
      <c r="Y69">
        <v>0</v>
      </c>
      <c r="AA69">
        <v>4</v>
      </c>
      <c r="AB69">
        <v>0</v>
      </c>
      <c r="AD69">
        <v>6</v>
      </c>
      <c r="AE69">
        <v>0</v>
      </c>
      <c r="AG69">
        <v>24</v>
      </c>
      <c r="AH69">
        <v>0</v>
      </c>
      <c r="AJ69">
        <v>48</v>
      </c>
      <c r="AK69">
        <v>0</v>
      </c>
    </row>
    <row r="70" spans="2:37" x14ac:dyDescent="0.25">
      <c r="B70" s="1" t="s">
        <v>84</v>
      </c>
      <c r="C70">
        <v>0</v>
      </c>
      <c r="D70">
        <v>0</v>
      </c>
      <c r="F70">
        <v>2</v>
      </c>
      <c r="G70">
        <v>0</v>
      </c>
      <c r="I70">
        <v>4</v>
      </c>
      <c r="J70">
        <v>0</v>
      </c>
      <c r="L70">
        <v>6</v>
      </c>
      <c r="M70">
        <v>0</v>
      </c>
      <c r="O70">
        <v>24</v>
      </c>
      <c r="P70">
        <v>1</v>
      </c>
      <c r="R70">
        <v>48</v>
      </c>
      <c r="S70">
        <v>1</v>
      </c>
      <c r="U70">
        <v>0</v>
      </c>
      <c r="V70">
        <v>0</v>
      </c>
      <c r="X70">
        <v>2</v>
      </c>
      <c r="Y70">
        <v>0</v>
      </c>
      <c r="AA70">
        <v>4</v>
      </c>
      <c r="AB70">
        <v>0</v>
      </c>
      <c r="AD70">
        <v>6</v>
      </c>
      <c r="AE70">
        <v>0</v>
      </c>
      <c r="AG70">
        <v>24</v>
      </c>
      <c r="AH70">
        <v>0</v>
      </c>
      <c r="AJ70">
        <v>48</v>
      </c>
      <c r="AK70">
        <v>0</v>
      </c>
    </row>
    <row r="71" spans="2:37" x14ac:dyDescent="0.25">
      <c r="B71" s="1" t="s">
        <v>85</v>
      </c>
      <c r="C71">
        <v>0</v>
      </c>
      <c r="D71">
        <v>0</v>
      </c>
      <c r="F71">
        <v>2</v>
      </c>
      <c r="G71">
        <v>0</v>
      </c>
      <c r="I71">
        <v>4</v>
      </c>
      <c r="J71">
        <v>0</v>
      </c>
      <c r="L71">
        <v>6</v>
      </c>
      <c r="M71">
        <v>0</v>
      </c>
      <c r="O71">
        <v>24</v>
      </c>
      <c r="P71">
        <v>1</v>
      </c>
      <c r="R71">
        <v>48</v>
      </c>
      <c r="S71">
        <v>1</v>
      </c>
      <c r="U71">
        <v>0</v>
      </c>
      <c r="V71">
        <v>0</v>
      </c>
      <c r="X71">
        <v>2</v>
      </c>
      <c r="Y71">
        <v>0</v>
      </c>
      <c r="AA71">
        <v>4</v>
      </c>
      <c r="AB71">
        <v>0</v>
      </c>
      <c r="AD71">
        <v>6</v>
      </c>
      <c r="AE71">
        <v>0</v>
      </c>
      <c r="AG71">
        <v>24</v>
      </c>
      <c r="AH71">
        <v>0</v>
      </c>
      <c r="AJ71">
        <v>48</v>
      </c>
      <c r="AK71">
        <v>0</v>
      </c>
    </row>
    <row r="72" spans="2:37" x14ac:dyDescent="0.25">
      <c r="B72" s="1" t="s">
        <v>86</v>
      </c>
      <c r="C72">
        <v>0</v>
      </c>
      <c r="D72">
        <v>0</v>
      </c>
      <c r="F72">
        <v>2</v>
      </c>
      <c r="G72">
        <v>0</v>
      </c>
      <c r="I72">
        <v>4</v>
      </c>
      <c r="J72">
        <v>0</v>
      </c>
      <c r="L72">
        <v>6</v>
      </c>
      <c r="M72">
        <v>0</v>
      </c>
      <c r="O72">
        <v>24</v>
      </c>
      <c r="P72">
        <v>1</v>
      </c>
      <c r="R72">
        <v>48</v>
      </c>
      <c r="S72">
        <v>1</v>
      </c>
      <c r="U72">
        <v>0</v>
      </c>
      <c r="V72">
        <v>0</v>
      </c>
      <c r="X72">
        <v>2</v>
      </c>
      <c r="Y72">
        <v>0</v>
      </c>
      <c r="AA72">
        <v>4</v>
      </c>
      <c r="AB72">
        <v>0</v>
      </c>
      <c r="AD72">
        <v>6</v>
      </c>
      <c r="AE72">
        <v>0</v>
      </c>
      <c r="AG72">
        <v>24</v>
      </c>
      <c r="AH72">
        <v>0</v>
      </c>
      <c r="AJ72">
        <v>48</v>
      </c>
      <c r="AK72">
        <v>0</v>
      </c>
    </row>
    <row r="73" spans="2:37" x14ac:dyDescent="0.25">
      <c r="B73" s="1" t="s">
        <v>87</v>
      </c>
      <c r="C73">
        <v>0</v>
      </c>
      <c r="D73">
        <v>0</v>
      </c>
      <c r="F73">
        <v>2</v>
      </c>
      <c r="G73">
        <v>0</v>
      </c>
      <c r="I73">
        <v>4</v>
      </c>
      <c r="J73">
        <v>0</v>
      </c>
      <c r="L73">
        <v>6</v>
      </c>
      <c r="M73">
        <v>0</v>
      </c>
      <c r="O73">
        <v>24</v>
      </c>
      <c r="P73">
        <v>1</v>
      </c>
      <c r="R73">
        <v>48</v>
      </c>
      <c r="S73">
        <v>1</v>
      </c>
      <c r="U73">
        <v>0</v>
      </c>
      <c r="V73">
        <v>0</v>
      </c>
      <c r="X73">
        <v>2</v>
      </c>
      <c r="Y73">
        <v>0</v>
      </c>
      <c r="AA73">
        <v>4</v>
      </c>
      <c r="AB73">
        <v>0</v>
      </c>
      <c r="AD73">
        <v>6</v>
      </c>
      <c r="AE73">
        <v>0</v>
      </c>
      <c r="AG73">
        <v>24</v>
      </c>
      <c r="AH73">
        <v>0</v>
      </c>
      <c r="AJ73">
        <v>48</v>
      </c>
      <c r="AK73">
        <v>0</v>
      </c>
    </row>
    <row r="74" spans="2:37" x14ac:dyDescent="0.25">
      <c r="B74" s="1" t="s">
        <v>88</v>
      </c>
      <c r="C74">
        <v>0</v>
      </c>
      <c r="D74">
        <v>0</v>
      </c>
      <c r="F74">
        <v>2</v>
      </c>
      <c r="G74">
        <v>0</v>
      </c>
      <c r="I74">
        <v>4</v>
      </c>
      <c r="J74">
        <v>0</v>
      </c>
      <c r="L74">
        <v>6</v>
      </c>
      <c r="M74">
        <v>0</v>
      </c>
      <c r="O74">
        <v>24</v>
      </c>
      <c r="P74">
        <v>1</v>
      </c>
      <c r="R74">
        <v>48</v>
      </c>
      <c r="S74">
        <v>1</v>
      </c>
      <c r="U74">
        <v>0</v>
      </c>
      <c r="V74">
        <v>0</v>
      </c>
      <c r="X74">
        <v>2</v>
      </c>
      <c r="Y74">
        <v>0</v>
      </c>
      <c r="AA74">
        <v>4</v>
      </c>
      <c r="AB74">
        <v>0</v>
      </c>
      <c r="AD74">
        <v>6</v>
      </c>
      <c r="AE74">
        <v>0</v>
      </c>
      <c r="AG74">
        <v>24</v>
      </c>
      <c r="AH74">
        <v>0</v>
      </c>
      <c r="AJ74">
        <v>48</v>
      </c>
      <c r="AK74">
        <v>0</v>
      </c>
    </row>
    <row r="75" spans="2:37" x14ac:dyDescent="0.25">
      <c r="B75" s="1" t="s">
        <v>89</v>
      </c>
      <c r="C75">
        <v>0</v>
      </c>
      <c r="D75">
        <v>0</v>
      </c>
      <c r="F75">
        <v>2</v>
      </c>
      <c r="G75">
        <v>0</v>
      </c>
      <c r="I75">
        <v>4</v>
      </c>
      <c r="J75">
        <v>0</v>
      </c>
      <c r="L75">
        <v>6</v>
      </c>
      <c r="M75">
        <v>0</v>
      </c>
      <c r="O75">
        <v>24</v>
      </c>
      <c r="P75">
        <v>1</v>
      </c>
      <c r="R75">
        <v>48</v>
      </c>
      <c r="S75">
        <v>1</v>
      </c>
      <c r="U75">
        <v>0</v>
      </c>
      <c r="V75">
        <v>0</v>
      </c>
      <c r="X75">
        <v>2</v>
      </c>
      <c r="Y75">
        <v>0</v>
      </c>
      <c r="AA75">
        <v>4</v>
      </c>
      <c r="AB75">
        <v>0</v>
      </c>
      <c r="AD75">
        <v>6</v>
      </c>
      <c r="AE75">
        <v>0</v>
      </c>
      <c r="AG75">
        <v>24</v>
      </c>
      <c r="AH75">
        <v>0</v>
      </c>
      <c r="AJ75">
        <v>48</v>
      </c>
      <c r="AK75">
        <v>0</v>
      </c>
    </row>
    <row r="76" spans="2:37" x14ac:dyDescent="0.25">
      <c r="B76" s="1" t="s">
        <v>90</v>
      </c>
      <c r="C76">
        <v>0</v>
      </c>
      <c r="D76">
        <v>0</v>
      </c>
      <c r="F76">
        <v>2</v>
      </c>
      <c r="G76">
        <v>0</v>
      </c>
      <c r="I76">
        <v>4</v>
      </c>
      <c r="J76">
        <v>0</v>
      </c>
      <c r="L76">
        <v>6</v>
      </c>
      <c r="M76">
        <v>0</v>
      </c>
      <c r="O76">
        <v>24</v>
      </c>
      <c r="P76">
        <v>1</v>
      </c>
      <c r="R76">
        <v>48</v>
      </c>
      <c r="S76">
        <v>1</v>
      </c>
      <c r="U76">
        <v>0</v>
      </c>
      <c r="V76">
        <v>0</v>
      </c>
      <c r="X76">
        <v>2</v>
      </c>
      <c r="Y76">
        <v>0</v>
      </c>
      <c r="AA76">
        <v>4</v>
      </c>
      <c r="AB76">
        <v>0</v>
      </c>
      <c r="AD76">
        <v>6</v>
      </c>
      <c r="AE76">
        <v>0</v>
      </c>
      <c r="AG76">
        <v>24</v>
      </c>
      <c r="AH76">
        <v>0</v>
      </c>
      <c r="AJ76">
        <v>48</v>
      </c>
      <c r="AK76">
        <v>0</v>
      </c>
    </row>
    <row r="77" spans="2:37" x14ac:dyDescent="0.25">
      <c r="B77" s="1" t="s">
        <v>91</v>
      </c>
      <c r="C77">
        <v>0</v>
      </c>
      <c r="D77">
        <v>0</v>
      </c>
      <c r="F77">
        <v>2</v>
      </c>
      <c r="G77">
        <v>0</v>
      </c>
      <c r="I77">
        <v>4</v>
      </c>
      <c r="J77">
        <v>0</v>
      </c>
      <c r="L77">
        <v>6</v>
      </c>
      <c r="M77">
        <v>0</v>
      </c>
      <c r="O77">
        <v>24</v>
      </c>
      <c r="P77">
        <v>0</v>
      </c>
      <c r="R77">
        <v>48</v>
      </c>
      <c r="S77">
        <v>0</v>
      </c>
      <c r="U77">
        <v>0</v>
      </c>
      <c r="V77">
        <v>0</v>
      </c>
      <c r="X77">
        <v>2</v>
      </c>
      <c r="Y77">
        <v>0</v>
      </c>
      <c r="AA77">
        <v>4</v>
      </c>
      <c r="AB77">
        <v>0</v>
      </c>
      <c r="AD77">
        <v>6</v>
      </c>
      <c r="AE77">
        <v>0</v>
      </c>
      <c r="AG77">
        <v>24</v>
      </c>
      <c r="AH77">
        <v>0</v>
      </c>
      <c r="AJ77">
        <v>48</v>
      </c>
      <c r="AK77">
        <v>0</v>
      </c>
    </row>
    <row r="78" spans="2:37" x14ac:dyDescent="0.25">
      <c r="B78" s="1" t="s">
        <v>92</v>
      </c>
      <c r="C78">
        <v>0</v>
      </c>
      <c r="D78">
        <v>0</v>
      </c>
      <c r="F78">
        <v>2</v>
      </c>
      <c r="G78">
        <v>0</v>
      </c>
      <c r="I78">
        <v>4</v>
      </c>
      <c r="J78">
        <v>0</v>
      </c>
      <c r="L78">
        <v>6</v>
      </c>
      <c r="M78">
        <v>0</v>
      </c>
      <c r="O78">
        <v>24</v>
      </c>
      <c r="P78">
        <v>0</v>
      </c>
      <c r="R78">
        <v>48</v>
      </c>
      <c r="S78">
        <v>0</v>
      </c>
      <c r="U78">
        <v>0</v>
      </c>
      <c r="V78">
        <v>0</v>
      </c>
      <c r="X78">
        <v>2</v>
      </c>
      <c r="Y78">
        <v>0</v>
      </c>
      <c r="AA78">
        <v>4</v>
      </c>
      <c r="AB78">
        <v>0</v>
      </c>
      <c r="AD78">
        <v>6</v>
      </c>
      <c r="AE78">
        <v>0</v>
      </c>
      <c r="AG78">
        <v>24</v>
      </c>
      <c r="AH78">
        <v>0</v>
      </c>
      <c r="AJ78">
        <v>48</v>
      </c>
      <c r="AK78">
        <v>0</v>
      </c>
    </row>
    <row r="79" spans="2:37" x14ac:dyDescent="0.25">
      <c r="B79" s="1" t="s">
        <v>93</v>
      </c>
      <c r="C79">
        <v>0</v>
      </c>
      <c r="D79">
        <v>0</v>
      </c>
      <c r="F79">
        <v>2</v>
      </c>
      <c r="G79">
        <v>0</v>
      </c>
      <c r="I79">
        <v>4</v>
      </c>
      <c r="J79">
        <v>0</v>
      </c>
      <c r="L79">
        <v>6</v>
      </c>
      <c r="M79">
        <v>0</v>
      </c>
      <c r="O79">
        <v>24</v>
      </c>
      <c r="P79">
        <v>0</v>
      </c>
      <c r="R79">
        <v>48</v>
      </c>
      <c r="S79">
        <v>0</v>
      </c>
      <c r="U79">
        <v>0</v>
      </c>
      <c r="V79">
        <v>0</v>
      </c>
      <c r="X79">
        <v>2</v>
      </c>
      <c r="Y79">
        <v>0</v>
      </c>
      <c r="AA79">
        <v>4</v>
      </c>
      <c r="AB79">
        <v>0</v>
      </c>
      <c r="AD79">
        <v>6</v>
      </c>
      <c r="AE79">
        <v>0</v>
      </c>
      <c r="AG79">
        <v>24</v>
      </c>
      <c r="AH79">
        <v>0</v>
      </c>
      <c r="AJ79">
        <v>48</v>
      </c>
      <c r="AK79">
        <v>0</v>
      </c>
    </row>
    <row r="84" spans="2:37" x14ac:dyDescent="0.25">
      <c r="C84" s="1" t="s">
        <v>94</v>
      </c>
      <c r="U84" s="1" t="s">
        <v>95</v>
      </c>
    </row>
    <row r="85" spans="2:37" x14ac:dyDescent="0.25">
      <c r="C85" t="s">
        <v>78</v>
      </c>
      <c r="F85" t="s">
        <v>78</v>
      </c>
      <c r="I85" t="s">
        <v>78</v>
      </c>
      <c r="L85" t="s">
        <v>78</v>
      </c>
      <c r="O85" t="s">
        <v>78</v>
      </c>
      <c r="R85" t="s">
        <v>78</v>
      </c>
      <c r="U85" t="s">
        <v>78</v>
      </c>
      <c r="X85" t="s">
        <v>78</v>
      </c>
      <c r="AA85" t="s">
        <v>78</v>
      </c>
      <c r="AD85" t="s">
        <v>78</v>
      </c>
      <c r="AG85" t="s">
        <v>78</v>
      </c>
      <c r="AJ85" t="s">
        <v>78</v>
      </c>
    </row>
    <row r="86" spans="2:37" x14ac:dyDescent="0.25">
      <c r="B86" s="1" t="s">
        <v>79</v>
      </c>
      <c r="C86">
        <v>0</v>
      </c>
      <c r="D86">
        <v>0</v>
      </c>
      <c r="F86">
        <v>2</v>
      </c>
      <c r="G86">
        <v>0</v>
      </c>
      <c r="I86">
        <v>4</v>
      </c>
      <c r="J86">
        <v>0</v>
      </c>
      <c r="L86">
        <v>6</v>
      </c>
      <c r="M86">
        <v>0</v>
      </c>
      <c r="O86">
        <v>24</v>
      </c>
      <c r="P86">
        <v>1</v>
      </c>
      <c r="R86">
        <v>48</v>
      </c>
      <c r="S86">
        <v>1</v>
      </c>
      <c r="U86">
        <v>0</v>
      </c>
      <c r="V86">
        <v>0</v>
      </c>
      <c r="X86">
        <v>2</v>
      </c>
      <c r="Y86">
        <v>0</v>
      </c>
      <c r="AA86">
        <v>4</v>
      </c>
      <c r="AB86">
        <v>0</v>
      </c>
      <c r="AD86">
        <v>6</v>
      </c>
      <c r="AE86">
        <v>0</v>
      </c>
      <c r="AG86">
        <v>24</v>
      </c>
      <c r="AH86">
        <v>0</v>
      </c>
      <c r="AJ86">
        <v>48</v>
      </c>
      <c r="AK86">
        <v>0</v>
      </c>
    </row>
    <row r="87" spans="2:37" x14ac:dyDescent="0.25">
      <c r="B87" s="1" t="s">
        <v>80</v>
      </c>
      <c r="C87">
        <v>0</v>
      </c>
      <c r="D87">
        <v>0</v>
      </c>
      <c r="F87">
        <v>2</v>
      </c>
      <c r="G87">
        <v>0</v>
      </c>
      <c r="I87">
        <v>4</v>
      </c>
      <c r="J87">
        <v>0</v>
      </c>
      <c r="L87">
        <v>6</v>
      </c>
      <c r="M87">
        <v>0</v>
      </c>
      <c r="O87">
        <v>24</v>
      </c>
      <c r="P87">
        <v>1</v>
      </c>
      <c r="R87">
        <v>48</v>
      </c>
      <c r="S87">
        <v>1</v>
      </c>
      <c r="U87">
        <v>0</v>
      </c>
      <c r="V87">
        <v>0</v>
      </c>
      <c r="X87">
        <v>2</v>
      </c>
      <c r="Y87">
        <v>0</v>
      </c>
      <c r="AA87">
        <v>4</v>
      </c>
      <c r="AB87">
        <v>0</v>
      </c>
      <c r="AD87">
        <v>6</v>
      </c>
      <c r="AE87">
        <v>0</v>
      </c>
      <c r="AG87">
        <v>24</v>
      </c>
      <c r="AH87">
        <v>0</v>
      </c>
      <c r="AJ87">
        <v>48</v>
      </c>
      <c r="AK87">
        <v>0</v>
      </c>
    </row>
    <row r="88" spans="2:37" x14ac:dyDescent="0.25">
      <c r="B88" s="1" t="s">
        <v>81</v>
      </c>
      <c r="C88">
        <v>0</v>
      </c>
      <c r="D88">
        <v>0</v>
      </c>
      <c r="F88">
        <v>2</v>
      </c>
      <c r="G88">
        <v>0</v>
      </c>
      <c r="I88">
        <v>4</v>
      </c>
      <c r="J88">
        <v>0</v>
      </c>
      <c r="L88">
        <v>6</v>
      </c>
      <c r="M88">
        <v>0</v>
      </c>
      <c r="O88">
        <v>24</v>
      </c>
      <c r="P88">
        <v>1</v>
      </c>
      <c r="R88">
        <v>48</v>
      </c>
      <c r="S88">
        <v>1</v>
      </c>
      <c r="U88">
        <v>0</v>
      </c>
      <c r="V88">
        <v>0</v>
      </c>
      <c r="X88">
        <v>2</v>
      </c>
      <c r="Y88">
        <v>0</v>
      </c>
      <c r="AA88">
        <v>4</v>
      </c>
      <c r="AB88">
        <v>0</v>
      </c>
      <c r="AD88">
        <v>6</v>
      </c>
      <c r="AE88">
        <v>0</v>
      </c>
      <c r="AG88">
        <v>24</v>
      </c>
      <c r="AH88">
        <v>0</v>
      </c>
      <c r="AJ88">
        <v>48</v>
      </c>
      <c r="AK88">
        <v>0</v>
      </c>
    </row>
    <row r="89" spans="2:37" x14ac:dyDescent="0.25">
      <c r="B89" s="1" t="s">
        <v>82</v>
      </c>
      <c r="C89">
        <v>0</v>
      </c>
      <c r="D89">
        <v>0</v>
      </c>
      <c r="F89">
        <v>2</v>
      </c>
      <c r="G89">
        <v>0</v>
      </c>
      <c r="I89">
        <v>4</v>
      </c>
      <c r="J89">
        <v>0</v>
      </c>
      <c r="L89">
        <v>6</v>
      </c>
      <c r="M89">
        <v>0</v>
      </c>
      <c r="O89">
        <v>24</v>
      </c>
      <c r="P89">
        <v>1</v>
      </c>
      <c r="R89">
        <v>48</v>
      </c>
      <c r="S89">
        <v>1</v>
      </c>
      <c r="U89">
        <v>0</v>
      </c>
      <c r="V89">
        <v>0</v>
      </c>
      <c r="X89">
        <v>2</v>
      </c>
      <c r="Y89">
        <v>0</v>
      </c>
      <c r="AA89">
        <v>4</v>
      </c>
      <c r="AB89">
        <v>0</v>
      </c>
      <c r="AD89">
        <v>6</v>
      </c>
      <c r="AE89">
        <v>0</v>
      </c>
      <c r="AG89">
        <v>24</v>
      </c>
      <c r="AH89">
        <v>0</v>
      </c>
      <c r="AJ89">
        <v>48</v>
      </c>
      <c r="AK89">
        <v>0</v>
      </c>
    </row>
    <row r="90" spans="2:37" x14ac:dyDescent="0.25">
      <c r="B90" s="1" t="s">
        <v>83</v>
      </c>
      <c r="C90">
        <v>0</v>
      </c>
      <c r="D90">
        <v>0</v>
      </c>
      <c r="F90">
        <v>2</v>
      </c>
      <c r="G90">
        <v>0</v>
      </c>
      <c r="I90">
        <v>4</v>
      </c>
      <c r="J90">
        <v>0</v>
      </c>
      <c r="L90">
        <v>6</v>
      </c>
      <c r="M90">
        <v>0</v>
      </c>
      <c r="O90">
        <v>24</v>
      </c>
      <c r="P90">
        <v>1</v>
      </c>
      <c r="R90">
        <v>48</v>
      </c>
      <c r="S90">
        <v>1</v>
      </c>
      <c r="U90">
        <v>0</v>
      </c>
      <c r="V90">
        <v>0</v>
      </c>
      <c r="X90">
        <v>2</v>
      </c>
      <c r="Y90">
        <v>0</v>
      </c>
      <c r="AA90">
        <v>4</v>
      </c>
      <c r="AB90">
        <v>0</v>
      </c>
      <c r="AD90">
        <v>6</v>
      </c>
      <c r="AE90">
        <v>0</v>
      </c>
      <c r="AG90">
        <v>24</v>
      </c>
      <c r="AH90">
        <v>0</v>
      </c>
      <c r="AJ90">
        <v>48</v>
      </c>
      <c r="AK90">
        <v>0</v>
      </c>
    </row>
    <row r="91" spans="2:37" x14ac:dyDescent="0.25">
      <c r="B91" s="1" t="s">
        <v>84</v>
      </c>
      <c r="C91">
        <v>0</v>
      </c>
      <c r="D91">
        <v>0</v>
      </c>
      <c r="F91">
        <v>2</v>
      </c>
      <c r="G91">
        <v>0</v>
      </c>
      <c r="I91">
        <v>4</v>
      </c>
      <c r="J91">
        <v>0</v>
      </c>
      <c r="L91">
        <v>6</v>
      </c>
      <c r="M91">
        <v>0</v>
      </c>
      <c r="O91">
        <v>24</v>
      </c>
      <c r="P91">
        <v>1</v>
      </c>
      <c r="R91">
        <v>48</v>
      </c>
      <c r="S91">
        <v>1</v>
      </c>
      <c r="U91">
        <v>0</v>
      </c>
      <c r="V91">
        <v>0</v>
      </c>
      <c r="X91">
        <v>2</v>
      </c>
      <c r="Y91">
        <v>0</v>
      </c>
      <c r="AA91">
        <v>4</v>
      </c>
      <c r="AB91">
        <v>0</v>
      </c>
      <c r="AD91">
        <v>6</v>
      </c>
      <c r="AE91">
        <v>0</v>
      </c>
      <c r="AG91">
        <v>24</v>
      </c>
      <c r="AH91">
        <v>0</v>
      </c>
      <c r="AJ91">
        <v>48</v>
      </c>
      <c r="AK91">
        <v>0</v>
      </c>
    </row>
    <row r="92" spans="2:37" x14ac:dyDescent="0.25">
      <c r="B92" s="1" t="s">
        <v>85</v>
      </c>
      <c r="C92">
        <v>0</v>
      </c>
      <c r="D92">
        <v>0</v>
      </c>
      <c r="F92">
        <v>2</v>
      </c>
      <c r="G92">
        <v>0</v>
      </c>
      <c r="I92">
        <v>4</v>
      </c>
      <c r="J92">
        <v>0</v>
      </c>
      <c r="L92">
        <v>6</v>
      </c>
      <c r="M92">
        <v>0</v>
      </c>
      <c r="O92">
        <v>24</v>
      </c>
      <c r="P92">
        <v>1</v>
      </c>
      <c r="R92">
        <v>48</v>
      </c>
      <c r="S92">
        <v>1</v>
      </c>
      <c r="U92">
        <v>0</v>
      </c>
      <c r="V92">
        <v>0</v>
      </c>
      <c r="X92">
        <v>2</v>
      </c>
      <c r="Y92">
        <v>0</v>
      </c>
      <c r="AA92">
        <v>4</v>
      </c>
      <c r="AB92">
        <v>0</v>
      </c>
      <c r="AD92">
        <v>6</v>
      </c>
      <c r="AE92">
        <v>0</v>
      </c>
      <c r="AG92">
        <v>24</v>
      </c>
      <c r="AH92">
        <v>0</v>
      </c>
      <c r="AJ92">
        <v>48</v>
      </c>
      <c r="AK92">
        <v>0</v>
      </c>
    </row>
    <row r="93" spans="2:37" x14ac:dyDescent="0.25">
      <c r="B93" s="1" t="s">
        <v>86</v>
      </c>
      <c r="C93">
        <v>0</v>
      </c>
      <c r="D93">
        <v>0</v>
      </c>
      <c r="F93">
        <v>2</v>
      </c>
      <c r="G93">
        <v>0</v>
      </c>
      <c r="I93">
        <v>4</v>
      </c>
      <c r="J93">
        <v>0</v>
      </c>
      <c r="L93">
        <v>6</v>
      </c>
      <c r="M93">
        <v>0</v>
      </c>
      <c r="O93">
        <v>24</v>
      </c>
      <c r="P93">
        <v>1</v>
      </c>
      <c r="R93">
        <v>48</v>
      </c>
      <c r="S93">
        <v>1</v>
      </c>
      <c r="U93">
        <v>0</v>
      </c>
      <c r="V93">
        <v>0</v>
      </c>
      <c r="X93">
        <v>2</v>
      </c>
      <c r="Y93">
        <v>0</v>
      </c>
      <c r="AA93">
        <v>4</v>
      </c>
      <c r="AB93">
        <v>0</v>
      </c>
      <c r="AD93">
        <v>6</v>
      </c>
      <c r="AE93">
        <v>0</v>
      </c>
      <c r="AG93">
        <v>24</v>
      </c>
      <c r="AH93">
        <v>0</v>
      </c>
      <c r="AJ93">
        <v>48</v>
      </c>
      <c r="AK93">
        <v>0</v>
      </c>
    </row>
    <row r="94" spans="2:37" x14ac:dyDescent="0.25">
      <c r="B94" s="1" t="s">
        <v>87</v>
      </c>
      <c r="C94">
        <v>0</v>
      </c>
      <c r="D94">
        <v>0</v>
      </c>
      <c r="F94">
        <v>2</v>
      </c>
      <c r="G94">
        <v>0</v>
      </c>
      <c r="I94">
        <v>4</v>
      </c>
      <c r="J94">
        <v>0</v>
      </c>
      <c r="L94">
        <v>6</v>
      </c>
      <c r="M94">
        <v>0</v>
      </c>
      <c r="O94">
        <v>24</v>
      </c>
      <c r="P94">
        <v>1</v>
      </c>
      <c r="R94">
        <v>48</v>
      </c>
      <c r="S94">
        <v>1</v>
      </c>
      <c r="U94">
        <v>0</v>
      </c>
      <c r="V94">
        <v>0</v>
      </c>
      <c r="X94">
        <v>2</v>
      </c>
      <c r="Y94">
        <v>0</v>
      </c>
      <c r="AA94">
        <v>4</v>
      </c>
      <c r="AB94">
        <v>0</v>
      </c>
      <c r="AD94">
        <v>6</v>
      </c>
      <c r="AE94">
        <v>0</v>
      </c>
      <c r="AG94">
        <v>24</v>
      </c>
      <c r="AH94">
        <v>0</v>
      </c>
      <c r="AJ94">
        <v>48</v>
      </c>
      <c r="AK94">
        <v>0</v>
      </c>
    </row>
    <row r="95" spans="2:37" x14ac:dyDescent="0.25">
      <c r="B95" s="1" t="s">
        <v>88</v>
      </c>
      <c r="C95">
        <v>0</v>
      </c>
      <c r="D95">
        <v>0</v>
      </c>
      <c r="F95">
        <v>2</v>
      </c>
      <c r="G95">
        <v>0</v>
      </c>
      <c r="I95">
        <v>4</v>
      </c>
      <c r="J95">
        <v>0</v>
      </c>
      <c r="L95">
        <v>6</v>
      </c>
      <c r="M95">
        <v>0</v>
      </c>
      <c r="O95">
        <v>24</v>
      </c>
      <c r="P95">
        <v>1</v>
      </c>
      <c r="R95">
        <v>48</v>
      </c>
      <c r="S95">
        <v>1</v>
      </c>
      <c r="U95">
        <v>0</v>
      </c>
      <c r="V95">
        <v>0</v>
      </c>
      <c r="X95">
        <v>2</v>
      </c>
      <c r="Y95">
        <v>0</v>
      </c>
      <c r="AA95">
        <v>4</v>
      </c>
      <c r="AB95">
        <v>0</v>
      </c>
      <c r="AD95">
        <v>6</v>
      </c>
      <c r="AE95">
        <v>0</v>
      </c>
      <c r="AG95">
        <v>24</v>
      </c>
      <c r="AH95">
        <v>0</v>
      </c>
      <c r="AJ95">
        <v>48</v>
      </c>
      <c r="AK95">
        <v>0</v>
      </c>
    </row>
    <row r="96" spans="2:37" x14ac:dyDescent="0.25">
      <c r="B96" s="1" t="s">
        <v>89</v>
      </c>
      <c r="C96">
        <v>0</v>
      </c>
      <c r="D96">
        <v>0</v>
      </c>
      <c r="F96">
        <v>2</v>
      </c>
      <c r="G96">
        <v>0</v>
      </c>
      <c r="I96">
        <v>4</v>
      </c>
      <c r="J96">
        <v>0</v>
      </c>
      <c r="L96">
        <v>6</v>
      </c>
      <c r="M96">
        <v>0</v>
      </c>
      <c r="O96">
        <v>24</v>
      </c>
      <c r="P96">
        <v>1</v>
      </c>
      <c r="R96">
        <v>48</v>
      </c>
      <c r="S96">
        <v>1</v>
      </c>
      <c r="U96">
        <v>0</v>
      </c>
      <c r="V96">
        <v>0</v>
      </c>
      <c r="X96">
        <v>2</v>
      </c>
      <c r="Y96">
        <v>0</v>
      </c>
      <c r="AA96">
        <v>4</v>
      </c>
      <c r="AB96">
        <v>0</v>
      </c>
      <c r="AD96">
        <v>6</v>
      </c>
      <c r="AE96">
        <v>0</v>
      </c>
      <c r="AG96">
        <v>24</v>
      </c>
      <c r="AH96">
        <v>0</v>
      </c>
      <c r="AJ96">
        <v>48</v>
      </c>
      <c r="AK96">
        <v>0</v>
      </c>
    </row>
    <row r="97" spans="1:37" x14ac:dyDescent="0.25">
      <c r="B97" s="1" t="s">
        <v>90</v>
      </c>
      <c r="C97">
        <v>0</v>
      </c>
      <c r="D97">
        <v>0</v>
      </c>
      <c r="F97">
        <v>2</v>
      </c>
      <c r="G97">
        <v>0</v>
      </c>
      <c r="I97">
        <v>4</v>
      </c>
      <c r="J97">
        <v>0</v>
      </c>
      <c r="L97">
        <v>6</v>
      </c>
      <c r="M97">
        <v>0</v>
      </c>
      <c r="O97">
        <v>24</v>
      </c>
      <c r="P97">
        <v>0</v>
      </c>
      <c r="R97">
        <v>48</v>
      </c>
      <c r="S97">
        <v>0</v>
      </c>
      <c r="U97">
        <v>0</v>
      </c>
      <c r="V97">
        <v>0</v>
      </c>
      <c r="X97">
        <v>2</v>
      </c>
      <c r="Y97">
        <v>0</v>
      </c>
      <c r="AA97">
        <v>4</v>
      </c>
      <c r="AB97">
        <v>0</v>
      </c>
      <c r="AD97">
        <v>6</v>
      </c>
      <c r="AE97">
        <v>0</v>
      </c>
      <c r="AG97">
        <v>24</v>
      </c>
      <c r="AH97">
        <v>0</v>
      </c>
      <c r="AJ97">
        <v>48</v>
      </c>
      <c r="AK97">
        <v>0</v>
      </c>
    </row>
    <row r="98" spans="1:37" x14ac:dyDescent="0.25">
      <c r="B98" s="1" t="s">
        <v>91</v>
      </c>
      <c r="C98">
        <v>0</v>
      </c>
      <c r="D98">
        <v>0</v>
      </c>
      <c r="F98">
        <v>2</v>
      </c>
      <c r="G98">
        <v>0</v>
      </c>
      <c r="I98">
        <v>4</v>
      </c>
      <c r="J98">
        <v>0</v>
      </c>
      <c r="L98">
        <v>6</v>
      </c>
      <c r="M98">
        <v>0</v>
      </c>
      <c r="O98">
        <v>24</v>
      </c>
      <c r="P98">
        <v>0</v>
      </c>
      <c r="R98">
        <v>48</v>
      </c>
      <c r="S98">
        <v>0</v>
      </c>
      <c r="U98">
        <v>0</v>
      </c>
      <c r="V98">
        <v>0</v>
      </c>
      <c r="X98">
        <v>2</v>
      </c>
      <c r="Y98">
        <v>0</v>
      </c>
      <c r="AA98">
        <v>4</v>
      </c>
      <c r="AB98">
        <v>0</v>
      </c>
      <c r="AD98">
        <v>6</v>
      </c>
      <c r="AE98">
        <v>0</v>
      </c>
      <c r="AG98">
        <v>24</v>
      </c>
      <c r="AH98">
        <v>0</v>
      </c>
      <c r="AJ98">
        <v>48</v>
      </c>
      <c r="AK98">
        <v>0</v>
      </c>
    </row>
    <row r="99" spans="1:37" x14ac:dyDescent="0.25">
      <c r="B99" s="1" t="s">
        <v>92</v>
      </c>
      <c r="C99">
        <v>0</v>
      </c>
      <c r="D99">
        <v>0</v>
      </c>
      <c r="F99">
        <v>2</v>
      </c>
      <c r="G99">
        <v>0</v>
      </c>
      <c r="I99">
        <v>4</v>
      </c>
      <c r="J99">
        <v>0</v>
      </c>
      <c r="L99">
        <v>6</v>
      </c>
      <c r="M99">
        <v>0</v>
      </c>
      <c r="O99">
        <v>24</v>
      </c>
      <c r="P99">
        <v>0</v>
      </c>
      <c r="R99">
        <v>48</v>
      </c>
      <c r="S99">
        <v>0</v>
      </c>
      <c r="U99">
        <v>0</v>
      </c>
      <c r="V99">
        <v>0</v>
      </c>
      <c r="X99">
        <v>2</v>
      </c>
      <c r="Y99">
        <v>0</v>
      </c>
      <c r="AA99">
        <v>4</v>
      </c>
      <c r="AB99">
        <v>0</v>
      </c>
      <c r="AD99">
        <v>6</v>
      </c>
      <c r="AE99">
        <v>0</v>
      </c>
      <c r="AG99">
        <v>24</v>
      </c>
      <c r="AH99">
        <v>0</v>
      </c>
      <c r="AJ99">
        <v>48</v>
      </c>
      <c r="AK99">
        <v>0</v>
      </c>
    </row>
    <row r="100" spans="1:37" x14ac:dyDescent="0.25">
      <c r="B100" s="1" t="s">
        <v>93</v>
      </c>
      <c r="C100">
        <v>0</v>
      </c>
      <c r="D100">
        <v>0</v>
      </c>
      <c r="F100">
        <v>2</v>
      </c>
      <c r="G100">
        <v>0</v>
      </c>
      <c r="I100">
        <v>4</v>
      </c>
      <c r="J100">
        <v>0</v>
      </c>
      <c r="L100">
        <v>6</v>
      </c>
      <c r="M100">
        <v>0</v>
      </c>
      <c r="O100">
        <v>24</v>
      </c>
      <c r="P100">
        <v>0</v>
      </c>
      <c r="R100">
        <v>48</v>
      </c>
      <c r="S100">
        <v>0</v>
      </c>
      <c r="U100">
        <v>0</v>
      </c>
      <c r="V100">
        <v>0</v>
      </c>
      <c r="X100">
        <v>2</v>
      </c>
      <c r="Y100">
        <v>0</v>
      </c>
      <c r="AA100">
        <v>4</v>
      </c>
      <c r="AB100">
        <v>0</v>
      </c>
      <c r="AD100">
        <v>6</v>
      </c>
      <c r="AE100">
        <v>0</v>
      </c>
      <c r="AG100">
        <v>24</v>
      </c>
      <c r="AH100">
        <v>0</v>
      </c>
      <c r="AJ100">
        <v>48</v>
      </c>
      <c r="AK100">
        <v>0</v>
      </c>
    </row>
    <row r="105" spans="1:37" x14ac:dyDescent="0.25">
      <c r="B105" t="s">
        <v>96</v>
      </c>
    </row>
    <row r="107" spans="1:37" x14ac:dyDescent="0.25">
      <c r="B107">
        <v>8640</v>
      </c>
      <c r="C107" t="s">
        <v>97</v>
      </c>
      <c r="D107" t="s">
        <v>101</v>
      </c>
    </row>
    <row r="108" spans="1:37" ht="17.25" x14ac:dyDescent="0.25">
      <c r="B108" t="s">
        <v>18</v>
      </c>
    </row>
    <row r="109" spans="1:37" x14ac:dyDescent="0.25">
      <c r="B109">
        <v>21</v>
      </c>
      <c r="C109">
        <v>12</v>
      </c>
      <c r="D109">
        <v>26</v>
      </c>
    </row>
    <row r="110" spans="1:37" x14ac:dyDescent="0.25">
      <c r="B110">
        <v>26</v>
      </c>
      <c r="C110">
        <v>13</v>
      </c>
      <c r="D110">
        <v>29</v>
      </c>
    </row>
    <row r="111" spans="1:37" x14ac:dyDescent="0.25">
      <c r="B111">
        <v>19</v>
      </c>
      <c r="C111">
        <v>15</v>
      </c>
      <c r="D111">
        <v>15</v>
      </c>
    </row>
    <row r="112" spans="1:37" x14ac:dyDescent="0.25">
      <c r="A112" s="2" t="s">
        <v>9</v>
      </c>
      <c r="B112" s="2">
        <f>AVERAGE(B109:B111)</f>
        <v>22</v>
      </c>
      <c r="C112" s="2">
        <f>AVERAGE(C109:C111)</f>
        <v>13.333333333333334</v>
      </c>
      <c r="D112" s="2">
        <f>AVERAGE(D109:D111)</f>
        <v>23.333333333333332</v>
      </c>
    </row>
    <row r="113" spans="1:37" x14ac:dyDescent="0.25">
      <c r="A113" s="2" t="s">
        <v>27</v>
      </c>
      <c r="B113" s="2">
        <f>STDEVA(B109:B111)</f>
        <v>3.6055512754639891</v>
      </c>
      <c r="C113" s="2">
        <f>STDEVA(C109:C111)</f>
        <v>1.5275252316519468</v>
      </c>
      <c r="D113" s="2">
        <f>STDEVA(D109:D111)</f>
        <v>7.3711147958319962</v>
      </c>
    </row>
    <row r="114" spans="1:37" x14ac:dyDescent="0.25">
      <c r="A114" s="2" t="s">
        <v>11</v>
      </c>
      <c r="B114" s="3">
        <v>2200000</v>
      </c>
      <c r="C114" s="3">
        <v>1333000</v>
      </c>
      <c r="D114" s="3">
        <v>2333000</v>
      </c>
    </row>
    <row r="115" spans="1:37" x14ac:dyDescent="0.25">
      <c r="A115" s="2" t="s">
        <v>98</v>
      </c>
      <c r="B115" s="3">
        <f>B114/(100)</f>
        <v>22000</v>
      </c>
      <c r="C115" s="3">
        <f>C114/(100)</f>
        <v>13330</v>
      </c>
      <c r="D115" s="3">
        <f>D114/(100)</f>
        <v>23330</v>
      </c>
    </row>
    <row r="119" spans="1:37" x14ac:dyDescent="0.25">
      <c r="C119" s="1">
        <v>8640</v>
      </c>
      <c r="U119" s="1" t="s">
        <v>22</v>
      </c>
    </row>
    <row r="120" spans="1:37" x14ac:dyDescent="0.25">
      <c r="C120" t="s">
        <v>78</v>
      </c>
      <c r="F120" t="s">
        <v>78</v>
      </c>
      <c r="I120" t="s">
        <v>78</v>
      </c>
      <c r="L120" t="s">
        <v>78</v>
      </c>
      <c r="O120" t="s">
        <v>78</v>
      </c>
      <c r="R120" t="s">
        <v>78</v>
      </c>
      <c r="U120" t="s">
        <v>78</v>
      </c>
      <c r="X120" t="s">
        <v>78</v>
      </c>
      <c r="AA120" t="s">
        <v>78</v>
      </c>
      <c r="AD120" t="s">
        <v>78</v>
      </c>
      <c r="AG120" t="s">
        <v>78</v>
      </c>
      <c r="AJ120" t="s">
        <v>78</v>
      </c>
    </row>
    <row r="121" spans="1:37" x14ac:dyDescent="0.25">
      <c r="B121" s="1" t="s">
        <v>79</v>
      </c>
      <c r="C121">
        <v>0</v>
      </c>
      <c r="D121">
        <v>0</v>
      </c>
      <c r="F121">
        <v>2</v>
      </c>
      <c r="G121">
        <v>0</v>
      </c>
      <c r="I121">
        <v>4</v>
      </c>
      <c r="J121">
        <v>0</v>
      </c>
      <c r="L121">
        <v>6</v>
      </c>
      <c r="M121">
        <v>0</v>
      </c>
      <c r="O121">
        <v>24</v>
      </c>
      <c r="P121">
        <v>1</v>
      </c>
      <c r="R121">
        <v>48</v>
      </c>
      <c r="S121">
        <v>1</v>
      </c>
      <c r="U121">
        <v>0</v>
      </c>
      <c r="V121">
        <v>0</v>
      </c>
      <c r="X121">
        <v>2</v>
      </c>
      <c r="Y121">
        <v>0</v>
      </c>
      <c r="AA121">
        <v>4</v>
      </c>
      <c r="AB121">
        <v>0</v>
      </c>
      <c r="AD121">
        <v>6</v>
      </c>
      <c r="AE121">
        <v>0</v>
      </c>
      <c r="AG121">
        <v>24</v>
      </c>
      <c r="AH121">
        <v>1</v>
      </c>
      <c r="AJ121">
        <v>48</v>
      </c>
      <c r="AK121">
        <v>1</v>
      </c>
    </row>
    <row r="122" spans="1:37" x14ac:dyDescent="0.25">
      <c r="B122" s="1" t="s">
        <v>80</v>
      </c>
      <c r="C122">
        <v>0</v>
      </c>
      <c r="D122">
        <v>0</v>
      </c>
      <c r="F122">
        <v>2</v>
      </c>
      <c r="G122">
        <v>0</v>
      </c>
      <c r="I122">
        <v>4</v>
      </c>
      <c r="J122">
        <v>0</v>
      </c>
      <c r="L122">
        <v>6</v>
      </c>
      <c r="M122">
        <v>0</v>
      </c>
      <c r="O122">
        <v>24</v>
      </c>
      <c r="P122">
        <v>1</v>
      </c>
      <c r="R122">
        <v>48</v>
      </c>
      <c r="S122">
        <v>1</v>
      </c>
      <c r="U122">
        <v>0</v>
      </c>
      <c r="V122">
        <v>0</v>
      </c>
      <c r="X122">
        <v>2</v>
      </c>
      <c r="Y122">
        <v>0</v>
      </c>
      <c r="AA122">
        <v>4</v>
      </c>
      <c r="AB122">
        <v>0</v>
      </c>
      <c r="AD122">
        <v>6</v>
      </c>
      <c r="AE122">
        <v>0</v>
      </c>
      <c r="AG122">
        <v>24</v>
      </c>
      <c r="AH122">
        <v>1</v>
      </c>
      <c r="AJ122">
        <v>48</v>
      </c>
      <c r="AK122">
        <v>1</v>
      </c>
    </row>
    <row r="123" spans="1:37" x14ac:dyDescent="0.25">
      <c r="B123" s="1" t="s">
        <v>81</v>
      </c>
      <c r="C123">
        <v>0</v>
      </c>
      <c r="D123">
        <v>0</v>
      </c>
      <c r="F123">
        <v>2</v>
      </c>
      <c r="G123">
        <v>0</v>
      </c>
      <c r="I123">
        <v>4</v>
      </c>
      <c r="J123">
        <v>0</v>
      </c>
      <c r="L123">
        <v>6</v>
      </c>
      <c r="M123">
        <v>0</v>
      </c>
      <c r="O123">
        <v>24</v>
      </c>
      <c r="P123">
        <v>1</v>
      </c>
      <c r="R123">
        <v>48</v>
      </c>
      <c r="S123">
        <v>1</v>
      </c>
      <c r="U123">
        <v>0</v>
      </c>
      <c r="V123">
        <v>0</v>
      </c>
      <c r="X123">
        <v>2</v>
      </c>
      <c r="Y123">
        <v>0</v>
      </c>
      <c r="AA123">
        <v>4</v>
      </c>
      <c r="AB123">
        <v>0</v>
      </c>
      <c r="AD123">
        <v>6</v>
      </c>
      <c r="AE123">
        <v>0</v>
      </c>
      <c r="AG123">
        <v>24</v>
      </c>
      <c r="AH123">
        <v>1</v>
      </c>
      <c r="AJ123">
        <v>48</v>
      </c>
      <c r="AK123">
        <v>1</v>
      </c>
    </row>
    <row r="124" spans="1:37" x14ac:dyDescent="0.25">
      <c r="B124" s="1" t="s">
        <v>82</v>
      </c>
      <c r="C124">
        <v>0</v>
      </c>
      <c r="D124">
        <v>0</v>
      </c>
      <c r="F124">
        <v>2</v>
      </c>
      <c r="G124">
        <v>0</v>
      </c>
      <c r="I124">
        <v>4</v>
      </c>
      <c r="J124">
        <v>0</v>
      </c>
      <c r="L124">
        <v>6</v>
      </c>
      <c r="M124">
        <v>0</v>
      </c>
      <c r="O124">
        <v>24</v>
      </c>
      <c r="P124">
        <v>1</v>
      </c>
      <c r="R124">
        <v>48</v>
      </c>
      <c r="S124">
        <v>1</v>
      </c>
      <c r="U124">
        <v>0</v>
      </c>
      <c r="V124">
        <v>0</v>
      </c>
      <c r="X124">
        <v>2</v>
      </c>
      <c r="Y124">
        <v>0</v>
      </c>
      <c r="AA124">
        <v>4</v>
      </c>
      <c r="AB124">
        <v>0</v>
      </c>
      <c r="AD124">
        <v>6</v>
      </c>
      <c r="AE124">
        <v>0</v>
      </c>
      <c r="AG124">
        <v>24</v>
      </c>
      <c r="AH124">
        <v>1</v>
      </c>
      <c r="AJ124">
        <v>48</v>
      </c>
      <c r="AK124">
        <v>1</v>
      </c>
    </row>
    <row r="125" spans="1:37" x14ac:dyDescent="0.25">
      <c r="B125" s="1" t="s">
        <v>83</v>
      </c>
      <c r="C125">
        <v>0</v>
      </c>
      <c r="D125">
        <v>0</v>
      </c>
      <c r="F125">
        <v>2</v>
      </c>
      <c r="G125">
        <v>0</v>
      </c>
      <c r="I125">
        <v>4</v>
      </c>
      <c r="J125">
        <v>0</v>
      </c>
      <c r="L125">
        <v>6</v>
      </c>
      <c r="M125">
        <v>0</v>
      </c>
      <c r="O125">
        <v>24</v>
      </c>
      <c r="P125">
        <v>1</v>
      </c>
      <c r="R125">
        <v>48</v>
      </c>
      <c r="S125">
        <v>1</v>
      </c>
      <c r="U125">
        <v>0</v>
      </c>
      <c r="V125">
        <v>0</v>
      </c>
      <c r="X125">
        <v>2</v>
      </c>
      <c r="Y125">
        <v>0</v>
      </c>
      <c r="AA125">
        <v>4</v>
      </c>
      <c r="AB125">
        <v>0</v>
      </c>
      <c r="AD125">
        <v>6</v>
      </c>
      <c r="AE125">
        <v>0</v>
      </c>
      <c r="AG125">
        <v>24</v>
      </c>
      <c r="AH125">
        <v>1</v>
      </c>
      <c r="AJ125">
        <v>48</v>
      </c>
      <c r="AK125">
        <v>1</v>
      </c>
    </row>
    <row r="126" spans="1:37" x14ac:dyDescent="0.25">
      <c r="B126" s="1" t="s">
        <v>84</v>
      </c>
      <c r="C126">
        <v>0</v>
      </c>
      <c r="D126">
        <v>0</v>
      </c>
      <c r="F126">
        <v>2</v>
      </c>
      <c r="G126">
        <v>0</v>
      </c>
      <c r="I126">
        <v>4</v>
      </c>
      <c r="J126">
        <v>0</v>
      </c>
      <c r="L126">
        <v>6</v>
      </c>
      <c r="M126">
        <v>0</v>
      </c>
      <c r="O126">
        <v>24</v>
      </c>
      <c r="P126">
        <v>1</v>
      </c>
      <c r="R126">
        <v>48</v>
      </c>
      <c r="S126">
        <v>1</v>
      </c>
      <c r="U126">
        <v>0</v>
      </c>
      <c r="V126">
        <v>0</v>
      </c>
      <c r="X126">
        <v>2</v>
      </c>
      <c r="Y126">
        <v>0</v>
      </c>
      <c r="AA126">
        <v>4</v>
      </c>
      <c r="AB126">
        <v>0</v>
      </c>
      <c r="AD126">
        <v>6</v>
      </c>
      <c r="AE126">
        <v>0</v>
      </c>
      <c r="AG126">
        <v>24</v>
      </c>
      <c r="AH126">
        <v>0</v>
      </c>
      <c r="AJ126">
        <v>48</v>
      </c>
      <c r="AK126">
        <v>0</v>
      </c>
    </row>
    <row r="127" spans="1:37" x14ac:dyDescent="0.25">
      <c r="B127" s="1" t="s">
        <v>85</v>
      </c>
      <c r="C127">
        <v>0</v>
      </c>
      <c r="D127">
        <v>0</v>
      </c>
      <c r="F127">
        <v>2</v>
      </c>
      <c r="G127">
        <v>0</v>
      </c>
      <c r="I127">
        <v>4</v>
      </c>
      <c r="J127">
        <v>0</v>
      </c>
      <c r="L127">
        <v>6</v>
      </c>
      <c r="M127">
        <v>0</v>
      </c>
      <c r="O127">
        <v>24</v>
      </c>
      <c r="P127">
        <v>1</v>
      </c>
      <c r="R127">
        <v>48</v>
      </c>
      <c r="S127">
        <v>1</v>
      </c>
      <c r="U127">
        <v>0</v>
      </c>
      <c r="V127">
        <v>0</v>
      </c>
      <c r="X127">
        <v>2</v>
      </c>
      <c r="Y127">
        <v>0</v>
      </c>
      <c r="AA127">
        <v>4</v>
      </c>
      <c r="AB127">
        <v>0</v>
      </c>
      <c r="AD127">
        <v>6</v>
      </c>
      <c r="AE127">
        <v>0</v>
      </c>
      <c r="AG127">
        <v>24</v>
      </c>
      <c r="AH127">
        <v>0</v>
      </c>
      <c r="AJ127">
        <v>48</v>
      </c>
      <c r="AK127">
        <v>0</v>
      </c>
    </row>
    <row r="128" spans="1:37" x14ac:dyDescent="0.25">
      <c r="B128" s="1" t="s">
        <v>86</v>
      </c>
      <c r="C128">
        <v>0</v>
      </c>
      <c r="D128">
        <v>0</v>
      </c>
      <c r="F128">
        <v>2</v>
      </c>
      <c r="G128">
        <v>0</v>
      </c>
      <c r="I128">
        <v>4</v>
      </c>
      <c r="J128">
        <v>0</v>
      </c>
      <c r="L128">
        <v>6</v>
      </c>
      <c r="M128">
        <v>0</v>
      </c>
      <c r="O128">
        <v>24</v>
      </c>
      <c r="P128">
        <v>1</v>
      </c>
      <c r="R128">
        <v>48</v>
      </c>
      <c r="S128">
        <v>1</v>
      </c>
      <c r="U128">
        <v>0</v>
      </c>
      <c r="V128">
        <v>0</v>
      </c>
      <c r="X128">
        <v>2</v>
      </c>
      <c r="Y128">
        <v>0</v>
      </c>
      <c r="AA128">
        <v>4</v>
      </c>
      <c r="AB128">
        <v>0</v>
      </c>
      <c r="AD128">
        <v>6</v>
      </c>
      <c r="AE128">
        <v>0</v>
      </c>
      <c r="AG128">
        <v>24</v>
      </c>
      <c r="AH128">
        <v>0</v>
      </c>
      <c r="AJ128">
        <v>48</v>
      </c>
      <c r="AK128">
        <v>0</v>
      </c>
    </row>
    <row r="129" spans="2:37" x14ac:dyDescent="0.25">
      <c r="B129" s="1" t="s">
        <v>87</v>
      </c>
      <c r="C129">
        <v>0</v>
      </c>
      <c r="D129">
        <v>0</v>
      </c>
      <c r="F129">
        <v>2</v>
      </c>
      <c r="G129">
        <v>0</v>
      </c>
      <c r="I129">
        <v>4</v>
      </c>
      <c r="J129">
        <v>0</v>
      </c>
      <c r="L129">
        <v>6</v>
      </c>
      <c r="M129">
        <v>0</v>
      </c>
      <c r="O129">
        <v>24</v>
      </c>
      <c r="P129">
        <v>1</v>
      </c>
      <c r="R129">
        <v>48</v>
      </c>
      <c r="S129">
        <v>1</v>
      </c>
      <c r="U129">
        <v>0</v>
      </c>
      <c r="V129">
        <v>0</v>
      </c>
      <c r="X129">
        <v>2</v>
      </c>
      <c r="Y129">
        <v>0</v>
      </c>
      <c r="AA129">
        <v>4</v>
      </c>
      <c r="AB129">
        <v>0</v>
      </c>
      <c r="AD129">
        <v>6</v>
      </c>
      <c r="AE129">
        <v>0</v>
      </c>
      <c r="AG129">
        <v>24</v>
      </c>
      <c r="AH129">
        <v>0</v>
      </c>
      <c r="AJ129">
        <v>48</v>
      </c>
      <c r="AK129">
        <v>0</v>
      </c>
    </row>
    <row r="130" spans="2:37" x14ac:dyDescent="0.25">
      <c r="B130" s="1" t="s">
        <v>88</v>
      </c>
      <c r="C130">
        <v>0</v>
      </c>
      <c r="D130">
        <v>0</v>
      </c>
      <c r="F130">
        <v>2</v>
      </c>
      <c r="G130">
        <v>0</v>
      </c>
      <c r="I130">
        <v>4</v>
      </c>
      <c r="J130">
        <v>0</v>
      </c>
      <c r="L130">
        <v>6</v>
      </c>
      <c r="M130">
        <v>0</v>
      </c>
      <c r="O130">
        <v>24</v>
      </c>
      <c r="P130">
        <v>1</v>
      </c>
      <c r="R130">
        <v>48</v>
      </c>
      <c r="S130">
        <v>1</v>
      </c>
      <c r="U130">
        <v>0</v>
      </c>
      <c r="V130">
        <v>0</v>
      </c>
      <c r="X130">
        <v>2</v>
      </c>
      <c r="Y130">
        <v>0</v>
      </c>
      <c r="AA130">
        <v>4</v>
      </c>
      <c r="AB130">
        <v>0</v>
      </c>
      <c r="AD130">
        <v>6</v>
      </c>
      <c r="AE130">
        <v>0</v>
      </c>
      <c r="AG130">
        <v>24</v>
      </c>
      <c r="AH130">
        <v>0</v>
      </c>
      <c r="AJ130">
        <v>48</v>
      </c>
      <c r="AK130">
        <v>0</v>
      </c>
    </row>
    <row r="131" spans="2:37" x14ac:dyDescent="0.25">
      <c r="B131" s="1" t="s">
        <v>89</v>
      </c>
      <c r="C131">
        <v>0</v>
      </c>
      <c r="D131">
        <v>0</v>
      </c>
      <c r="F131">
        <v>2</v>
      </c>
      <c r="G131">
        <v>0</v>
      </c>
      <c r="I131">
        <v>4</v>
      </c>
      <c r="J131">
        <v>0</v>
      </c>
      <c r="L131">
        <v>6</v>
      </c>
      <c r="M131">
        <v>0</v>
      </c>
      <c r="O131">
        <v>24</v>
      </c>
      <c r="P131">
        <v>1</v>
      </c>
      <c r="R131">
        <v>48</v>
      </c>
      <c r="S131">
        <v>1</v>
      </c>
      <c r="U131">
        <v>0</v>
      </c>
      <c r="V131">
        <v>0</v>
      </c>
      <c r="X131">
        <v>2</v>
      </c>
      <c r="Y131">
        <v>0</v>
      </c>
      <c r="AA131">
        <v>4</v>
      </c>
      <c r="AB131">
        <v>0</v>
      </c>
      <c r="AD131">
        <v>6</v>
      </c>
      <c r="AE131">
        <v>0</v>
      </c>
      <c r="AG131">
        <v>24</v>
      </c>
      <c r="AH131">
        <v>0</v>
      </c>
      <c r="AJ131">
        <v>48</v>
      </c>
      <c r="AK131">
        <v>0</v>
      </c>
    </row>
    <row r="132" spans="2:37" x14ac:dyDescent="0.25">
      <c r="B132" s="1" t="s">
        <v>90</v>
      </c>
      <c r="C132">
        <v>0</v>
      </c>
      <c r="D132">
        <v>0</v>
      </c>
      <c r="F132">
        <v>2</v>
      </c>
      <c r="G132">
        <v>0</v>
      </c>
      <c r="I132">
        <v>4</v>
      </c>
      <c r="J132">
        <v>0</v>
      </c>
      <c r="L132">
        <v>6</v>
      </c>
      <c r="M132">
        <v>0</v>
      </c>
      <c r="O132">
        <v>24</v>
      </c>
      <c r="P132">
        <v>1</v>
      </c>
      <c r="R132">
        <v>48</v>
      </c>
      <c r="S132">
        <v>1</v>
      </c>
      <c r="U132">
        <v>0</v>
      </c>
      <c r="V132">
        <v>0</v>
      </c>
      <c r="X132">
        <v>2</v>
      </c>
      <c r="Y132">
        <v>0</v>
      </c>
      <c r="AA132">
        <v>4</v>
      </c>
      <c r="AB132">
        <v>0</v>
      </c>
      <c r="AD132">
        <v>6</v>
      </c>
      <c r="AE132">
        <v>0</v>
      </c>
      <c r="AG132">
        <v>24</v>
      </c>
      <c r="AH132">
        <v>0</v>
      </c>
      <c r="AJ132">
        <v>48</v>
      </c>
      <c r="AK132">
        <v>0</v>
      </c>
    </row>
    <row r="133" spans="2:37" x14ac:dyDescent="0.25">
      <c r="B133" s="1" t="s">
        <v>91</v>
      </c>
      <c r="C133">
        <v>0</v>
      </c>
      <c r="D133">
        <v>0</v>
      </c>
      <c r="F133">
        <v>2</v>
      </c>
      <c r="G133">
        <v>0</v>
      </c>
      <c r="I133">
        <v>4</v>
      </c>
      <c r="J133">
        <v>0</v>
      </c>
      <c r="L133">
        <v>6</v>
      </c>
      <c r="M133">
        <v>0</v>
      </c>
      <c r="O133">
        <v>24</v>
      </c>
      <c r="P133">
        <v>1</v>
      </c>
      <c r="R133">
        <v>48</v>
      </c>
      <c r="S133">
        <v>1</v>
      </c>
      <c r="U133">
        <v>0</v>
      </c>
      <c r="V133">
        <v>0</v>
      </c>
      <c r="X133">
        <v>2</v>
      </c>
      <c r="Y133">
        <v>0</v>
      </c>
      <c r="AA133">
        <v>4</v>
      </c>
      <c r="AB133">
        <v>0</v>
      </c>
      <c r="AD133">
        <v>6</v>
      </c>
      <c r="AE133">
        <v>0</v>
      </c>
      <c r="AG133">
        <v>24</v>
      </c>
      <c r="AH133">
        <v>0</v>
      </c>
      <c r="AJ133">
        <v>48</v>
      </c>
      <c r="AK133">
        <v>0</v>
      </c>
    </row>
    <row r="134" spans="2:37" x14ac:dyDescent="0.25">
      <c r="B134" s="1" t="s">
        <v>92</v>
      </c>
      <c r="C134">
        <v>0</v>
      </c>
      <c r="D134">
        <v>0</v>
      </c>
      <c r="F134">
        <v>2</v>
      </c>
      <c r="G134">
        <v>0</v>
      </c>
      <c r="I134">
        <v>4</v>
      </c>
      <c r="J134">
        <v>0</v>
      </c>
      <c r="L134">
        <v>6</v>
      </c>
      <c r="M134">
        <v>0</v>
      </c>
      <c r="O134">
        <v>24</v>
      </c>
      <c r="P134">
        <v>1</v>
      </c>
      <c r="R134">
        <v>48</v>
      </c>
      <c r="S134">
        <v>1</v>
      </c>
      <c r="U134">
        <v>0</v>
      </c>
      <c r="V134">
        <v>0</v>
      </c>
      <c r="X134">
        <v>2</v>
      </c>
      <c r="Y134">
        <v>0</v>
      </c>
      <c r="AA134">
        <v>4</v>
      </c>
      <c r="AB134">
        <v>0</v>
      </c>
      <c r="AD134">
        <v>6</v>
      </c>
      <c r="AE134">
        <v>0</v>
      </c>
      <c r="AG134">
        <v>24</v>
      </c>
      <c r="AH134">
        <v>0</v>
      </c>
      <c r="AJ134">
        <v>48</v>
      </c>
      <c r="AK134">
        <v>0</v>
      </c>
    </row>
    <row r="135" spans="2:37" x14ac:dyDescent="0.25">
      <c r="B135" s="1" t="s">
        <v>93</v>
      </c>
      <c r="C135">
        <v>0</v>
      </c>
      <c r="D135">
        <v>0</v>
      </c>
      <c r="F135">
        <v>2</v>
      </c>
      <c r="G135">
        <v>0</v>
      </c>
      <c r="I135">
        <v>4</v>
      </c>
      <c r="J135">
        <v>0</v>
      </c>
      <c r="L135">
        <v>6</v>
      </c>
      <c r="M135">
        <v>0</v>
      </c>
      <c r="O135">
        <v>24</v>
      </c>
      <c r="P135">
        <v>0</v>
      </c>
      <c r="R135">
        <v>48</v>
      </c>
      <c r="S135">
        <v>0</v>
      </c>
      <c r="U135">
        <v>0</v>
      </c>
      <c r="V135">
        <v>0</v>
      </c>
      <c r="X135">
        <v>2</v>
      </c>
      <c r="Y135">
        <v>0</v>
      </c>
      <c r="AA135">
        <v>4</v>
      </c>
      <c r="AB135">
        <v>0</v>
      </c>
      <c r="AD135">
        <v>6</v>
      </c>
      <c r="AE135">
        <v>0</v>
      </c>
      <c r="AG135">
        <v>24</v>
      </c>
      <c r="AH135">
        <v>0</v>
      </c>
      <c r="AJ135">
        <v>48</v>
      </c>
      <c r="AK135">
        <v>0</v>
      </c>
    </row>
    <row r="140" spans="2:37" x14ac:dyDescent="0.25">
      <c r="C140" s="1" t="s">
        <v>94</v>
      </c>
      <c r="U140" s="1" t="s">
        <v>95</v>
      </c>
    </row>
    <row r="141" spans="2:37" x14ac:dyDescent="0.25">
      <c r="C141" t="s">
        <v>78</v>
      </c>
      <c r="F141" t="s">
        <v>78</v>
      </c>
      <c r="I141" t="s">
        <v>78</v>
      </c>
      <c r="L141" t="s">
        <v>78</v>
      </c>
      <c r="O141" t="s">
        <v>78</v>
      </c>
      <c r="R141" t="s">
        <v>78</v>
      </c>
      <c r="U141" t="s">
        <v>78</v>
      </c>
      <c r="X141" t="s">
        <v>78</v>
      </c>
      <c r="AA141" t="s">
        <v>78</v>
      </c>
      <c r="AD141" t="s">
        <v>78</v>
      </c>
      <c r="AG141" t="s">
        <v>78</v>
      </c>
      <c r="AJ141" t="s">
        <v>78</v>
      </c>
    </row>
    <row r="142" spans="2:37" x14ac:dyDescent="0.25">
      <c r="B142" s="1" t="s">
        <v>79</v>
      </c>
      <c r="C142">
        <v>0</v>
      </c>
      <c r="D142">
        <v>0</v>
      </c>
      <c r="F142">
        <v>2</v>
      </c>
      <c r="G142">
        <v>0</v>
      </c>
      <c r="I142">
        <v>4</v>
      </c>
      <c r="J142">
        <v>0</v>
      </c>
      <c r="L142">
        <v>6</v>
      </c>
      <c r="M142">
        <v>0</v>
      </c>
      <c r="O142">
        <v>24</v>
      </c>
      <c r="P142">
        <v>1</v>
      </c>
      <c r="R142">
        <v>48</v>
      </c>
      <c r="S142">
        <v>1</v>
      </c>
      <c r="U142">
        <v>0</v>
      </c>
      <c r="V142">
        <v>0</v>
      </c>
      <c r="X142">
        <v>2</v>
      </c>
      <c r="Y142">
        <v>0</v>
      </c>
      <c r="AA142">
        <v>4</v>
      </c>
      <c r="AB142">
        <v>0</v>
      </c>
      <c r="AD142">
        <v>6</v>
      </c>
      <c r="AE142">
        <v>0</v>
      </c>
      <c r="AG142">
        <v>24</v>
      </c>
      <c r="AH142">
        <v>0</v>
      </c>
      <c r="AJ142">
        <v>48</v>
      </c>
      <c r="AK142">
        <v>0</v>
      </c>
    </row>
    <row r="143" spans="2:37" x14ac:dyDescent="0.25">
      <c r="B143" s="1" t="s">
        <v>80</v>
      </c>
      <c r="C143">
        <v>0</v>
      </c>
      <c r="D143">
        <v>0</v>
      </c>
      <c r="F143">
        <v>2</v>
      </c>
      <c r="G143">
        <v>0</v>
      </c>
      <c r="I143">
        <v>4</v>
      </c>
      <c r="J143">
        <v>0</v>
      </c>
      <c r="L143">
        <v>6</v>
      </c>
      <c r="M143">
        <v>0</v>
      </c>
      <c r="O143">
        <v>24</v>
      </c>
      <c r="P143">
        <v>1</v>
      </c>
      <c r="R143">
        <v>48</v>
      </c>
      <c r="S143">
        <v>1</v>
      </c>
      <c r="U143">
        <v>0</v>
      </c>
      <c r="V143">
        <v>0</v>
      </c>
      <c r="X143">
        <v>2</v>
      </c>
      <c r="Y143">
        <v>0</v>
      </c>
      <c r="AA143">
        <v>4</v>
      </c>
      <c r="AB143">
        <v>0</v>
      </c>
      <c r="AD143">
        <v>6</v>
      </c>
      <c r="AE143">
        <v>0</v>
      </c>
      <c r="AG143">
        <v>24</v>
      </c>
      <c r="AH143">
        <v>0</v>
      </c>
      <c r="AJ143">
        <v>48</v>
      </c>
      <c r="AK143">
        <v>0</v>
      </c>
    </row>
    <row r="144" spans="2:37" x14ac:dyDescent="0.25">
      <c r="B144" s="1" t="s">
        <v>81</v>
      </c>
      <c r="C144">
        <v>0</v>
      </c>
      <c r="D144">
        <v>0</v>
      </c>
      <c r="F144">
        <v>2</v>
      </c>
      <c r="G144">
        <v>0</v>
      </c>
      <c r="I144">
        <v>4</v>
      </c>
      <c r="J144">
        <v>0</v>
      </c>
      <c r="L144">
        <v>6</v>
      </c>
      <c r="M144">
        <v>0</v>
      </c>
      <c r="O144">
        <v>24</v>
      </c>
      <c r="P144">
        <v>1</v>
      </c>
      <c r="R144">
        <v>48</v>
      </c>
      <c r="S144">
        <v>1</v>
      </c>
      <c r="U144">
        <v>0</v>
      </c>
      <c r="V144">
        <v>0</v>
      </c>
      <c r="X144">
        <v>2</v>
      </c>
      <c r="Y144">
        <v>0</v>
      </c>
      <c r="AA144">
        <v>4</v>
      </c>
      <c r="AB144">
        <v>0</v>
      </c>
      <c r="AD144">
        <v>6</v>
      </c>
      <c r="AE144">
        <v>0</v>
      </c>
      <c r="AG144">
        <v>24</v>
      </c>
      <c r="AH144">
        <v>0</v>
      </c>
      <c r="AJ144">
        <v>48</v>
      </c>
      <c r="AK144">
        <v>0</v>
      </c>
    </row>
    <row r="145" spans="2:37" x14ac:dyDescent="0.25">
      <c r="B145" s="1" t="s">
        <v>82</v>
      </c>
      <c r="C145">
        <v>0</v>
      </c>
      <c r="D145">
        <v>0</v>
      </c>
      <c r="F145">
        <v>2</v>
      </c>
      <c r="G145">
        <v>0</v>
      </c>
      <c r="I145">
        <v>4</v>
      </c>
      <c r="J145">
        <v>0</v>
      </c>
      <c r="L145">
        <v>6</v>
      </c>
      <c r="M145">
        <v>0</v>
      </c>
      <c r="O145">
        <v>24</v>
      </c>
      <c r="P145">
        <v>1</v>
      </c>
      <c r="R145">
        <v>48</v>
      </c>
      <c r="S145">
        <v>1</v>
      </c>
      <c r="U145">
        <v>0</v>
      </c>
      <c r="V145">
        <v>0</v>
      </c>
      <c r="X145">
        <v>2</v>
      </c>
      <c r="Y145">
        <v>0</v>
      </c>
      <c r="AA145">
        <v>4</v>
      </c>
      <c r="AB145">
        <v>0</v>
      </c>
      <c r="AD145">
        <v>6</v>
      </c>
      <c r="AE145">
        <v>0</v>
      </c>
      <c r="AG145">
        <v>24</v>
      </c>
      <c r="AH145">
        <v>0</v>
      </c>
      <c r="AJ145">
        <v>48</v>
      </c>
      <c r="AK145">
        <v>0</v>
      </c>
    </row>
    <row r="146" spans="2:37" x14ac:dyDescent="0.25">
      <c r="B146" s="1" t="s">
        <v>83</v>
      </c>
      <c r="C146">
        <v>0</v>
      </c>
      <c r="D146">
        <v>0</v>
      </c>
      <c r="F146">
        <v>2</v>
      </c>
      <c r="G146">
        <v>0</v>
      </c>
      <c r="I146">
        <v>4</v>
      </c>
      <c r="J146">
        <v>0</v>
      </c>
      <c r="L146">
        <v>6</v>
      </c>
      <c r="M146">
        <v>0</v>
      </c>
      <c r="O146">
        <v>24</v>
      </c>
      <c r="P146">
        <v>1</v>
      </c>
      <c r="R146">
        <v>48</v>
      </c>
      <c r="S146">
        <v>1</v>
      </c>
      <c r="U146">
        <v>0</v>
      </c>
      <c r="V146">
        <v>0</v>
      </c>
      <c r="X146">
        <v>2</v>
      </c>
      <c r="Y146">
        <v>0</v>
      </c>
      <c r="AA146">
        <v>4</v>
      </c>
      <c r="AB146">
        <v>0</v>
      </c>
      <c r="AD146">
        <v>6</v>
      </c>
      <c r="AE146">
        <v>0</v>
      </c>
      <c r="AG146">
        <v>24</v>
      </c>
      <c r="AH146">
        <v>0</v>
      </c>
      <c r="AJ146">
        <v>48</v>
      </c>
      <c r="AK146">
        <v>0</v>
      </c>
    </row>
    <row r="147" spans="2:37" x14ac:dyDescent="0.25">
      <c r="B147" s="1" t="s">
        <v>84</v>
      </c>
      <c r="C147">
        <v>0</v>
      </c>
      <c r="D147">
        <v>0</v>
      </c>
      <c r="F147">
        <v>2</v>
      </c>
      <c r="G147">
        <v>0</v>
      </c>
      <c r="I147">
        <v>4</v>
      </c>
      <c r="J147">
        <v>0</v>
      </c>
      <c r="L147">
        <v>6</v>
      </c>
      <c r="M147">
        <v>0</v>
      </c>
      <c r="O147">
        <v>24</v>
      </c>
      <c r="P147">
        <v>1</v>
      </c>
      <c r="R147">
        <v>48</v>
      </c>
      <c r="S147">
        <v>1</v>
      </c>
      <c r="U147">
        <v>0</v>
      </c>
      <c r="V147">
        <v>0</v>
      </c>
      <c r="X147">
        <v>2</v>
      </c>
      <c r="Y147">
        <v>0</v>
      </c>
      <c r="AA147">
        <v>4</v>
      </c>
      <c r="AB147">
        <v>0</v>
      </c>
      <c r="AD147">
        <v>6</v>
      </c>
      <c r="AE147">
        <v>0</v>
      </c>
      <c r="AG147">
        <v>24</v>
      </c>
      <c r="AH147">
        <v>0</v>
      </c>
      <c r="AJ147">
        <v>48</v>
      </c>
      <c r="AK147">
        <v>0</v>
      </c>
    </row>
    <row r="148" spans="2:37" x14ac:dyDescent="0.25">
      <c r="B148" s="1" t="s">
        <v>85</v>
      </c>
      <c r="C148">
        <v>0</v>
      </c>
      <c r="D148">
        <v>0</v>
      </c>
      <c r="F148">
        <v>2</v>
      </c>
      <c r="G148">
        <v>0</v>
      </c>
      <c r="I148">
        <v>4</v>
      </c>
      <c r="J148">
        <v>0</v>
      </c>
      <c r="L148">
        <v>6</v>
      </c>
      <c r="M148">
        <v>0</v>
      </c>
      <c r="O148">
        <v>24</v>
      </c>
      <c r="P148">
        <v>1</v>
      </c>
      <c r="R148">
        <v>48</v>
      </c>
      <c r="S148">
        <v>1</v>
      </c>
      <c r="U148">
        <v>0</v>
      </c>
      <c r="V148">
        <v>0</v>
      </c>
      <c r="X148">
        <v>2</v>
      </c>
      <c r="Y148">
        <v>0</v>
      </c>
      <c r="AA148">
        <v>4</v>
      </c>
      <c r="AB148">
        <v>0</v>
      </c>
      <c r="AD148">
        <v>6</v>
      </c>
      <c r="AE148">
        <v>0</v>
      </c>
      <c r="AG148">
        <v>24</v>
      </c>
      <c r="AH148">
        <v>0</v>
      </c>
      <c r="AJ148">
        <v>48</v>
      </c>
      <c r="AK148">
        <v>0</v>
      </c>
    </row>
    <row r="149" spans="2:37" x14ac:dyDescent="0.25">
      <c r="B149" s="1" t="s">
        <v>86</v>
      </c>
      <c r="C149">
        <v>0</v>
      </c>
      <c r="D149">
        <v>0</v>
      </c>
      <c r="F149">
        <v>2</v>
      </c>
      <c r="G149">
        <v>0</v>
      </c>
      <c r="I149">
        <v>4</v>
      </c>
      <c r="J149">
        <v>0</v>
      </c>
      <c r="L149">
        <v>6</v>
      </c>
      <c r="M149">
        <v>0</v>
      </c>
      <c r="O149">
        <v>24</v>
      </c>
      <c r="P149">
        <v>1</v>
      </c>
      <c r="R149">
        <v>48</v>
      </c>
      <c r="S149">
        <v>1</v>
      </c>
      <c r="U149">
        <v>0</v>
      </c>
      <c r="V149">
        <v>0</v>
      </c>
      <c r="X149">
        <v>2</v>
      </c>
      <c r="Y149">
        <v>0</v>
      </c>
      <c r="AA149">
        <v>4</v>
      </c>
      <c r="AB149">
        <v>0</v>
      </c>
      <c r="AD149">
        <v>6</v>
      </c>
      <c r="AE149">
        <v>0</v>
      </c>
      <c r="AG149">
        <v>24</v>
      </c>
      <c r="AH149">
        <v>0</v>
      </c>
      <c r="AJ149">
        <v>48</v>
      </c>
      <c r="AK149">
        <v>0</v>
      </c>
    </row>
    <row r="150" spans="2:37" x14ac:dyDescent="0.25">
      <c r="B150" s="1" t="s">
        <v>87</v>
      </c>
      <c r="C150">
        <v>0</v>
      </c>
      <c r="D150">
        <v>0</v>
      </c>
      <c r="F150">
        <v>2</v>
      </c>
      <c r="G150">
        <v>0</v>
      </c>
      <c r="I150">
        <v>4</v>
      </c>
      <c r="J150">
        <v>0</v>
      </c>
      <c r="L150">
        <v>6</v>
      </c>
      <c r="M150">
        <v>0</v>
      </c>
      <c r="O150">
        <v>24</v>
      </c>
      <c r="P150">
        <v>1</v>
      </c>
      <c r="R150">
        <v>48</v>
      </c>
      <c r="S150">
        <v>1</v>
      </c>
      <c r="U150">
        <v>0</v>
      </c>
      <c r="V150">
        <v>0</v>
      </c>
      <c r="X150">
        <v>2</v>
      </c>
      <c r="Y150">
        <v>0</v>
      </c>
      <c r="AA150">
        <v>4</v>
      </c>
      <c r="AB150">
        <v>0</v>
      </c>
      <c r="AD150">
        <v>6</v>
      </c>
      <c r="AE150">
        <v>0</v>
      </c>
      <c r="AG150">
        <v>24</v>
      </c>
      <c r="AH150">
        <v>0</v>
      </c>
      <c r="AJ150">
        <v>48</v>
      </c>
      <c r="AK150">
        <v>0</v>
      </c>
    </row>
    <row r="151" spans="2:37" x14ac:dyDescent="0.25">
      <c r="B151" s="1" t="s">
        <v>88</v>
      </c>
      <c r="C151">
        <v>0</v>
      </c>
      <c r="D151">
        <v>0</v>
      </c>
      <c r="F151">
        <v>2</v>
      </c>
      <c r="G151">
        <v>0</v>
      </c>
      <c r="I151">
        <v>4</v>
      </c>
      <c r="J151">
        <v>0</v>
      </c>
      <c r="L151">
        <v>6</v>
      </c>
      <c r="M151">
        <v>0</v>
      </c>
      <c r="O151">
        <v>24</v>
      </c>
      <c r="P151">
        <v>1</v>
      </c>
      <c r="R151">
        <v>48</v>
      </c>
      <c r="S151">
        <v>1</v>
      </c>
      <c r="U151">
        <v>0</v>
      </c>
      <c r="V151">
        <v>0</v>
      </c>
      <c r="X151">
        <v>2</v>
      </c>
      <c r="Y151">
        <v>0</v>
      </c>
      <c r="AA151">
        <v>4</v>
      </c>
      <c r="AB151">
        <v>0</v>
      </c>
      <c r="AD151">
        <v>6</v>
      </c>
      <c r="AE151">
        <v>0</v>
      </c>
      <c r="AG151">
        <v>24</v>
      </c>
      <c r="AH151">
        <v>0</v>
      </c>
      <c r="AJ151">
        <v>48</v>
      </c>
      <c r="AK151">
        <v>0</v>
      </c>
    </row>
    <row r="152" spans="2:37" x14ac:dyDescent="0.25">
      <c r="B152" s="1" t="s">
        <v>89</v>
      </c>
      <c r="C152">
        <v>0</v>
      </c>
      <c r="D152">
        <v>0</v>
      </c>
      <c r="F152">
        <v>2</v>
      </c>
      <c r="G152">
        <v>0</v>
      </c>
      <c r="I152">
        <v>4</v>
      </c>
      <c r="J152">
        <v>0</v>
      </c>
      <c r="L152">
        <v>6</v>
      </c>
      <c r="M152">
        <v>0</v>
      </c>
      <c r="O152">
        <v>24</v>
      </c>
      <c r="P152">
        <v>0</v>
      </c>
      <c r="R152">
        <v>48</v>
      </c>
      <c r="S152">
        <v>0</v>
      </c>
      <c r="U152">
        <v>0</v>
      </c>
      <c r="V152">
        <v>0</v>
      </c>
      <c r="X152">
        <v>2</v>
      </c>
      <c r="Y152">
        <v>0</v>
      </c>
      <c r="AA152">
        <v>4</v>
      </c>
      <c r="AB152">
        <v>0</v>
      </c>
      <c r="AD152">
        <v>6</v>
      </c>
      <c r="AE152">
        <v>0</v>
      </c>
      <c r="AG152">
        <v>24</v>
      </c>
      <c r="AH152">
        <v>0</v>
      </c>
      <c r="AJ152">
        <v>48</v>
      </c>
      <c r="AK152">
        <v>0</v>
      </c>
    </row>
    <row r="153" spans="2:37" x14ac:dyDescent="0.25">
      <c r="B153" s="1" t="s">
        <v>90</v>
      </c>
      <c r="C153">
        <v>0</v>
      </c>
      <c r="D153">
        <v>0</v>
      </c>
      <c r="F153">
        <v>2</v>
      </c>
      <c r="G153">
        <v>0</v>
      </c>
      <c r="I153">
        <v>4</v>
      </c>
      <c r="J153">
        <v>0</v>
      </c>
      <c r="L153">
        <v>6</v>
      </c>
      <c r="M153">
        <v>0</v>
      </c>
      <c r="O153">
        <v>24</v>
      </c>
      <c r="P153">
        <v>0</v>
      </c>
      <c r="R153">
        <v>48</v>
      </c>
      <c r="S153">
        <v>0</v>
      </c>
      <c r="U153">
        <v>0</v>
      </c>
      <c r="V153">
        <v>0</v>
      </c>
      <c r="X153">
        <v>2</v>
      </c>
      <c r="Y153">
        <v>0</v>
      </c>
      <c r="AA153">
        <v>4</v>
      </c>
      <c r="AB153">
        <v>0</v>
      </c>
      <c r="AD153">
        <v>6</v>
      </c>
      <c r="AE153">
        <v>0</v>
      </c>
      <c r="AG153">
        <v>24</v>
      </c>
      <c r="AH153">
        <v>0</v>
      </c>
      <c r="AJ153">
        <v>48</v>
      </c>
      <c r="AK153">
        <v>0</v>
      </c>
    </row>
    <row r="154" spans="2:37" x14ac:dyDescent="0.25">
      <c r="B154" s="1" t="s">
        <v>91</v>
      </c>
      <c r="C154">
        <v>0</v>
      </c>
      <c r="D154">
        <v>0</v>
      </c>
      <c r="F154">
        <v>2</v>
      </c>
      <c r="G154">
        <v>0</v>
      </c>
      <c r="I154">
        <v>4</v>
      </c>
      <c r="J154">
        <v>0</v>
      </c>
      <c r="L154">
        <v>6</v>
      </c>
      <c r="M154">
        <v>0</v>
      </c>
      <c r="O154">
        <v>24</v>
      </c>
      <c r="P154">
        <v>0</v>
      </c>
      <c r="R154">
        <v>48</v>
      </c>
      <c r="S154">
        <v>0</v>
      </c>
      <c r="U154">
        <v>0</v>
      </c>
      <c r="V154">
        <v>0</v>
      </c>
      <c r="X154">
        <v>2</v>
      </c>
      <c r="Y154">
        <v>0</v>
      </c>
      <c r="AA154">
        <v>4</v>
      </c>
      <c r="AB154">
        <v>0</v>
      </c>
      <c r="AD154">
        <v>6</v>
      </c>
      <c r="AE154">
        <v>0</v>
      </c>
      <c r="AG154">
        <v>24</v>
      </c>
      <c r="AH154">
        <v>0</v>
      </c>
      <c r="AJ154">
        <v>48</v>
      </c>
      <c r="AK154">
        <v>0</v>
      </c>
    </row>
    <row r="155" spans="2:37" x14ac:dyDescent="0.25">
      <c r="B155" s="1" t="s">
        <v>92</v>
      </c>
      <c r="C155">
        <v>0</v>
      </c>
      <c r="D155">
        <v>0</v>
      </c>
      <c r="F155">
        <v>2</v>
      </c>
      <c r="G155">
        <v>0</v>
      </c>
      <c r="I155">
        <v>4</v>
      </c>
      <c r="J155">
        <v>0</v>
      </c>
      <c r="L155">
        <v>6</v>
      </c>
      <c r="M155">
        <v>0</v>
      </c>
      <c r="O155">
        <v>24</v>
      </c>
      <c r="P155">
        <v>0</v>
      </c>
      <c r="R155">
        <v>48</v>
      </c>
      <c r="S155">
        <v>0</v>
      </c>
      <c r="U155">
        <v>0</v>
      </c>
      <c r="V155">
        <v>0</v>
      </c>
      <c r="X155">
        <v>2</v>
      </c>
      <c r="Y155">
        <v>0</v>
      </c>
      <c r="AA155">
        <v>4</v>
      </c>
      <c r="AB155">
        <v>0</v>
      </c>
      <c r="AD155">
        <v>6</v>
      </c>
      <c r="AE155">
        <v>0</v>
      </c>
      <c r="AG155">
        <v>24</v>
      </c>
      <c r="AH155">
        <v>0</v>
      </c>
      <c r="AJ155">
        <v>48</v>
      </c>
      <c r="AK155">
        <v>0</v>
      </c>
    </row>
    <row r="156" spans="2:37" x14ac:dyDescent="0.25">
      <c r="B156" s="1" t="s">
        <v>93</v>
      </c>
      <c r="C156">
        <v>0</v>
      </c>
      <c r="D156">
        <v>0</v>
      </c>
      <c r="F156">
        <v>2</v>
      </c>
      <c r="G156">
        <v>0</v>
      </c>
      <c r="I156">
        <v>4</v>
      </c>
      <c r="J156">
        <v>0</v>
      </c>
      <c r="L156">
        <v>6</v>
      </c>
      <c r="M156">
        <v>0</v>
      </c>
      <c r="O156">
        <v>24</v>
      </c>
      <c r="P156">
        <v>0</v>
      </c>
      <c r="R156">
        <v>48</v>
      </c>
      <c r="S156">
        <v>0</v>
      </c>
      <c r="U156">
        <v>0</v>
      </c>
      <c r="V156">
        <v>0</v>
      </c>
      <c r="X156">
        <v>2</v>
      </c>
      <c r="Y156">
        <v>0</v>
      </c>
      <c r="AA156">
        <v>4</v>
      </c>
      <c r="AB156">
        <v>0</v>
      </c>
      <c r="AD156">
        <v>6</v>
      </c>
      <c r="AE156">
        <v>0</v>
      </c>
      <c r="AG156">
        <v>24</v>
      </c>
      <c r="AH156">
        <v>0</v>
      </c>
      <c r="AJ156">
        <v>48</v>
      </c>
      <c r="AK156">
        <v>0</v>
      </c>
    </row>
    <row r="161" spans="1:4" x14ac:dyDescent="0.25">
      <c r="B161" t="s">
        <v>96</v>
      </c>
    </row>
    <row r="163" spans="1:4" x14ac:dyDescent="0.25">
      <c r="B163">
        <v>8640</v>
      </c>
      <c r="C163" t="s">
        <v>97</v>
      </c>
      <c r="D163" t="s">
        <v>101</v>
      </c>
    </row>
    <row r="164" spans="1:4" ht="17.25" x14ac:dyDescent="0.25">
      <c r="B164" t="s">
        <v>18</v>
      </c>
    </row>
    <row r="165" spans="1:4" x14ac:dyDescent="0.25">
      <c r="B165">
        <v>12</v>
      </c>
      <c r="C165">
        <v>22</v>
      </c>
      <c r="D165">
        <v>21</v>
      </c>
    </row>
    <row r="166" spans="1:4" x14ac:dyDescent="0.25">
      <c r="B166">
        <v>10</v>
      </c>
      <c r="C166">
        <v>24</v>
      </c>
      <c r="D166">
        <v>19</v>
      </c>
    </row>
    <row r="167" spans="1:4" x14ac:dyDescent="0.25">
      <c r="B167">
        <v>16</v>
      </c>
      <c r="C167">
        <v>16</v>
      </c>
      <c r="D167">
        <v>15</v>
      </c>
    </row>
    <row r="168" spans="1:4" x14ac:dyDescent="0.25">
      <c r="A168" s="2" t="s">
        <v>9</v>
      </c>
      <c r="B168" s="2">
        <f>AVERAGE(B165:B167)</f>
        <v>12.666666666666666</v>
      </c>
      <c r="C168" s="2">
        <f>AVERAGE(C165:C167)</f>
        <v>20.666666666666668</v>
      </c>
      <c r="D168" s="2">
        <f>AVERAGE(D165:D167)</f>
        <v>18.333333333333332</v>
      </c>
    </row>
    <row r="169" spans="1:4" x14ac:dyDescent="0.25">
      <c r="A169" s="2" t="s">
        <v>27</v>
      </c>
      <c r="B169" s="2">
        <f>STDEVA(B165:B167)</f>
        <v>3.0550504633038948</v>
      </c>
      <c r="C169" s="2">
        <f>STDEVA(C165:C167)</f>
        <v>4.1633319989322697</v>
      </c>
      <c r="D169" s="2">
        <f>STDEVA(D165:D167)</f>
        <v>3.0550504633038904</v>
      </c>
    </row>
    <row r="170" spans="1:4" x14ac:dyDescent="0.25">
      <c r="A170" s="2" t="s">
        <v>11</v>
      </c>
      <c r="B170" s="3">
        <v>1266000</v>
      </c>
      <c r="C170" s="3">
        <v>2066000</v>
      </c>
      <c r="D170" s="3">
        <v>1833000</v>
      </c>
    </row>
    <row r="171" spans="1:4" x14ac:dyDescent="0.25">
      <c r="A171" s="2" t="s">
        <v>98</v>
      </c>
      <c r="B171" s="3">
        <f>B170/(100)</f>
        <v>12660</v>
      </c>
      <c r="C171" s="3">
        <f>C170/(100)</f>
        <v>20660</v>
      </c>
      <c r="D171" s="3">
        <f>D170/(100)</f>
        <v>18330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39EE6-CBB4-41BD-9D30-E685BF9378DE}">
  <dimension ref="A1:K30"/>
  <sheetViews>
    <sheetView workbookViewId="0">
      <selection activeCell="A5" sqref="A5:E12"/>
    </sheetView>
  </sheetViews>
  <sheetFormatPr baseColWidth="10" defaultRowHeight="15" x14ac:dyDescent="0.25"/>
  <sheetData>
    <row r="1" spans="1:6" x14ac:dyDescent="0.25">
      <c r="A1" s="1" t="s">
        <v>0</v>
      </c>
      <c r="B1" s="1" t="s">
        <v>1</v>
      </c>
    </row>
    <row r="2" spans="1:6" x14ac:dyDescent="0.25">
      <c r="A2" s="1"/>
      <c r="B2" s="1" t="s">
        <v>2</v>
      </c>
    </row>
    <row r="5" spans="1:6" x14ac:dyDescent="0.25">
      <c r="A5" s="1" t="s">
        <v>164</v>
      </c>
      <c r="B5" s="1"/>
    </row>
    <row r="6" spans="1:6" x14ac:dyDescent="0.25">
      <c r="A6" t="s">
        <v>165</v>
      </c>
    </row>
    <row r="7" spans="1:6" x14ac:dyDescent="0.25">
      <c r="A7" s="27"/>
      <c r="B7" s="27" t="s">
        <v>79</v>
      </c>
      <c r="C7" s="27" t="s">
        <v>80</v>
      </c>
      <c r="D7" s="27" t="s">
        <v>81</v>
      </c>
      <c r="E7" s="27" t="s">
        <v>82</v>
      </c>
    </row>
    <row r="8" spans="1:6" x14ac:dyDescent="0.25">
      <c r="A8" s="27">
        <v>0</v>
      </c>
      <c r="B8" s="32">
        <v>6.26</v>
      </c>
      <c r="C8" s="32">
        <v>8.2899999999999991</v>
      </c>
      <c r="D8" s="32">
        <v>7.33</v>
      </c>
      <c r="E8" s="32">
        <v>5.6181879500000003</v>
      </c>
    </row>
    <row r="9" spans="1:6" x14ac:dyDescent="0.25">
      <c r="A9" s="27">
        <v>2</v>
      </c>
      <c r="B9" s="32">
        <v>27.123241199999999</v>
      </c>
      <c r="C9" s="32">
        <v>21.1063072</v>
      </c>
      <c r="D9" s="32">
        <v>13.356826399999999</v>
      </c>
      <c r="E9" s="32">
        <v>14.3127695</v>
      </c>
    </row>
    <row r="10" spans="1:6" x14ac:dyDescent="0.25">
      <c r="A10" s="27">
        <v>4</v>
      </c>
      <c r="B10" s="32">
        <v>18.361599200000001</v>
      </c>
      <c r="C10" s="32">
        <v>14.7336066</v>
      </c>
      <c r="D10" s="32">
        <v>8.5565062800000007</v>
      </c>
      <c r="E10" s="32">
        <v>14.556259600000001</v>
      </c>
    </row>
    <row r="11" spans="1:6" x14ac:dyDescent="0.25">
      <c r="A11" s="27">
        <v>6</v>
      </c>
      <c r="B11" s="32">
        <v>41.653846199999997</v>
      </c>
      <c r="C11" s="32">
        <v>9.0381603899999998</v>
      </c>
      <c r="D11" s="32">
        <v>6.44055731</v>
      </c>
      <c r="E11" s="32">
        <v>9.6065271699999997</v>
      </c>
    </row>
    <row r="12" spans="1:6" x14ac:dyDescent="0.25">
      <c r="A12" s="27">
        <v>24</v>
      </c>
      <c r="B12" s="32">
        <v>8.0834589700000006</v>
      </c>
      <c r="C12" s="32">
        <v>6.2594431300000002</v>
      </c>
      <c r="D12" s="32">
        <v>2.6360539799999998</v>
      </c>
      <c r="E12" s="32">
        <v>5.7957896900000003</v>
      </c>
    </row>
    <row r="14" spans="1:6" x14ac:dyDescent="0.25">
      <c r="B14" s="32"/>
      <c r="C14" s="32"/>
      <c r="D14" s="32"/>
      <c r="E14" s="32"/>
      <c r="F14" s="32"/>
    </row>
    <row r="15" spans="1:6" x14ac:dyDescent="0.25">
      <c r="B15" s="32"/>
      <c r="C15" s="32"/>
      <c r="D15" s="32"/>
      <c r="E15" s="32"/>
      <c r="F15" s="32"/>
    </row>
    <row r="16" spans="1:6" x14ac:dyDescent="0.25">
      <c r="B16" s="32"/>
      <c r="C16" s="32"/>
      <c r="D16" s="32"/>
      <c r="E16" s="32"/>
      <c r="F16" s="32"/>
    </row>
    <row r="17" spans="2:11" x14ac:dyDescent="0.25">
      <c r="B17" s="32"/>
      <c r="C17" s="32"/>
      <c r="D17" s="32"/>
      <c r="E17" s="32"/>
      <c r="F17" s="32"/>
    </row>
    <row r="18" spans="2:11" x14ac:dyDescent="0.25">
      <c r="B18" s="32"/>
      <c r="C18" s="32"/>
      <c r="D18" s="32"/>
      <c r="E18" s="32"/>
      <c r="F18" s="32"/>
    </row>
    <row r="26" spans="2:11" x14ac:dyDescent="0.25">
      <c r="G26" s="32"/>
      <c r="H26" s="32"/>
      <c r="I26" s="32"/>
      <c r="J26" s="32"/>
      <c r="K26" s="32"/>
    </row>
    <row r="27" spans="2:11" x14ac:dyDescent="0.25">
      <c r="G27" s="32"/>
      <c r="H27" s="32"/>
      <c r="I27" s="32"/>
      <c r="J27" s="32"/>
      <c r="K27" s="32"/>
    </row>
    <row r="28" spans="2:11" x14ac:dyDescent="0.25">
      <c r="G28" s="32"/>
      <c r="H28" s="32"/>
      <c r="I28" s="32"/>
      <c r="J28" s="32"/>
      <c r="K28" s="32"/>
    </row>
    <row r="29" spans="2:11" x14ac:dyDescent="0.25">
      <c r="G29" s="32"/>
      <c r="H29" s="32"/>
      <c r="I29" s="32"/>
      <c r="J29" s="32"/>
      <c r="K29" s="32"/>
    </row>
    <row r="30" spans="2:11" x14ac:dyDescent="0.25">
      <c r="G30" s="32"/>
      <c r="H30" s="32"/>
      <c r="I30" s="32"/>
      <c r="J30" s="32"/>
      <c r="K30" s="32"/>
    </row>
  </sheetData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350EE-60B9-45F2-91A1-392B252E24C9}">
  <dimension ref="A1:E13"/>
  <sheetViews>
    <sheetView workbookViewId="0">
      <selection activeCell="J23" sqref="J23"/>
    </sheetView>
  </sheetViews>
  <sheetFormatPr baseColWidth="10" defaultRowHeight="15" x14ac:dyDescent="0.25"/>
  <sheetData>
    <row r="1" spans="1:5" x14ac:dyDescent="0.25">
      <c r="A1" s="1" t="s">
        <v>0</v>
      </c>
      <c r="B1" s="1" t="s">
        <v>1</v>
      </c>
    </row>
    <row r="2" spans="1:5" x14ac:dyDescent="0.25">
      <c r="A2" s="1"/>
      <c r="B2" s="1" t="s">
        <v>2</v>
      </c>
    </row>
    <row r="5" spans="1:5" x14ac:dyDescent="0.25">
      <c r="A5" s="1" t="s">
        <v>164</v>
      </c>
      <c r="B5" s="1"/>
    </row>
    <row r="6" spans="1:5" x14ac:dyDescent="0.25">
      <c r="A6" t="s">
        <v>166</v>
      </c>
    </row>
    <row r="7" spans="1:5" x14ac:dyDescent="0.25">
      <c r="A7" s="27"/>
      <c r="B7" s="27" t="s">
        <v>79</v>
      </c>
      <c r="C7" s="27" t="s">
        <v>80</v>
      </c>
      <c r="D7" s="27" t="s">
        <v>81</v>
      </c>
      <c r="E7" s="27" t="s">
        <v>82</v>
      </c>
    </row>
    <row r="8" spans="1:5" x14ac:dyDescent="0.25">
      <c r="A8" s="27">
        <v>0</v>
      </c>
      <c r="B8" s="32">
        <v>4.97</v>
      </c>
      <c r="C8" s="32">
        <v>3.73</v>
      </c>
      <c r="D8" s="32">
        <v>2.92</v>
      </c>
      <c r="E8" s="32">
        <v>3.22</v>
      </c>
    </row>
    <row r="9" spans="1:5" x14ac:dyDescent="0.25">
      <c r="A9" s="27">
        <v>2</v>
      </c>
      <c r="B9" s="32">
        <v>4.66</v>
      </c>
      <c r="C9" s="32">
        <v>4.07</v>
      </c>
      <c r="D9" s="32">
        <v>3.57</v>
      </c>
      <c r="E9" s="32"/>
    </row>
    <row r="10" spans="1:5" x14ac:dyDescent="0.25">
      <c r="A10" s="27">
        <v>4</v>
      </c>
      <c r="B10" s="32">
        <v>3.68</v>
      </c>
      <c r="C10" s="32">
        <v>1.81</v>
      </c>
      <c r="D10" s="32">
        <v>2.39</v>
      </c>
      <c r="E10" s="32"/>
    </row>
    <row r="11" spans="1:5" x14ac:dyDescent="0.25">
      <c r="A11" s="27">
        <v>6</v>
      </c>
      <c r="B11" s="32">
        <v>4.18</v>
      </c>
      <c r="C11" s="32">
        <v>1.95</v>
      </c>
      <c r="D11" s="32">
        <v>1.67</v>
      </c>
      <c r="E11" s="32"/>
    </row>
    <row r="12" spans="1:5" x14ac:dyDescent="0.25">
      <c r="A12" s="27">
        <v>24</v>
      </c>
      <c r="B12" s="32">
        <v>8.5500000000000007</v>
      </c>
      <c r="C12" s="32">
        <v>1.26</v>
      </c>
      <c r="D12" s="32">
        <v>2.88</v>
      </c>
      <c r="E12" s="32"/>
    </row>
    <row r="13" spans="1:5" x14ac:dyDescent="0.25">
      <c r="B13" s="32"/>
      <c r="C13" s="32"/>
      <c r="D13" s="32"/>
      <c r="E13" s="32"/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F2466-788D-4462-BFF2-7669EB35D47C}">
  <dimension ref="A1:X45"/>
  <sheetViews>
    <sheetView topLeftCell="B1" workbookViewId="0">
      <selection activeCell="B1" sqref="B1"/>
    </sheetView>
  </sheetViews>
  <sheetFormatPr baseColWidth="10" defaultRowHeight="15" x14ac:dyDescent="0.25"/>
  <sheetData>
    <row r="1" spans="1:24" x14ac:dyDescent="0.25">
      <c r="A1" t="s">
        <v>0</v>
      </c>
      <c r="B1" t="s">
        <v>1</v>
      </c>
    </row>
    <row r="2" spans="1:24" x14ac:dyDescent="0.25">
      <c r="B2" t="s">
        <v>2</v>
      </c>
    </row>
    <row r="3" spans="1:24" x14ac:dyDescent="0.25">
      <c r="B3" t="s">
        <v>167</v>
      </c>
    </row>
    <row r="10" spans="1:24" x14ac:dyDescent="0.25">
      <c r="B10" s="1" t="s">
        <v>3</v>
      </c>
      <c r="J10" s="1" t="s">
        <v>3</v>
      </c>
      <c r="R10" s="1" t="s">
        <v>3</v>
      </c>
    </row>
    <row r="12" spans="1:24" x14ac:dyDescent="0.25">
      <c r="C12" s="1" t="s">
        <v>4</v>
      </c>
      <c r="D12" s="1" t="s">
        <v>5</v>
      </c>
      <c r="E12" s="1" t="s">
        <v>24</v>
      </c>
      <c r="F12" s="1" t="s">
        <v>25</v>
      </c>
      <c r="G12" s="1" t="s">
        <v>168</v>
      </c>
      <c r="H12" s="1" t="s">
        <v>169</v>
      </c>
      <c r="K12" s="1" t="s">
        <v>4</v>
      </c>
      <c r="L12" s="1" t="s">
        <v>5</v>
      </c>
      <c r="M12" s="1" t="s">
        <v>24</v>
      </c>
      <c r="N12" s="1" t="s">
        <v>25</v>
      </c>
      <c r="O12" s="1" t="s">
        <v>168</v>
      </c>
      <c r="P12" s="1" t="s">
        <v>169</v>
      </c>
      <c r="S12" s="1" t="s">
        <v>4</v>
      </c>
      <c r="T12" s="1" t="s">
        <v>5</v>
      </c>
      <c r="U12" s="1" t="s">
        <v>24</v>
      </c>
      <c r="V12" s="1" t="s">
        <v>25</v>
      </c>
      <c r="W12" s="1" t="s">
        <v>168</v>
      </c>
      <c r="X12" s="1" t="s">
        <v>169</v>
      </c>
    </row>
    <row r="13" spans="1:24" ht="17.25" x14ac:dyDescent="0.25">
      <c r="B13" t="s">
        <v>6</v>
      </c>
      <c r="C13" t="s">
        <v>170</v>
      </c>
      <c r="J13" t="s">
        <v>6</v>
      </c>
      <c r="K13" t="s">
        <v>170</v>
      </c>
      <c r="R13" t="s">
        <v>6</v>
      </c>
      <c r="S13" t="s">
        <v>170</v>
      </c>
    </row>
    <row r="14" spans="1:24" x14ac:dyDescent="0.25">
      <c r="C14">
        <v>83</v>
      </c>
      <c r="D14" t="s">
        <v>8</v>
      </c>
      <c r="E14">
        <v>59</v>
      </c>
      <c r="F14" t="s">
        <v>8</v>
      </c>
      <c r="G14">
        <v>58</v>
      </c>
      <c r="H14" t="s">
        <v>8</v>
      </c>
      <c r="K14">
        <v>51</v>
      </c>
      <c r="L14" t="s">
        <v>8</v>
      </c>
      <c r="M14">
        <v>56</v>
      </c>
      <c r="N14" t="s">
        <v>8</v>
      </c>
      <c r="O14">
        <v>55</v>
      </c>
      <c r="P14" t="s">
        <v>8</v>
      </c>
      <c r="S14">
        <v>60</v>
      </c>
      <c r="T14" t="s">
        <v>8</v>
      </c>
      <c r="U14">
        <v>71</v>
      </c>
      <c r="V14" t="s">
        <v>8</v>
      </c>
      <c r="W14">
        <v>61</v>
      </c>
      <c r="X14" t="s">
        <v>8</v>
      </c>
    </row>
    <row r="15" spans="1:24" x14ac:dyDescent="0.25">
      <c r="C15">
        <v>56</v>
      </c>
      <c r="D15" t="s">
        <v>8</v>
      </c>
      <c r="E15">
        <v>59</v>
      </c>
      <c r="F15" t="s">
        <v>8</v>
      </c>
      <c r="G15">
        <v>58</v>
      </c>
      <c r="H15" t="s">
        <v>8</v>
      </c>
      <c r="K15">
        <v>51</v>
      </c>
      <c r="L15" t="s">
        <v>8</v>
      </c>
      <c r="M15">
        <v>62</v>
      </c>
      <c r="N15" t="s">
        <v>8</v>
      </c>
      <c r="O15">
        <v>60</v>
      </c>
      <c r="P15" t="s">
        <v>8</v>
      </c>
      <c r="S15">
        <v>60</v>
      </c>
      <c r="T15" t="s">
        <v>8</v>
      </c>
      <c r="U15">
        <v>73</v>
      </c>
      <c r="V15" t="s">
        <v>8</v>
      </c>
      <c r="W15">
        <v>66</v>
      </c>
      <c r="X15" t="s">
        <v>8</v>
      </c>
    </row>
    <row r="16" spans="1:24" x14ac:dyDescent="0.25">
      <c r="C16">
        <v>59</v>
      </c>
      <c r="D16" t="s">
        <v>8</v>
      </c>
      <c r="E16">
        <v>61</v>
      </c>
      <c r="F16" t="s">
        <v>8</v>
      </c>
      <c r="G16">
        <v>53</v>
      </c>
      <c r="H16" t="s">
        <v>8</v>
      </c>
      <c r="K16">
        <v>63</v>
      </c>
      <c r="L16" t="s">
        <v>8</v>
      </c>
      <c r="M16">
        <v>53</v>
      </c>
      <c r="N16" t="s">
        <v>8</v>
      </c>
      <c r="O16">
        <v>63</v>
      </c>
      <c r="P16" t="s">
        <v>8</v>
      </c>
      <c r="S16">
        <v>54</v>
      </c>
      <c r="T16" t="s">
        <v>8</v>
      </c>
      <c r="U16">
        <v>67</v>
      </c>
      <c r="V16" t="s">
        <v>8</v>
      </c>
      <c r="W16">
        <v>66</v>
      </c>
      <c r="X16" t="s">
        <v>8</v>
      </c>
    </row>
    <row r="17" spans="2:24" x14ac:dyDescent="0.25">
      <c r="B17" s="2" t="s">
        <v>9</v>
      </c>
      <c r="C17" s="2">
        <f>AVERAGE(C14:C16)</f>
        <v>66</v>
      </c>
      <c r="D17" s="2"/>
      <c r="E17" s="2">
        <f>AVERAGE(E14:E16)</f>
        <v>59.666666666666664</v>
      </c>
      <c r="F17" s="2"/>
      <c r="G17" s="2">
        <f>AVERAGE(G14:G16)</f>
        <v>56.333333333333336</v>
      </c>
      <c r="H17" s="2"/>
      <c r="J17" s="2" t="s">
        <v>9</v>
      </c>
      <c r="K17" s="2">
        <f>AVERAGE(K14:K16)</f>
        <v>55</v>
      </c>
      <c r="L17" s="2"/>
      <c r="M17" s="2">
        <f>AVERAGE(M14:M16)</f>
        <v>57</v>
      </c>
      <c r="N17" s="2"/>
      <c r="O17" s="2">
        <f>AVERAGE(O14:O16)</f>
        <v>59.333333333333336</v>
      </c>
      <c r="P17" s="2"/>
      <c r="R17" s="2" t="s">
        <v>9</v>
      </c>
      <c r="S17" s="2">
        <f>AVERAGE(S14:S16)</f>
        <v>58</v>
      </c>
      <c r="T17" s="2"/>
      <c r="U17" s="2">
        <f>AVERAGE(U14:U16)</f>
        <v>70.333333333333329</v>
      </c>
      <c r="V17" s="2"/>
      <c r="W17" s="2">
        <f>AVERAGE(W14:W16)</f>
        <v>64.333333333333329</v>
      </c>
      <c r="X17" s="2"/>
    </row>
    <row r="18" spans="2:24" x14ac:dyDescent="0.25">
      <c r="B18" s="2" t="s">
        <v>10</v>
      </c>
      <c r="C18" s="2">
        <f>STDEVA(C14:C16)</f>
        <v>14.798648586948742</v>
      </c>
      <c r="D18" s="2"/>
      <c r="E18" s="2">
        <f>STDEVA(E14:E16)</f>
        <v>1.1547005383792517</v>
      </c>
      <c r="F18" s="2"/>
      <c r="G18" s="2">
        <f>STDEVA(G14:G16)</f>
        <v>2.8867513459481287</v>
      </c>
      <c r="H18" s="2"/>
      <c r="J18" s="2" t="s">
        <v>10</v>
      </c>
      <c r="K18" s="2">
        <f>STDEVA(K14:K16)</f>
        <v>6.9282032302755088</v>
      </c>
      <c r="L18" s="2"/>
      <c r="M18" s="2">
        <f>STDEVA(M14:M16)</f>
        <v>4.5825756949558398</v>
      </c>
      <c r="N18" s="2"/>
      <c r="O18" s="2">
        <f>STDEVA(O14:O16)</f>
        <v>4.0414518843273806</v>
      </c>
      <c r="P18" s="2"/>
      <c r="R18" s="2" t="s">
        <v>10</v>
      </c>
      <c r="S18" s="2">
        <f>STDEVA(S14:S16)</f>
        <v>3.4641016151377544</v>
      </c>
      <c r="T18" s="2"/>
      <c r="U18" s="2">
        <f>STDEVA(U14:U16)</f>
        <v>3.0550504633038931</v>
      </c>
      <c r="V18" s="2"/>
      <c r="W18" s="2">
        <f>STDEVA(W14:W16)</f>
        <v>2.8867513459481287</v>
      </c>
      <c r="X18" s="2"/>
    </row>
    <row r="19" spans="2:24" x14ac:dyDescent="0.25">
      <c r="B19" s="2" t="s">
        <v>11</v>
      </c>
      <c r="C19" s="3">
        <v>66000000</v>
      </c>
      <c r="D19" s="2"/>
      <c r="E19" s="3">
        <v>59660000</v>
      </c>
      <c r="F19" s="2"/>
      <c r="G19" s="3">
        <v>56330000</v>
      </c>
      <c r="H19" s="3"/>
      <c r="J19" s="2" t="s">
        <v>11</v>
      </c>
      <c r="K19" s="3">
        <v>55000000</v>
      </c>
      <c r="L19" s="2"/>
      <c r="M19" s="3">
        <v>57000000</v>
      </c>
      <c r="N19" s="2"/>
      <c r="O19" s="3">
        <v>59330000</v>
      </c>
      <c r="P19" s="3"/>
      <c r="R19" s="2" t="s">
        <v>11</v>
      </c>
      <c r="S19" s="3">
        <v>58000000</v>
      </c>
      <c r="T19" s="2"/>
      <c r="U19" s="3">
        <v>70330000</v>
      </c>
      <c r="V19" s="2"/>
      <c r="W19" s="3">
        <v>64330000</v>
      </c>
      <c r="X19" s="3"/>
    </row>
    <row r="22" spans="2:24" x14ac:dyDescent="0.25">
      <c r="B22" s="1" t="s">
        <v>12</v>
      </c>
      <c r="J22" s="1" t="s">
        <v>12</v>
      </c>
      <c r="R22" s="1" t="s">
        <v>12</v>
      </c>
    </row>
    <row r="24" spans="2:24" x14ac:dyDescent="0.25">
      <c r="C24" s="1" t="s">
        <v>4</v>
      </c>
      <c r="D24" s="1" t="s">
        <v>5</v>
      </c>
      <c r="E24" s="1" t="s">
        <v>24</v>
      </c>
      <c r="F24" s="1" t="s">
        <v>25</v>
      </c>
      <c r="G24" s="1" t="s">
        <v>168</v>
      </c>
      <c r="H24" s="1" t="s">
        <v>169</v>
      </c>
      <c r="K24" s="1" t="s">
        <v>4</v>
      </c>
      <c r="L24" s="1" t="s">
        <v>5</v>
      </c>
      <c r="M24" s="1" t="s">
        <v>24</v>
      </c>
      <c r="N24" s="1" t="s">
        <v>25</v>
      </c>
      <c r="O24" s="1" t="s">
        <v>168</v>
      </c>
      <c r="P24" s="1" t="s">
        <v>169</v>
      </c>
      <c r="S24" s="1" t="s">
        <v>4</v>
      </c>
      <c r="T24" s="1" t="s">
        <v>5</v>
      </c>
      <c r="U24" s="1" t="s">
        <v>24</v>
      </c>
      <c r="V24" s="1" t="s">
        <v>25</v>
      </c>
      <c r="W24" s="1" t="s">
        <v>168</v>
      </c>
      <c r="X24" s="1" t="s">
        <v>169</v>
      </c>
    </row>
    <row r="25" spans="2:24" ht="17.25" x14ac:dyDescent="0.25">
      <c r="B25" t="s">
        <v>6</v>
      </c>
      <c r="C25" t="s">
        <v>18</v>
      </c>
      <c r="D25" t="s">
        <v>7</v>
      </c>
      <c r="E25" t="s">
        <v>13</v>
      </c>
      <c r="G25" t="s">
        <v>7</v>
      </c>
      <c r="J25" t="s">
        <v>6</v>
      </c>
      <c r="K25" t="s">
        <v>18</v>
      </c>
      <c r="M25" t="s">
        <v>7</v>
      </c>
      <c r="O25" t="s">
        <v>18</v>
      </c>
      <c r="R25" t="s">
        <v>6</v>
      </c>
      <c r="S25" t="s">
        <v>18</v>
      </c>
      <c r="U25" t="s">
        <v>7</v>
      </c>
      <c r="W25" t="s">
        <v>18</v>
      </c>
    </row>
    <row r="26" spans="2:24" x14ac:dyDescent="0.25">
      <c r="C26">
        <v>38</v>
      </c>
      <c r="D26">
        <v>229</v>
      </c>
      <c r="E26">
        <v>410</v>
      </c>
      <c r="F26">
        <v>382</v>
      </c>
      <c r="G26">
        <v>115</v>
      </c>
      <c r="H26">
        <v>111</v>
      </c>
      <c r="K26">
        <v>15</v>
      </c>
      <c r="L26">
        <v>33</v>
      </c>
      <c r="M26">
        <v>58</v>
      </c>
      <c r="N26">
        <v>38</v>
      </c>
      <c r="O26">
        <v>21</v>
      </c>
      <c r="P26">
        <v>22</v>
      </c>
      <c r="S26">
        <v>39</v>
      </c>
      <c r="T26">
        <v>29</v>
      </c>
      <c r="U26">
        <v>46</v>
      </c>
      <c r="V26">
        <v>56</v>
      </c>
      <c r="W26">
        <v>25</v>
      </c>
      <c r="X26">
        <v>23</v>
      </c>
    </row>
    <row r="27" spans="2:24" x14ac:dyDescent="0.25">
      <c r="C27">
        <v>42</v>
      </c>
      <c r="D27">
        <v>230</v>
      </c>
      <c r="E27">
        <v>400</v>
      </c>
      <c r="F27">
        <v>370</v>
      </c>
      <c r="G27">
        <v>99</v>
      </c>
      <c r="H27">
        <v>112</v>
      </c>
      <c r="K27">
        <v>17</v>
      </c>
      <c r="L27">
        <v>24</v>
      </c>
      <c r="M27">
        <v>67</v>
      </c>
      <c r="N27">
        <v>61</v>
      </c>
      <c r="O27">
        <v>22</v>
      </c>
      <c r="P27">
        <v>24</v>
      </c>
      <c r="S27">
        <v>29</v>
      </c>
      <c r="T27">
        <v>24</v>
      </c>
      <c r="U27">
        <v>49</v>
      </c>
      <c r="V27">
        <v>51</v>
      </c>
      <c r="W27">
        <v>25</v>
      </c>
      <c r="X27">
        <v>26</v>
      </c>
    </row>
    <row r="28" spans="2:24" x14ac:dyDescent="0.25">
      <c r="C28">
        <v>34</v>
      </c>
      <c r="D28">
        <v>225</v>
      </c>
      <c r="E28">
        <v>390</v>
      </c>
      <c r="F28">
        <v>390</v>
      </c>
      <c r="G28">
        <v>132</v>
      </c>
      <c r="H28">
        <v>110</v>
      </c>
      <c r="K28">
        <v>19</v>
      </c>
      <c r="L28">
        <v>22</v>
      </c>
      <c r="M28">
        <v>54</v>
      </c>
      <c r="N28">
        <v>58</v>
      </c>
      <c r="O28">
        <v>19</v>
      </c>
      <c r="P28">
        <v>24</v>
      </c>
      <c r="S28">
        <v>28</v>
      </c>
      <c r="T28">
        <v>37</v>
      </c>
      <c r="U28">
        <v>36</v>
      </c>
      <c r="V28">
        <v>53</v>
      </c>
      <c r="W28">
        <v>21</v>
      </c>
      <c r="X28">
        <v>20</v>
      </c>
    </row>
    <row r="29" spans="2:24" x14ac:dyDescent="0.25">
      <c r="B29" s="2" t="s">
        <v>9</v>
      </c>
      <c r="C29" s="2">
        <f>AVERAGE(C26:C28)</f>
        <v>38</v>
      </c>
      <c r="D29" s="2">
        <f>AVERAGE(D26:D28)</f>
        <v>228</v>
      </c>
      <c r="E29" s="2">
        <f>AVERAGE(E26:E28)</f>
        <v>400</v>
      </c>
      <c r="F29" s="2">
        <f>AVERAGE(F26:F28)</f>
        <v>380.66666666666669</v>
      </c>
      <c r="G29" s="2">
        <f>AVERAGE(G26:G28)</f>
        <v>115.33333333333333</v>
      </c>
      <c r="H29" s="2">
        <f>AVERAGE(H26:H28)</f>
        <v>111</v>
      </c>
      <c r="J29" s="2" t="s">
        <v>9</v>
      </c>
      <c r="K29" s="2">
        <f>AVERAGE(K26:K28)</f>
        <v>17</v>
      </c>
      <c r="L29" s="2">
        <f>AVERAGE(L26:L28)</f>
        <v>26.333333333333332</v>
      </c>
      <c r="M29" s="2">
        <f>AVERAGE(M26:M28)</f>
        <v>59.666666666666664</v>
      </c>
      <c r="N29" s="2">
        <f>AVERAGE(N26:N28)</f>
        <v>52.333333333333336</v>
      </c>
      <c r="O29" s="2">
        <f>AVERAGE(O26:O28)</f>
        <v>20.666666666666668</v>
      </c>
      <c r="P29" s="2">
        <f>AVERAGE(P26:P28)</f>
        <v>23.333333333333332</v>
      </c>
      <c r="R29" s="2" t="s">
        <v>9</v>
      </c>
      <c r="S29" s="2">
        <f>AVERAGE(S26:S28)</f>
        <v>32</v>
      </c>
      <c r="T29" s="2">
        <f>AVERAGE(T26:T28)</f>
        <v>30</v>
      </c>
      <c r="U29" s="2">
        <f>AVERAGE(U26:U28)</f>
        <v>43.666666666666664</v>
      </c>
      <c r="V29" s="2">
        <f>AVERAGE(V26:V28)</f>
        <v>53.333333333333336</v>
      </c>
      <c r="W29" s="2">
        <f>AVERAGE(W26:W28)</f>
        <v>23.666666666666668</v>
      </c>
      <c r="X29" s="2">
        <f>AVERAGE(X26:X28)</f>
        <v>23</v>
      </c>
    </row>
    <row r="30" spans="2:24" x14ac:dyDescent="0.25">
      <c r="B30" s="2" t="s">
        <v>10</v>
      </c>
      <c r="C30" s="2">
        <f>STDEVA(C26:C28)</f>
        <v>4</v>
      </c>
      <c r="D30" s="2">
        <f>STDEVA(D26:D28)</f>
        <v>2.6457513110645907</v>
      </c>
      <c r="E30" s="2">
        <f>STDEVA(E26:E28)</f>
        <v>10</v>
      </c>
      <c r="F30" s="2">
        <f>STDEVA(F26:F28)</f>
        <v>10.066445913694334</v>
      </c>
      <c r="G30" s="2">
        <f>STDEVA(G26:G28)</f>
        <v>16.502525059315381</v>
      </c>
      <c r="H30" s="2">
        <f>STDEVA(H26:H28)</f>
        <v>1</v>
      </c>
      <c r="J30" s="2" t="s">
        <v>10</v>
      </c>
      <c r="K30" s="2">
        <f>STDEVA(K26:K28)</f>
        <v>2</v>
      </c>
      <c r="L30" s="2">
        <f>STDEVA(L26:L28)</f>
        <v>5.8594652770823084</v>
      </c>
      <c r="M30" s="2">
        <f>STDEVA(M26:M28)</f>
        <v>6.6583281184793934</v>
      </c>
      <c r="N30" s="2">
        <f>STDEVA(N26:N28)</f>
        <v>12.503332889007355</v>
      </c>
      <c r="O30" s="2">
        <f>STDEVA(O26:O28)</f>
        <v>1.5275252316519465</v>
      </c>
      <c r="P30" s="2">
        <f>STDEVA(P26:P28)</f>
        <v>1.1547005383792515</v>
      </c>
      <c r="R30" s="2" t="s">
        <v>10</v>
      </c>
      <c r="S30" s="2">
        <f>STDEVA(S26:S28)</f>
        <v>6.0827625302982193</v>
      </c>
      <c r="T30" s="2">
        <f>STDEVA(T26:T28)</f>
        <v>6.5574385243020004</v>
      </c>
      <c r="U30" s="2">
        <f>STDEVA(U26:U28)</f>
        <v>6.8068592855540571</v>
      </c>
      <c r="V30" s="2">
        <f>STDEVA(V26:V28)</f>
        <v>2.5166114784235831</v>
      </c>
      <c r="W30" s="2">
        <f>STDEVA(W26:W28)</f>
        <v>2.3094010767585034</v>
      </c>
      <c r="X30" s="2">
        <f>STDEVA(X26:X28)</f>
        <v>3</v>
      </c>
    </row>
    <row r="31" spans="2:24" x14ac:dyDescent="0.25">
      <c r="B31" s="2" t="s">
        <v>11</v>
      </c>
      <c r="C31" s="3">
        <v>3800000</v>
      </c>
      <c r="D31" s="3">
        <v>2280000</v>
      </c>
      <c r="E31" s="3">
        <v>400000</v>
      </c>
      <c r="F31" s="3">
        <v>380660</v>
      </c>
      <c r="G31" s="3">
        <v>1153300</v>
      </c>
      <c r="H31" s="3">
        <v>1110000</v>
      </c>
      <c r="J31" s="2" t="s">
        <v>11</v>
      </c>
      <c r="K31" s="3">
        <v>1700000</v>
      </c>
      <c r="L31" s="3">
        <v>2633000</v>
      </c>
      <c r="M31" s="3">
        <v>596600</v>
      </c>
      <c r="N31" s="3">
        <v>523300</v>
      </c>
      <c r="O31" s="3">
        <v>2066000</v>
      </c>
      <c r="P31" s="3">
        <v>2333000</v>
      </c>
      <c r="R31" s="2" t="s">
        <v>11</v>
      </c>
      <c r="S31" s="3">
        <v>3200000</v>
      </c>
      <c r="T31" s="3">
        <v>3000000</v>
      </c>
      <c r="U31" s="3">
        <v>436600</v>
      </c>
      <c r="V31" s="3">
        <v>533300</v>
      </c>
      <c r="W31" s="3">
        <v>2366000</v>
      </c>
      <c r="X31" s="3">
        <v>2300000</v>
      </c>
    </row>
    <row r="34" spans="2:24" x14ac:dyDescent="0.25">
      <c r="C34" s="1" t="s">
        <v>4</v>
      </c>
      <c r="D34" s="1" t="s">
        <v>5</v>
      </c>
      <c r="E34" s="1" t="s">
        <v>24</v>
      </c>
      <c r="F34" s="1" t="s">
        <v>25</v>
      </c>
      <c r="G34" s="1" t="s">
        <v>168</v>
      </c>
      <c r="H34" s="1" t="s">
        <v>169</v>
      </c>
      <c r="K34" s="1" t="s">
        <v>4</v>
      </c>
      <c r="L34" s="1" t="s">
        <v>5</v>
      </c>
      <c r="M34" s="1" t="s">
        <v>24</v>
      </c>
      <c r="N34" s="1" t="s">
        <v>25</v>
      </c>
      <c r="O34" s="1" t="s">
        <v>168</v>
      </c>
      <c r="P34" s="1" t="s">
        <v>169</v>
      </c>
      <c r="S34" s="1" t="s">
        <v>4</v>
      </c>
      <c r="T34" s="1" t="s">
        <v>5</v>
      </c>
      <c r="U34" s="1" t="s">
        <v>24</v>
      </c>
      <c r="V34" s="1" t="s">
        <v>25</v>
      </c>
      <c r="W34" s="1" t="s">
        <v>168</v>
      </c>
      <c r="X34" s="1" t="s">
        <v>169</v>
      </c>
    </row>
    <row r="35" spans="2:24" ht="17.25" x14ac:dyDescent="0.25">
      <c r="B35" t="s">
        <v>14</v>
      </c>
      <c r="C35" t="s">
        <v>7</v>
      </c>
      <c r="E35" t="s">
        <v>13</v>
      </c>
      <c r="G35" t="s">
        <v>7</v>
      </c>
      <c r="J35" t="s">
        <v>14</v>
      </c>
      <c r="K35" t="s">
        <v>18</v>
      </c>
      <c r="M35" t="s">
        <v>7</v>
      </c>
      <c r="O35" t="s">
        <v>18</v>
      </c>
      <c r="R35" t="s">
        <v>14</v>
      </c>
      <c r="S35" t="s">
        <v>18</v>
      </c>
      <c r="U35" t="s">
        <v>7</v>
      </c>
      <c r="W35" t="s">
        <v>18</v>
      </c>
    </row>
    <row r="36" spans="2:24" x14ac:dyDescent="0.25">
      <c r="C36">
        <v>159</v>
      </c>
      <c r="D36">
        <v>129</v>
      </c>
      <c r="E36">
        <v>259</v>
      </c>
      <c r="F36">
        <v>264</v>
      </c>
      <c r="G36">
        <v>142</v>
      </c>
      <c r="H36">
        <v>155</v>
      </c>
      <c r="K36">
        <v>24</v>
      </c>
      <c r="L36">
        <v>35</v>
      </c>
      <c r="M36">
        <v>12</v>
      </c>
      <c r="N36">
        <v>12</v>
      </c>
      <c r="O36">
        <v>21</v>
      </c>
      <c r="P36">
        <v>27</v>
      </c>
      <c r="S36">
        <v>31</v>
      </c>
      <c r="T36">
        <v>43</v>
      </c>
      <c r="U36">
        <v>26</v>
      </c>
      <c r="V36">
        <v>33</v>
      </c>
      <c r="W36">
        <v>31</v>
      </c>
      <c r="X36">
        <v>41</v>
      </c>
    </row>
    <row r="37" spans="2:24" x14ac:dyDescent="0.25">
      <c r="C37">
        <v>180</v>
      </c>
      <c r="D37">
        <v>127</v>
      </c>
      <c r="E37">
        <v>260</v>
      </c>
      <c r="F37">
        <v>261</v>
      </c>
      <c r="G37">
        <v>141</v>
      </c>
      <c r="H37">
        <v>138</v>
      </c>
      <c r="K37">
        <v>20</v>
      </c>
      <c r="L37">
        <v>47</v>
      </c>
      <c r="M37">
        <v>17</v>
      </c>
      <c r="N37">
        <v>14</v>
      </c>
      <c r="O37">
        <v>27</v>
      </c>
      <c r="P37">
        <v>28</v>
      </c>
      <c r="S37">
        <v>41</v>
      </c>
      <c r="T37">
        <v>41</v>
      </c>
      <c r="U37">
        <v>29</v>
      </c>
      <c r="V37">
        <v>26</v>
      </c>
      <c r="W37">
        <v>39</v>
      </c>
      <c r="X37">
        <v>39</v>
      </c>
    </row>
    <row r="38" spans="2:24" x14ac:dyDescent="0.25">
      <c r="C38">
        <v>172</v>
      </c>
      <c r="D38">
        <v>137</v>
      </c>
      <c r="E38">
        <v>255</v>
      </c>
      <c r="F38">
        <v>265</v>
      </c>
      <c r="G38">
        <v>117</v>
      </c>
      <c r="H38">
        <v>160</v>
      </c>
      <c r="K38">
        <v>15</v>
      </c>
      <c r="L38">
        <v>27</v>
      </c>
      <c r="M38">
        <v>16</v>
      </c>
      <c r="N38">
        <v>17</v>
      </c>
      <c r="O38">
        <v>14</v>
      </c>
      <c r="P38">
        <v>26</v>
      </c>
      <c r="S38">
        <v>50</v>
      </c>
      <c r="T38">
        <v>49</v>
      </c>
      <c r="U38">
        <v>23</v>
      </c>
      <c r="V38">
        <v>24</v>
      </c>
      <c r="W38">
        <v>30</v>
      </c>
      <c r="X38">
        <v>38</v>
      </c>
    </row>
    <row r="39" spans="2:24" x14ac:dyDescent="0.25">
      <c r="B39" s="2" t="s">
        <v>9</v>
      </c>
      <c r="C39" s="2">
        <f>AVERAGE(C36:C38)</f>
        <v>170.33333333333334</v>
      </c>
      <c r="D39" s="2">
        <f>AVERAGE(D36:D38)</f>
        <v>131</v>
      </c>
      <c r="E39" s="2">
        <f>AVERAGE(E36:E38)</f>
        <v>258</v>
      </c>
      <c r="F39" s="2">
        <f>AVERAGE(F36:F38)</f>
        <v>263.33333333333331</v>
      </c>
      <c r="G39" s="2">
        <f>AVERAGE(G36:G38)</f>
        <v>133.33333333333334</v>
      </c>
      <c r="H39" s="2">
        <f>AVERAGE(H36:H38)</f>
        <v>151</v>
      </c>
      <c r="J39" s="2" t="s">
        <v>9</v>
      </c>
      <c r="K39" s="2">
        <f>AVERAGE(K36:K38)</f>
        <v>19.666666666666668</v>
      </c>
      <c r="L39" s="2">
        <f>AVERAGE(L36:L38)</f>
        <v>36.333333333333336</v>
      </c>
      <c r="M39" s="2">
        <f>AVERAGE(M36:M38)</f>
        <v>15</v>
      </c>
      <c r="N39" s="2">
        <f>AVERAGE(N36:N38)</f>
        <v>14.333333333333334</v>
      </c>
      <c r="O39" s="2">
        <f>AVERAGE(O36:O38)</f>
        <v>20.666666666666668</v>
      </c>
      <c r="P39" s="2">
        <f>AVERAGE(P36:P38)</f>
        <v>27</v>
      </c>
      <c r="R39" s="2" t="s">
        <v>9</v>
      </c>
      <c r="S39" s="2">
        <f>AVERAGE(S36:S38)</f>
        <v>40.666666666666664</v>
      </c>
      <c r="T39" s="2">
        <f>AVERAGE(T36:T38)</f>
        <v>44.333333333333336</v>
      </c>
      <c r="U39" s="2">
        <f>AVERAGE(U36:U38)</f>
        <v>26</v>
      </c>
      <c r="V39" s="2">
        <f>AVERAGE(V36:V38)</f>
        <v>27.666666666666668</v>
      </c>
      <c r="W39" s="2">
        <f>AVERAGE(W36:W38)</f>
        <v>33.333333333333336</v>
      </c>
      <c r="X39" s="2">
        <f>AVERAGE(X36:X38)</f>
        <v>39.333333333333336</v>
      </c>
    </row>
    <row r="40" spans="2:24" x14ac:dyDescent="0.25">
      <c r="B40" s="2" t="s">
        <v>10</v>
      </c>
      <c r="C40" s="2">
        <f>STDEVA(C36:C38)</f>
        <v>10.598742063723098</v>
      </c>
      <c r="D40" s="2">
        <f>STDEVA(D36:D38)</f>
        <v>5.2915026221291814</v>
      </c>
      <c r="E40" s="2">
        <f>STDEVA(E36:E38)</f>
        <v>2.6457513110645907</v>
      </c>
      <c r="F40" s="2">
        <f>STDEVA(F36:F38)</f>
        <v>2.0816659994661326</v>
      </c>
      <c r="G40" s="2">
        <f>STDEVA(G36:G38)</f>
        <v>14.153915830374764</v>
      </c>
      <c r="H40" s="2">
        <f>STDEVA(H36:H38)</f>
        <v>11.532562594670797</v>
      </c>
      <c r="J40" s="2" t="s">
        <v>10</v>
      </c>
      <c r="K40" s="2">
        <f>STDEVA(K36:K38)</f>
        <v>4.5092497528228987</v>
      </c>
      <c r="L40" s="2">
        <f>STDEVA(L36:L38)</f>
        <v>10.066445913694329</v>
      </c>
      <c r="M40" s="2">
        <f>STDEVA(M36:M38)</f>
        <v>2.6457513110645907</v>
      </c>
      <c r="N40" s="2">
        <f>STDEVA(N36:N38)</f>
        <v>2.5166114784235796</v>
      </c>
      <c r="O40" s="2">
        <f>STDEVA(O36:O38)</f>
        <v>6.5064070986477143</v>
      </c>
      <c r="P40" s="2">
        <f>STDEVA(P36:P38)</f>
        <v>1</v>
      </c>
      <c r="R40" s="2" t="s">
        <v>10</v>
      </c>
      <c r="S40" s="2">
        <f>STDEVA(S36:S38)</f>
        <v>9.5043849529221767</v>
      </c>
      <c r="T40" s="2">
        <f>STDEVA(T36:T38)</f>
        <v>4.1633319989322661</v>
      </c>
      <c r="U40" s="2">
        <f>STDEVA(U36:U38)</f>
        <v>3</v>
      </c>
      <c r="V40" s="2">
        <f>STDEVA(V36:V38)</f>
        <v>4.7258156262526008</v>
      </c>
      <c r="W40" s="2">
        <f>STDEVA(W36:W38)</f>
        <v>4.93288286231624</v>
      </c>
      <c r="X40" s="2">
        <f>STDEVA(X36:X38)</f>
        <v>1.5275252316519465</v>
      </c>
    </row>
    <row r="41" spans="2:24" x14ac:dyDescent="0.25">
      <c r="B41" s="2" t="s">
        <v>11</v>
      </c>
      <c r="C41" s="3">
        <v>1703300</v>
      </c>
      <c r="D41" s="3">
        <v>1310000</v>
      </c>
      <c r="E41" s="3">
        <v>258000</v>
      </c>
      <c r="F41" s="3">
        <v>263330</v>
      </c>
      <c r="G41" s="3">
        <v>1333300</v>
      </c>
      <c r="H41" s="3">
        <v>1510000</v>
      </c>
      <c r="J41" s="2" t="s">
        <v>11</v>
      </c>
      <c r="K41" s="3">
        <v>1966000</v>
      </c>
      <c r="L41" s="3">
        <v>3633000</v>
      </c>
      <c r="M41" s="3">
        <v>150000</v>
      </c>
      <c r="N41" s="3">
        <v>143300</v>
      </c>
      <c r="O41" s="3">
        <v>2066000</v>
      </c>
      <c r="P41" s="3">
        <v>2700000</v>
      </c>
      <c r="R41" s="2" t="s">
        <v>11</v>
      </c>
      <c r="S41" s="3">
        <v>4066000</v>
      </c>
      <c r="T41" s="3">
        <v>4433000</v>
      </c>
      <c r="U41" s="3">
        <v>260000</v>
      </c>
      <c r="V41" s="3">
        <v>276600</v>
      </c>
      <c r="W41" s="3">
        <v>3333000</v>
      </c>
      <c r="X41" s="3">
        <v>3933000</v>
      </c>
    </row>
    <row r="43" spans="2:24" x14ac:dyDescent="0.25">
      <c r="C43">
        <v>8640</v>
      </c>
      <c r="E43" t="s">
        <v>22</v>
      </c>
      <c r="G43" t="s">
        <v>94</v>
      </c>
      <c r="K43">
        <v>8640</v>
      </c>
      <c r="M43" t="s">
        <v>22</v>
      </c>
      <c r="O43" t="s">
        <v>94</v>
      </c>
      <c r="S43">
        <v>8640</v>
      </c>
      <c r="U43" t="s">
        <v>22</v>
      </c>
      <c r="W43" t="s">
        <v>94</v>
      </c>
    </row>
    <row r="44" spans="2:24" x14ac:dyDescent="0.25">
      <c r="B44" t="s">
        <v>6</v>
      </c>
      <c r="C44" s="4">
        <f>AVERAGE(D31)</f>
        <v>2280000</v>
      </c>
      <c r="E44" s="4">
        <f>AVERAGE(E31:F31)</f>
        <v>390330</v>
      </c>
      <c r="G44" s="4">
        <f>AVERAGE(G31:H31)</f>
        <v>1131650</v>
      </c>
      <c r="J44" t="s">
        <v>6</v>
      </c>
      <c r="K44" s="4">
        <f>AVERAGE(K31:L31)</f>
        <v>2166500</v>
      </c>
      <c r="M44" s="4">
        <f>AVERAGE(M31:N31)</f>
        <v>559950</v>
      </c>
      <c r="O44" s="4">
        <f>AVERAGE(O31:P31)</f>
        <v>2199500</v>
      </c>
      <c r="R44" t="s">
        <v>6</v>
      </c>
      <c r="S44" s="4">
        <f>AVERAGE(S31:T31)</f>
        <v>3100000</v>
      </c>
      <c r="U44" s="4">
        <f>AVERAGE(U31:V31)</f>
        <v>484950</v>
      </c>
      <c r="W44" s="4">
        <f>AVERAGE(W31:X31)</f>
        <v>2333000</v>
      </c>
    </row>
    <row r="45" spans="2:24" x14ac:dyDescent="0.25">
      <c r="B45" t="s">
        <v>14</v>
      </c>
      <c r="C45" s="4">
        <f>AVERAGE(C41:D41)</f>
        <v>1506650</v>
      </c>
      <c r="E45" s="4">
        <f>AVERAGE(E41:F41)</f>
        <v>260665</v>
      </c>
      <c r="G45" s="4">
        <f>AVERAGE(G41:H41)</f>
        <v>1421650</v>
      </c>
      <c r="J45" t="s">
        <v>14</v>
      </c>
      <c r="K45" s="4">
        <f>AVERAGE(K41:L41)</f>
        <v>2799500</v>
      </c>
      <c r="M45" s="4">
        <f>AVERAGE(M41:N41)</f>
        <v>146650</v>
      </c>
      <c r="O45" s="4">
        <f>AVERAGE(O41:P41)</f>
        <v>2383000</v>
      </c>
      <c r="R45" t="s">
        <v>14</v>
      </c>
      <c r="S45" s="4">
        <f>AVERAGE(S41:T41)</f>
        <v>4249500</v>
      </c>
      <c r="U45" s="4">
        <f>AVERAGE(U41:V41)</f>
        <v>268300</v>
      </c>
      <c r="W45" s="4">
        <f>AVERAGE(W41:X41)</f>
        <v>3633000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E5D7A-5FFB-4267-8DD8-5EBBEEE24923}">
  <dimension ref="A1:R33"/>
  <sheetViews>
    <sheetView workbookViewId="0">
      <selection activeCell="W24" sqref="W24"/>
    </sheetView>
  </sheetViews>
  <sheetFormatPr baseColWidth="10" defaultRowHeight="15" x14ac:dyDescent="0.25"/>
  <sheetData>
    <row r="1" spans="1:18" x14ac:dyDescent="0.25">
      <c r="A1" t="s">
        <v>0</v>
      </c>
      <c r="B1" t="s">
        <v>1</v>
      </c>
    </row>
    <row r="2" spans="1:18" x14ac:dyDescent="0.25">
      <c r="B2" t="s">
        <v>2</v>
      </c>
    </row>
    <row r="8" spans="1:18" x14ac:dyDescent="0.25">
      <c r="B8" s="1" t="s">
        <v>3</v>
      </c>
      <c r="H8" s="1" t="s">
        <v>3</v>
      </c>
      <c r="N8" s="1" t="s">
        <v>3</v>
      </c>
    </row>
    <row r="10" spans="1:18" x14ac:dyDescent="0.25">
      <c r="C10" s="1" t="s">
        <v>4</v>
      </c>
      <c r="D10" s="1" t="s">
        <v>5</v>
      </c>
      <c r="E10" s="1" t="s">
        <v>24</v>
      </c>
      <c r="F10" s="1" t="s">
        <v>25</v>
      </c>
      <c r="I10" s="1" t="s">
        <v>4</v>
      </c>
      <c r="J10" s="1" t="s">
        <v>5</v>
      </c>
      <c r="K10" s="1" t="s">
        <v>24</v>
      </c>
      <c r="L10" s="1" t="s">
        <v>25</v>
      </c>
      <c r="O10" s="1" t="s">
        <v>4</v>
      </c>
      <c r="P10" s="1" t="s">
        <v>5</v>
      </c>
      <c r="Q10" s="1" t="s">
        <v>24</v>
      </c>
      <c r="R10" s="1" t="s">
        <v>25</v>
      </c>
    </row>
    <row r="11" spans="1:18" ht="17.25" x14ac:dyDescent="0.25">
      <c r="B11" t="s">
        <v>6</v>
      </c>
      <c r="C11" t="s">
        <v>170</v>
      </c>
      <c r="H11" t="s">
        <v>6</v>
      </c>
      <c r="I11" t="s">
        <v>170</v>
      </c>
      <c r="N11" t="s">
        <v>6</v>
      </c>
      <c r="O11" t="s">
        <v>170</v>
      </c>
    </row>
    <row r="12" spans="1:18" x14ac:dyDescent="0.25">
      <c r="C12">
        <v>51</v>
      </c>
      <c r="E12">
        <v>44</v>
      </c>
      <c r="I12">
        <v>55</v>
      </c>
      <c r="K12">
        <v>54</v>
      </c>
      <c r="O12">
        <v>43</v>
      </c>
      <c r="Q12">
        <v>38</v>
      </c>
    </row>
    <row r="13" spans="1:18" x14ac:dyDescent="0.25">
      <c r="C13">
        <v>47</v>
      </c>
      <c r="E13">
        <v>54</v>
      </c>
      <c r="I13">
        <v>64</v>
      </c>
      <c r="K13">
        <v>47</v>
      </c>
      <c r="O13">
        <v>47</v>
      </c>
      <c r="Q13">
        <v>40</v>
      </c>
    </row>
    <row r="14" spans="1:18" x14ac:dyDescent="0.25">
      <c r="C14">
        <v>49</v>
      </c>
      <c r="E14">
        <v>46</v>
      </c>
      <c r="I14">
        <v>48</v>
      </c>
      <c r="K14">
        <v>46</v>
      </c>
      <c r="O14">
        <v>52</v>
      </c>
      <c r="Q14">
        <v>52</v>
      </c>
    </row>
    <row r="15" spans="1:18" x14ac:dyDescent="0.25">
      <c r="B15" s="2" t="s">
        <v>9</v>
      </c>
      <c r="C15" s="2">
        <f>AVERAGE(C12:C14)</f>
        <v>49</v>
      </c>
      <c r="D15" s="2" t="e">
        <f>AVERAGE(D12:D14)</f>
        <v>#DIV/0!</v>
      </c>
      <c r="E15" s="2">
        <f>AVERAGE(E12:E14)</f>
        <v>48</v>
      </c>
      <c r="F15" s="2" t="e">
        <f>AVERAGE(F12:F14)</f>
        <v>#DIV/0!</v>
      </c>
      <c r="H15" s="2" t="s">
        <v>9</v>
      </c>
      <c r="I15" s="2">
        <f>AVERAGE(I12:I14)</f>
        <v>55.666666666666664</v>
      </c>
      <c r="J15" s="2" t="e">
        <f>AVERAGE(J12:J14)</f>
        <v>#DIV/0!</v>
      </c>
      <c r="K15" s="2">
        <f>AVERAGE(K12:K14)</f>
        <v>49</v>
      </c>
      <c r="L15" s="2" t="e">
        <f>AVERAGE(L12:L14)</f>
        <v>#DIV/0!</v>
      </c>
      <c r="N15" s="2" t="s">
        <v>9</v>
      </c>
      <c r="O15" s="2">
        <f>AVERAGE(O12:O14)</f>
        <v>47.333333333333336</v>
      </c>
      <c r="P15" s="2" t="e">
        <f>AVERAGE(P12:P14)</f>
        <v>#DIV/0!</v>
      </c>
      <c r="Q15" s="2">
        <f>AVERAGE(Q12:Q14)</f>
        <v>43.333333333333336</v>
      </c>
      <c r="R15" s="2" t="e">
        <f>AVERAGE(R12:R14)</f>
        <v>#DIV/0!</v>
      </c>
    </row>
    <row r="16" spans="1:18" x14ac:dyDescent="0.25">
      <c r="B16" s="2" t="s">
        <v>10</v>
      </c>
      <c r="C16" s="2">
        <f>STDEVA(C12:C14)</f>
        <v>2</v>
      </c>
      <c r="D16" s="2" t="e">
        <f>STDEVA(D12:D14)</f>
        <v>#DIV/0!</v>
      </c>
      <c r="E16" s="2">
        <f>STDEVA(E12:E14)</f>
        <v>5.2915026221291814</v>
      </c>
      <c r="F16" s="2" t="e">
        <f>STDEVA(F12:F14)</f>
        <v>#DIV/0!</v>
      </c>
      <c r="H16" s="2" t="s">
        <v>10</v>
      </c>
      <c r="I16" s="2">
        <f>STDEVA(I12:I14)</f>
        <v>8.0208062770106245</v>
      </c>
      <c r="J16" s="2" t="e">
        <f>STDEVA(J12:J14)</f>
        <v>#DIV/0!</v>
      </c>
      <c r="K16" s="2">
        <f>STDEVA(K12:K14)</f>
        <v>4.358898943540674</v>
      </c>
      <c r="L16" s="2" t="e">
        <f>STDEVA(L12:L14)</f>
        <v>#DIV/0!</v>
      </c>
      <c r="N16" s="2" t="s">
        <v>10</v>
      </c>
      <c r="O16" s="2">
        <f>STDEVA(O12:O14)</f>
        <v>4.5092497528228943</v>
      </c>
      <c r="P16" s="2" t="e">
        <f>STDEVA(P12:P14)</f>
        <v>#DIV/0!</v>
      </c>
      <c r="Q16" s="2">
        <f>STDEVA(Q12:Q14)</f>
        <v>7.5718777944003746</v>
      </c>
      <c r="R16" s="2" t="e">
        <f>STDEVA(R12:R14)</f>
        <v>#DIV/0!</v>
      </c>
    </row>
    <row r="17" spans="2:18" x14ac:dyDescent="0.25">
      <c r="B17" s="2" t="s">
        <v>11</v>
      </c>
      <c r="C17" s="3">
        <v>49000000</v>
      </c>
      <c r="D17" s="2"/>
      <c r="E17" s="3">
        <v>48000000</v>
      </c>
      <c r="F17" s="2"/>
      <c r="H17" s="2" t="s">
        <v>11</v>
      </c>
      <c r="I17" s="3">
        <v>55660000</v>
      </c>
      <c r="J17" s="2"/>
      <c r="K17" s="3">
        <v>49000000</v>
      </c>
      <c r="L17" s="2"/>
      <c r="N17" s="2" t="s">
        <v>11</v>
      </c>
      <c r="O17" s="3">
        <v>47330000</v>
      </c>
      <c r="P17" s="2"/>
      <c r="Q17" s="3">
        <v>43330000</v>
      </c>
      <c r="R17" s="2"/>
    </row>
    <row r="20" spans="2:18" x14ac:dyDescent="0.25">
      <c r="B20" s="1" t="s">
        <v>12</v>
      </c>
      <c r="H20" s="1" t="s">
        <v>12</v>
      </c>
      <c r="N20" s="1" t="s">
        <v>12</v>
      </c>
    </row>
    <row r="22" spans="2:18" x14ac:dyDescent="0.25">
      <c r="C22" s="1" t="s">
        <v>4</v>
      </c>
      <c r="D22" s="1" t="s">
        <v>5</v>
      </c>
      <c r="E22" s="1" t="s">
        <v>24</v>
      </c>
      <c r="F22" s="1" t="s">
        <v>25</v>
      </c>
      <c r="I22" s="1" t="s">
        <v>4</v>
      </c>
      <c r="J22" s="1" t="s">
        <v>5</v>
      </c>
      <c r="K22" s="1" t="s">
        <v>24</v>
      </c>
      <c r="L22" s="1" t="s">
        <v>25</v>
      </c>
      <c r="O22" s="1" t="s">
        <v>4</v>
      </c>
      <c r="P22" s="1" t="s">
        <v>5</v>
      </c>
      <c r="Q22" s="1" t="s">
        <v>24</v>
      </c>
      <c r="R22" s="1" t="s">
        <v>25</v>
      </c>
    </row>
    <row r="23" spans="2:18" ht="17.25" x14ac:dyDescent="0.25">
      <c r="B23" t="s">
        <v>171</v>
      </c>
      <c r="C23" t="s">
        <v>13</v>
      </c>
      <c r="E23" t="s">
        <v>21</v>
      </c>
      <c r="H23" t="s">
        <v>171</v>
      </c>
      <c r="I23" t="s">
        <v>13</v>
      </c>
      <c r="K23" t="s">
        <v>21</v>
      </c>
      <c r="N23" t="s">
        <v>171</v>
      </c>
      <c r="O23" t="s">
        <v>21</v>
      </c>
    </row>
    <row r="24" spans="2:18" x14ac:dyDescent="0.25">
      <c r="C24">
        <v>18</v>
      </c>
      <c r="D24">
        <v>18</v>
      </c>
      <c r="E24">
        <v>67</v>
      </c>
      <c r="F24">
        <v>98</v>
      </c>
      <c r="I24">
        <v>19</v>
      </c>
      <c r="J24">
        <v>52</v>
      </c>
      <c r="K24">
        <v>95</v>
      </c>
      <c r="L24">
        <v>121</v>
      </c>
      <c r="O24">
        <v>125</v>
      </c>
      <c r="P24">
        <v>178</v>
      </c>
      <c r="Q24">
        <v>101</v>
      </c>
      <c r="R24">
        <v>121</v>
      </c>
    </row>
    <row r="25" spans="2:18" x14ac:dyDescent="0.25">
      <c r="C25">
        <v>13</v>
      </c>
      <c r="D25">
        <v>18</v>
      </c>
      <c r="E25">
        <v>71</v>
      </c>
      <c r="F25">
        <v>89</v>
      </c>
      <c r="I25">
        <v>19</v>
      </c>
      <c r="J25">
        <v>51</v>
      </c>
      <c r="K25">
        <v>97</v>
      </c>
      <c r="L25">
        <v>107</v>
      </c>
      <c r="O25">
        <v>127</v>
      </c>
      <c r="P25">
        <v>188</v>
      </c>
      <c r="Q25">
        <v>106</v>
      </c>
      <c r="R25">
        <v>104</v>
      </c>
    </row>
    <row r="26" spans="2:18" x14ac:dyDescent="0.25">
      <c r="C26">
        <v>13</v>
      </c>
      <c r="D26">
        <v>19</v>
      </c>
      <c r="E26">
        <v>93</v>
      </c>
      <c r="F26">
        <v>82</v>
      </c>
      <c r="I26">
        <v>12</v>
      </c>
      <c r="J26">
        <v>56</v>
      </c>
      <c r="K26">
        <v>88</v>
      </c>
      <c r="L26">
        <v>117</v>
      </c>
      <c r="O26">
        <v>123</v>
      </c>
      <c r="P26">
        <v>170</v>
      </c>
      <c r="Q26">
        <v>108</v>
      </c>
      <c r="R26">
        <v>117</v>
      </c>
    </row>
    <row r="27" spans="2:18" x14ac:dyDescent="0.25">
      <c r="B27" s="2" t="s">
        <v>9</v>
      </c>
      <c r="C27" s="2">
        <f>AVERAGE(C24:C26)</f>
        <v>14.666666666666666</v>
      </c>
      <c r="D27" s="2">
        <f>AVERAGE(D24:D26)</f>
        <v>18.333333333333332</v>
      </c>
      <c r="E27" s="2">
        <f>AVERAGE(E24:E26)</f>
        <v>77</v>
      </c>
      <c r="F27" s="2">
        <f>AVERAGE(F24:F26)</f>
        <v>89.666666666666671</v>
      </c>
      <c r="H27" s="2" t="s">
        <v>9</v>
      </c>
      <c r="I27" s="2">
        <f>AVERAGE(I24:I26)</f>
        <v>16.666666666666668</v>
      </c>
      <c r="J27" s="2">
        <f>AVERAGE(J24:J26)</f>
        <v>53</v>
      </c>
      <c r="K27" s="2">
        <f>AVERAGE(K24:K26)</f>
        <v>93.333333333333329</v>
      </c>
      <c r="L27" s="2">
        <f>AVERAGE(L24:L26)</f>
        <v>115</v>
      </c>
      <c r="N27" s="2" t="s">
        <v>9</v>
      </c>
      <c r="O27" s="2">
        <f>AVERAGE(O24:O26)</f>
        <v>125</v>
      </c>
      <c r="P27" s="2">
        <f>AVERAGE(P24:P26)</f>
        <v>178.66666666666666</v>
      </c>
      <c r="Q27" s="2">
        <f>AVERAGE(Q24:Q26)</f>
        <v>105</v>
      </c>
      <c r="R27" s="2">
        <f>AVERAGE(R24:R26)</f>
        <v>114</v>
      </c>
    </row>
    <row r="28" spans="2:18" x14ac:dyDescent="0.25">
      <c r="B28" s="2" t="s">
        <v>10</v>
      </c>
      <c r="C28" s="2">
        <f>STDEVA(C24:C26)</f>
        <v>2.8867513459481255</v>
      </c>
      <c r="D28" s="2">
        <f>STDEVA(D24:D26)</f>
        <v>0.57735026918962584</v>
      </c>
      <c r="E28" s="2">
        <f>STDEVA(E24:E26)</f>
        <v>14</v>
      </c>
      <c r="F28" s="2">
        <f>STDEVA(F24:F26)</f>
        <v>8.0208062770106441</v>
      </c>
      <c r="H28" s="2" t="s">
        <v>10</v>
      </c>
      <c r="I28" s="2">
        <f>STDEVA(I24:I26)</f>
        <v>4.0414518843273779</v>
      </c>
      <c r="J28" s="2">
        <f>STDEVA(J24:J26)</f>
        <v>2.6457513110645907</v>
      </c>
      <c r="K28" s="2">
        <f>STDEVA(K24:K26)</f>
        <v>4.7258156262526079</v>
      </c>
      <c r="L28" s="2">
        <f>STDEVA(L24:L26)</f>
        <v>7.2111025509279782</v>
      </c>
      <c r="N28" s="2" t="s">
        <v>10</v>
      </c>
      <c r="O28" s="2">
        <f>STDEVA(O24:O26)</f>
        <v>2</v>
      </c>
      <c r="P28" s="2">
        <f>STDEVA(P24:P26)</f>
        <v>9.0184995056457886</v>
      </c>
      <c r="Q28" s="2">
        <f>STDEVA(Q24:Q26)</f>
        <v>3.6055512754639891</v>
      </c>
      <c r="R28" s="2">
        <f>STDEVA(R24:R26)</f>
        <v>8.8881944173155887</v>
      </c>
    </row>
    <row r="29" spans="2:18" x14ac:dyDescent="0.25">
      <c r="B29" s="2" t="s">
        <v>11</v>
      </c>
      <c r="C29" s="3">
        <v>14660</v>
      </c>
      <c r="D29" s="3">
        <v>18330</v>
      </c>
      <c r="E29" s="3">
        <v>7700</v>
      </c>
      <c r="F29" s="3">
        <v>8966</v>
      </c>
      <c r="H29" s="2" t="s">
        <v>11</v>
      </c>
      <c r="I29" s="3">
        <v>16660</v>
      </c>
      <c r="J29" s="3">
        <v>53000</v>
      </c>
      <c r="K29" s="3">
        <v>9333</v>
      </c>
      <c r="L29" s="3">
        <v>11500</v>
      </c>
      <c r="N29" s="2" t="s">
        <v>11</v>
      </c>
      <c r="O29" s="3">
        <v>12500</v>
      </c>
      <c r="P29" s="3">
        <v>17866</v>
      </c>
      <c r="Q29" s="3">
        <v>10500</v>
      </c>
      <c r="R29" s="3">
        <v>11400</v>
      </c>
    </row>
    <row r="31" spans="2:18" x14ac:dyDescent="0.25">
      <c r="B31" s="1" t="s">
        <v>9</v>
      </c>
      <c r="H31" s="1" t="s">
        <v>9</v>
      </c>
      <c r="N31" s="1" t="s">
        <v>9</v>
      </c>
    </row>
    <row r="32" spans="2:18" x14ac:dyDescent="0.25">
      <c r="C32" s="1" t="s">
        <v>4</v>
      </c>
      <c r="E32" s="1" t="s">
        <v>24</v>
      </c>
      <c r="I32" s="1" t="s">
        <v>4</v>
      </c>
      <c r="K32" s="1" t="s">
        <v>24</v>
      </c>
      <c r="O32" s="1" t="s">
        <v>4</v>
      </c>
      <c r="Q32" s="1" t="s">
        <v>24</v>
      </c>
    </row>
    <row r="33" spans="1:17" x14ac:dyDescent="0.25">
      <c r="A33" s="1"/>
      <c r="B33">
        <v>0</v>
      </c>
      <c r="C33" s="4">
        <f>AVERAGE(SFig2B!C29:D29)</f>
        <v>16495</v>
      </c>
      <c r="E33" s="4">
        <f>AVERAGE(SFig2B!E29:F29)</f>
        <v>8333</v>
      </c>
      <c r="H33">
        <v>0</v>
      </c>
      <c r="I33" s="4">
        <f>AVERAGE(SFig2B!I29:J29)</f>
        <v>34830</v>
      </c>
      <c r="K33" s="4">
        <f>AVERAGE(SFig2B!K29:L29)</f>
        <v>10416.5</v>
      </c>
      <c r="N33">
        <v>0</v>
      </c>
      <c r="O33" s="4">
        <f>AVERAGE(SFig2B!O29:P29)</f>
        <v>15183</v>
      </c>
      <c r="Q33" s="4">
        <f>AVERAGE(SFig2B!Q29:R29)</f>
        <v>10950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3632F-C5F4-4F4E-9752-02DDA489EB32}">
  <dimension ref="A1:X26"/>
  <sheetViews>
    <sheetView workbookViewId="0">
      <selection activeCell="K8" sqref="K8"/>
    </sheetView>
  </sheetViews>
  <sheetFormatPr baseColWidth="10" defaultRowHeight="15" x14ac:dyDescent="0.25"/>
  <sheetData>
    <row r="1" spans="1:24" x14ac:dyDescent="0.25">
      <c r="A1" t="s">
        <v>0</v>
      </c>
      <c r="B1" t="s">
        <v>1</v>
      </c>
      <c r="C1" t="s">
        <v>172</v>
      </c>
      <c r="D1" s="1" t="s">
        <v>176</v>
      </c>
      <c r="E1" s="1" t="s">
        <v>177</v>
      </c>
      <c r="F1" s="1"/>
      <c r="G1" s="1"/>
    </row>
    <row r="2" spans="1:24" x14ac:dyDescent="0.25">
      <c r="B2" t="s">
        <v>173</v>
      </c>
      <c r="D2" s="1"/>
      <c r="E2" s="1" t="s">
        <v>178</v>
      </c>
      <c r="F2" s="1"/>
      <c r="G2" s="1"/>
    </row>
    <row r="3" spans="1:24" x14ac:dyDescent="0.25">
      <c r="B3" t="s">
        <v>167</v>
      </c>
      <c r="D3" s="1"/>
      <c r="E3" s="1" t="s">
        <v>179</v>
      </c>
      <c r="F3" s="1"/>
      <c r="G3" s="1"/>
    </row>
    <row r="4" spans="1:24" x14ac:dyDescent="0.25">
      <c r="D4" s="1"/>
      <c r="E4" s="1" t="s">
        <v>180</v>
      </c>
      <c r="F4" s="1"/>
      <c r="G4" s="1"/>
    </row>
    <row r="5" spans="1:24" x14ac:dyDescent="0.25">
      <c r="D5" s="1"/>
      <c r="E5" s="1" t="s">
        <v>181</v>
      </c>
      <c r="F5" s="1"/>
      <c r="G5" s="1"/>
    </row>
    <row r="6" spans="1:24" x14ac:dyDescent="0.25">
      <c r="D6" s="1"/>
      <c r="E6" s="1" t="s">
        <v>182</v>
      </c>
      <c r="F6" s="1"/>
      <c r="G6" s="1"/>
    </row>
    <row r="10" spans="1:24" x14ac:dyDescent="0.25">
      <c r="C10" s="1">
        <v>8640</v>
      </c>
      <c r="K10" s="1" t="s">
        <v>60</v>
      </c>
      <c r="S10" s="1" t="s">
        <v>174</v>
      </c>
    </row>
    <row r="12" spans="1:24" x14ac:dyDescent="0.25">
      <c r="B12" s="30"/>
      <c r="C12">
        <v>1</v>
      </c>
      <c r="D12">
        <v>2</v>
      </c>
      <c r="E12">
        <v>3</v>
      </c>
      <c r="F12">
        <v>4</v>
      </c>
      <c r="G12">
        <v>5</v>
      </c>
      <c r="H12">
        <v>6</v>
      </c>
      <c r="K12">
        <v>1</v>
      </c>
      <c r="L12">
        <v>2</v>
      </c>
      <c r="M12">
        <v>3</v>
      </c>
      <c r="N12">
        <v>4</v>
      </c>
      <c r="O12">
        <v>5</v>
      </c>
      <c r="P12">
        <v>6</v>
      </c>
      <c r="S12">
        <v>1</v>
      </c>
      <c r="T12">
        <v>2</v>
      </c>
      <c r="U12">
        <v>3</v>
      </c>
      <c r="V12">
        <v>4</v>
      </c>
      <c r="W12">
        <v>5</v>
      </c>
      <c r="X12">
        <v>6</v>
      </c>
    </row>
    <row r="13" spans="1:24" x14ac:dyDescent="0.25">
      <c r="B13" s="1" t="s">
        <v>58</v>
      </c>
      <c r="C13">
        <v>116</v>
      </c>
      <c r="D13">
        <v>79</v>
      </c>
      <c r="E13">
        <v>66</v>
      </c>
      <c r="F13">
        <v>73</v>
      </c>
      <c r="G13">
        <v>66</v>
      </c>
      <c r="H13">
        <v>76</v>
      </c>
      <c r="J13" s="1" t="s">
        <v>58</v>
      </c>
      <c r="K13">
        <v>183</v>
      </c>
      <c r="L13">
        <v>270</v>
      </c>
      <c r="M13">
        <v>170</v>
      </c>
      <c r="N13">
        <v>193</v>
      </c>
      <c r="O13">
        <v>132</v>
      </c>
      <c r="P13">
        <v>343</v>
      </c>
      <c r="R13" s="1" t="s">
        <v>58</v>
      </c>
      <c r="S13">
        <v>162</v>
      </c>
      <c r="T13">
        <v>163</v>
      </c>
      <c r="U13">
        <v>134</v>
      </c>
      <c r="V13">
        <v>152</v>
      </c>
      <c r="W13">
        <v>150</v>
      </c>
      <c r="X13">
        <v>182</v>
      </c>
    </row>
    <row r="14" spans="1:24" x14ac:dyDescent="0.25">
      <c r="B14" s="1"/>
      <c r="J14" s="1" t="s">
        <v>59</v>
      </c>
      <c r="K14">
        <f>K13-C13</f>
        <v>67</v>
      </c>
      <c r="L14">
        <f>L13-D13</f>
        <v>191</v>
      </c>
      <c r="M14">
        <f>M13-E13</f>
        <v>104</v>
      </c>
      <c r="N14">
        <f>N13-F13</f>
        <v>120</v>
      </c>
      <c r="O14">
        <f>O13-G13</f>
        <v>66</v>
      </c>
      <c r="P14">
        <f>P13-H13</f>
        <v>267</v>
      </c>
      <c r="R14" s="1" t="s">
        <v>59</v>
      </c>
      <c r="S14">
        <f>S13-C13</f>
        <v>46</v>
      </c>
      <c r="T14">
        <f>T13-D13</f>
        <v>84</v>
      </c>
      <c r="U14">
        <f>U13-E13</f>
        <v>68</v>
      </c>
      <c r="V14">
        <f>V13-F13</f>
        <v>79</v>
      </c>
      <c r="W14">
        <f>W13-G13</f>
        <v>84</v>
      </c>
      <c r="X14">
        <f>X13-H13</f>
        <v>106</v>
      </c>
    </row>
    <row r="18" spans="2:24" x14ac:dyDescent="0.25">
      <c r="B18" s="30"/>
      <c r="C18">
        <v>1</v>
      </c>
      <c r="D18">
        <v>2</v>
      </c>
      <c r="E18">
        <v>3</v>
      </c>
      <c r="F18">
        <v>4</v>
      </c>
      <c r="G18">
        <v>5</v>
      </c>
      <c r="H18">
        <v>6</v>
      </c>
      <c r="K18">
        <v>1</v>
      </c>
      <c r="L18">
        <v>2</v>
      </c>
      <c r="M18">
        <v>3</v>
      </c>
      <c r="N18">
        <v>4</v>
      </c>
      <c r="O18">
        <v>5</v>
      </c>
      <c r="P18">
        <v>6</v>
      </c>
      <c r="S18">
        <v>1</v>
      </c>
      <c r="T18">
        <v>2</v>
      </c>
      <c r="U18">
        <v>3</v>
      </c>
      <c r="V18">
        <v>4</v>
      </c>
      <c r="W18">
        <v>5</v>
      </c>
      <c r="X18">
        <v>6</v>
      </c>
    </row>
    <row r="19" spans="2:24" x14ac:dyDescent="0.25">
      <c r="B19" s="1" t="s">
        <v>58</v>
      </c>
      <c r="C19">
        <v>71</v>
      </c>
      <c r="D19">
        <v>79</v>
      </c>
      <c r="E19">
        <v>65</v>
      </c>
      <c r="F19">
        <v>65</v>
      </c>
      <c r="G19">
        <v>64</v>
      </c>
      <c r="H19">
        <v>67</v>
      </c>
      <c r="J19" s="1" t="s">
        <v>58</v>
      </c>
      <c r="K19">
        <v>306</v>
      </c>
      <c r="L19">
        <v>687</v>
      </c>
      <c r="M19">
        <v>377</v>
      </c>
      <c r="N19">
        <v>357</v>
      </c>
      <c r="O19">
        <v>316</v>
      </c>
      <c r="P19">
        <v>686</v>
      </c>
      <c r="R19" s="1" t="s">
        <v>58</v>
      </c>
      <c r="S19">
        <v>245</v>
      </c>
      <c r="T19">
        <v>367</v>
      </c>
      <c r="U19">
        <v>244</v>
      </c>
      <c r="V19">
        <v>299</v>
      </c>
      <c r="W19">
        <v>238</v>
      </c>
      <c r="X19">
        <v>639</v>
      </c>
    </row>
    <row r="20" spans="2:24" x14ac:dyDescent="0.25">
      <c r="B20" s="1"/>
      <c r="J20" s="1" t="s">
        <v>59</v>
      </c>
      <c r="K20">
        <f>K19-C19</f>
        <v>235</v>
      </c>
      <c r="L20">
        <f>L19-D19</f>
        <v>608</v>
      </c>
      <c r="M20">
        <f>M19-E19</f>
        <v>312</v>
      </c>
      <c r="N20">
        <f>N19-F19</f>
        <v>292</v>
      </c>
      <c r="O20">
        <f>O19-G19</f>
        <v>252</v>
      </c>
      <c r="P20">
        <f>P19-H19</f>
        <v>619</v>
      </c>
      <c r="R20" s="1" t="s">
        <v>59</v>
      </c>
      <c r="S20">
        <f>S19-C19</f>
        <v>174</v>
      </c>
      <c r="T20">
        <f>T19-D19</f>
        <v>288</v>
      </c>
      <c r="U20">
        <f>U19-E19</f>
        <v>179</v>
      </c>
      <c r="V20">
        <f>V19-F19</f>
        <v>234</v>
      </c>
      <c r="W20">
        <f>W19-G19</f>
        <v>174</v>
      </c>
      <c r="X20">
        <f>X19-H19</f>
        <v>572</v>
      </c>
    </row>
    <row r="24" spans="2:24" x14ac:dyDescent="0.25">
      <c r="B24" s="30"/>
      <c r="C24">
        <v>1</v>
      </c>
      <c r="D24">
        <v>2</v>
      </c>
      <c r="E24">
        <v>3</v>
      </c>
      <c r="F24">
        <v>4</v>
      </c>
      <c r="G24">
        <v>5</v>
      </c>
      <c r="H24">
        <v>6</v>
      </c>
      <c r="K24">
        <v>1</v>
      </c>
      <c r="L24">
        <v>2</v>
      </c>
      <c r="M24">
        <v>3</v>
      </c>
      <c r="N24">
        <v>4</v>
      </c>
      <c r="O24">
        <v>5</v>
      </c>
      <c r="P24">
        <v>6</v>
      </c>
      <c r="S24">
        <v>1</v>
      </c>
      <c r="T24">
        <v>2</v>
      </c>
      <c r="U24">
        <v>3</v>
      </c>
      <c r="V24">
        <v>4</v>
      </c>
      <c r="W24">
        <v>5</v>
      </c>
      <c r="X24">
        <v>6</v>
      </c>
    </row>
    <row r="25" spans="2:24" x14ac:dyDescent="0.25">
      <c r="B25" s="1" t="s">
        <v>58</v>
      </c>
      <c r="C25">
        <v>65</v>
      </c>
      <c r="D25">
        <v>65</v>
      </c>
      <c r="E25">
        <v>63</v>
      </c>
      <c r="F25">
        <v>67</v>
      </c>
      <c r="G25">
        <v>65</v>
      </c>
      <c r="H25">
        <v>65</v>
      </c>
      <c r="J25" s="1" t="s">
        <v>58</v>
      </c>
      <c r="K25">
        <v>126</v>
      </c>
      <c r="L25">
        <v>164</v>
      </c>
      <c r="M25">
        <v>126</v>
      </c>
      <c r="N25">
        <v>140</v>
      </c>
      <c r="O25">
        <v>132</v>
      </c>
      <c r="P25">
        <v>223</v>
      </c>
      <c r="R25" s="1" t="s">
        <v>58</v>
      </c>
      <c r="S25">
        <v>149</v>
      </c>
      <c r="T25">
        <v>181</v>
      </c>
      <c r="U25">
        <v>148</v>
      </c>
      <c r="V25">
        <v>160</v>
      </c>
      <c r="W25">
        <v>162</v>
      </c>
      <c r="X25">
        <v>395</v>
      </c>
    </row>
    <row r="26" spans="2:24" x14ac:dyDescent="0.25">
      <c r="B26" s="1"/>
      <c r="J26" s="1" t="s">
        <v>59</v>
      </c>
      <c r="K26">
        <f>K25-C25</f>
        <v>61</v>
      </c>
      <c r="L26">
        <f>L25-D25</f>
        <v>99</v>
      </c>
      <c r="M26">
        <f>M25-E25</f>
        <v>63</v>
      </c>
      <c r="N26">
        <f>N25-F25</f>
        <v>73</v>
      </c>
      <c r="O26">
        <f>O25-G25</f>
        <v>67</v>
      </c>
      <c r="P26">
        <f>P25-H25</f>
        <v>158</v>
      </c>
      <c r="R26" s="1" t="s">
        <v>59</v>
      </c>
      <c r="S26">
        <f>S25-C25</f>
        <v>84</v>
      </c>
      <c r="T26">
        <f>T25-D25</f>
        <v>116</v>
      </c>
      <c r="U26">
        <f>U25-E25</f>
        <v>85</v>
      </c>
      <c r="V26">
        <f>V25-F25</f>
        <v>93</v>
      </c>
      <c r="W26">
        <f>W25-G25</f>
        <v>97</v>
      </c>
      <c r="X26">
        <f>X25-H25</f>
        <v>330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EC81E-0576-44FB-9792-FE7B05D5433D}">
  <dimension ref="A1:X26"/>
  <sheetViews>
    <sheetView topLeftCell="B1" workbookViewId="0">
      <selection activeCell="E32" sqref="E32"/>
    </sheetView>
  </sheetViews>
  <sheetFormatPr baseColWidth="10" defaultRowHeight="15" x14ac:dyDescent="0.25"/>
  <sheetData>
    <row r="1" spans="1:24" x14ac:dyDescent="0.25">
      <c r="A1" t="s">
        <v>0</v>
      </c>
      <c r="B1" t="s">
        <v>1</v>
      </c>
      <c r="D1" s="1" t="s">
        <v>176</v>
      </c>
      <c r="E1" s="1" t="s">
        <v>177</v>
      </c>
      <c r="F1" s="1"/>
      <c r="G1" s="1"/>
    </row>
    <row r="2" spans="1:24" x14ac:dyDescent="0.25">
      <c r="B2" t="s">
        <v>173</v>
      </c>
      <c r="D2" s="1"/>
      <c r="E2" s="1" t="s">
        <v>178</v>
      </c>
      <c r="F2" s="1"/>
      <c r="G2" s="1"/>
    </row>
    <row r="3" spans="1:24" x14ac:dyDescent="0.25">
      <c r="B3" t="s">
        <v>175</v>
      </c>
      <c r="D3" s="1"/>
      <c r="E3" s="1" t="s">
        <v>179</v>
      </c>
      <c r="F3" s="1"/>
      <c r="G3" s="1"/>
    </row>
    <row r="4" spans="1:24" x14ac:dyDescent="0.25">
      <c r="D4" s="1"/>
      <c r="E4" s="1" t="s">
        <v>180</v>
      </c>
      <c r="F4" s="1"/>
      <c r="G4" s="1"/>
    </row>
    <row r="5" spans="1:24" x14ac:dyDescent="0.25">
      <c r="D5" s="1"/>
      <c r="E5" s="1" t="s">
        <v>181</v>
      </c>
      <c r="F5" s="1"/>
      <c r="G5" s="1"/>
    </row>
    <row r="6" spans="1:24" x14ac:dyDescent="0.25">
      <c r="D6" s="1"/>
      <c r="E6" s="1" t="s">
        <v>182</v>
      </c>
      <c r="F6" s="1"/>
      <c r="G6" s="1"/>
    </row>
    <row r="7" spans="1:24" x14ac:dyDescent="0.25">
      <c r="C7" s="1">
        <v>8640</v>
      </c>
      <c r="K7" s="1" t="s">
        <v>60</v>
      </c>
      <c r="S7" s="1" t="s">
        <v>61</v>
      </c>
    </row>
    <row r="10" spans="1:24" x14ac:dyDescent="0.25">
      <c r="B10" s="30"/>
      <c r="C10">
        <v>1</v>
      </c>
      <c r="D10">
        <v>2</v>
      </c>
      <c r="E10">
        <v>3</v>
      </c>
      <c r="F10">
        <v>4</v>
      </c>
      <c r="G10">
        <v>5</v>
      </c>
      <c r="H10">
        <v>6</v>
      </c>
      <c r="K10">
        <v>1</v>
      </c>
      <c r="L10">
        <v>2</v>
      </c>
      <c r="M10">
        <v>3</v>
      </c>
      <c r="N10">
        <v>4</v>
      </c>
      <c r="O10">
        <v>5</v>
      </c>
      <c r="P10">
        <v>6</v>
      </c>
      <c r="S10">
        <v>1</v>
      </c>
      <c r="T10">
        <v>2</v>
      </c>
      <c r="U10">
        <v>3</v>
      </c>
      <c r="V10">
        <v>4</v>
      </c>
      <c r="W10">
        <v>5</v>
      </c>
      <c r="X10">
        <v>6</v>
      </c>
    </row>
    <row r="11" spans="1:24" x14ac:dyDescent="0.25">
      <c r="B11" s="1" t="s">
        <v>58</v>
      </c>
      <c r="C11">
        <v>88</v>
      </c>
      <c r="D11">
        <v>72</v>
      </c>
      <c r="E11">
        <v>75</v>
      </c>
      <c r="F11">
        <v>80</v>
      </c>
      <c r="G11">
        <v>79</v>
      </c>
      <c r="H11">
        <v>87</v>
      </c>
      <c r="J11" s="1" t="s">
        <v>58</v>
      </c>
      <c r="K11">
        <v>156</v>
      </c>
      <c r="L11">
        <v>174</v>
      </c>
      <c r="M11">
        <v>123</v>
      </c>
      <c r="N11">
        <v>127</v>
      </c>
      <c r="O11">
        <v>126</v>
      </c>
      <c r="P11">
        <v>179</v>
      </c>
      <c r="R11" s="1" t="s">
        <v>58</v>
      </c>
      <c r="S11">
        <v>149</v>
      </c>
      <c r="T11">
        <v>147</v>
      </c>
      <c r="U11">
        <v>97</v>
      </c>
      <c r="V11">
        <v>109</v>
      </c>
      <c r="W11">
        <v>97</v>
      </c>
      <c r="X11">
        <v>129</v>
      </c>
    </row>
    <row r="12" spans="1:24" x14ac:dyDescent="0.25">
      <c r="J12" s="1" t="s">
        <v>59</v>
      </c>
      <c r="K12">
        <f>K11-C11</f>
        <v>68</v>
      </c>
      <c r="L12">
        <f>L11-D11</f>
        <v>102</v>
      </c>
      <c r="M12">
        <f>M11-E11</f>
        <v>48</v>
      </c>
      <c r="N12">
        <f>N11-F11</f>
        <v>47</v>
      </c>
      <c r="O12">
        <f>O11-G11</f>
        <v>47</v>
      </c>
      <c r="P12">
        <f>P11-H11</f>
        <v>92</v>
      </c>
      <c r="R12" s="1" t="s">
        <v>59</v>
      </c>
      <c r="S12">
        <f>S11-C11</f>
        <v>61</v>
      </c>
      <c r="T12">
        <f>T11-D11</f>
        <v>75</v>
      </c>
      <c r="U12">
        <f>U11-E11</f>
        <v>22</v>
      </c>
      <c r="V12">
        <f>V11-F11</f>
        <v>29</v>
      </c>
      <c r="W12">
        <f>W11-G11</f>
        <v>18</v>
      </c>
      <c r="X12">
        <f>X11-H11</f>
        <v>42</v>
      </c>
    </row>
    <row r="13" spans="1:24" x14ac:dyDescent="0.25">
      <c r="B13" s="1"/>
      <c r="J13" s="1"/>
      <c r="R13" s="1"/>
    </row>
    <row r="16" spans="1:24" x14ac:dyDescent="0.25">
      <c r="B16" s="30"/>
      <c r="C16">
        <v>1</v>
      </c>
      <c r="D16">
        <v>2</v>
      </c>
      <c r="E16">
        <v>3</v>
      </c>
      <c r="F16">
        <v>4</v>
      </c>
      <c r="G16">
        <v>5</v>
      </c>
      <c r="H16">
        <v>6</v>
      </c>
      <c r="K16">
        <v>1</v>
      </c>
      <c r="L16">
        <v>2</v>
      </c>
      <c r="M16">
        <v>3</v>
      </c>
      <c r="N16">
        <v>4</v>
      </c>
      <c r="O16">
        <v>5</v>
      </c>
      <c r="P16">
        <v>6</v>
      </c>
      <c r="S16">
        <v>1</v>
      </c>
      <c r="T16">
        <v>2</v>
      </c>
      <c r="U16">
        <v>3</v>
      </c>
      <c r="V16">
        <v>4</v>
      </c>
      <c r="W16">
        <v>5</v>
      </c>
      <c r="X16">
        <v>6</v>
      </c>
    </row>
    <row r="17" spans="2:24" x14ac:dyDescent="0.25">
      <c r="B17" s="1" t="s">
        <v>58</v>
      </c>
      <c r="C17">
        <v>103</v>
      </c>
      <c r="D17">
        <v>73</v>
      </c>
      <c r="E17">
        <v>75</v>
      </c>
      <c r="F17">
        <v>79</v>
      </c>
      <c r="G17">
        <v>75</v>
      </c>
      <c r="H17">
        <v>91</v>
      </c>
      <c r="J17" s="1" t="s">
        <v>58</v>
      </c>
      <c r="K17">
        <v>146</v>
      </c>
      <c r="L17">
        <v>207</v>
      </c>
      <c r="M17">
        <v>135</v>
      </c>
      <c r="N17">
        <v>145</v>
      </c>
      <c r="O17">
        <v>151</v>
      </c>
      <c r="P17">
        <v>191</v>
      </c>
      <c r="R17" s="1" t="s">
        <v>58</v>
      </c>
      <c r="S17">
        <v>134</v>
      </c>
      <c r="T17">
        <v>147</v>
      </c>
      <c r="U17">
        <v>105</v>
      </c>
      <c r="V17">
        <v>112</v>
      </c>
      <c r="W17">
        <v>110</v>
      </c>
      <c r="X17">
        <v>117</v>
      </c>
    </row>
    <row r="18" spans="2:24" x14ac:dyDescent="0.25">
      <c r="J18" s="1" t="s">
        <v>59</v>
      </c>
      <c r="K18">
        <f>K17-C17</f>
        <v>43</v>
      </c>
      <c r="L18">
        <f>L17-D17</f>
        <v>134</v>
      </c>
      <c r="M18">
        <f>M17-E17</f>
        <v>60</v>
      </c>
      <c r="N18">
        <f>N17-F17</f>
        <v>66</v>
      </c>
      <c r="O18">
        <f>O17-G17</f>
        <v>76</v>
      </c>
      <c r="P18">
        <f>P17-H17</f>
        <v>100</v>
      </c>
      <c r="R18" s="1" t="s">
        <v>59</v>
      </c>
      <c r="S18">
        <f>S17-C17</f>
        <v>31</v>
      </c>
      <c r="T18">
        <f>T17-D17</f>
        <v>74</v>
      </c>
      <c r="U18">
        <f>U17-E17</f>
        <v>30</v>
      </c>
      <c r="V18">
        <f>V17-F17</f>
        <v>33</v>
      </c>
      <c r="W18">
        <f>W17-G17</f>
        <v>35</v>
      </c>
      <c r="X18">
        <f>X17-H17</f>
        <v>26</v>
      </c>
    </row>
    <row r="19" spans="2:24" x14ac:dyDescent="0.25">
      <c r="B19" s="1"/>
      <c r="J19" s="1"/>
      <c r="R19" s="1"/>
    </row>
    <row r="23" spans="2:24" x14ac:dyDescent="0.25">
      <c r="B23" s="30"/>
      <c r="C23">
        <v>1</v>
      </c>
      <c r="D23">
        <v>2</v>
      </c>
      <c r="E23">
        <v>3</v>
      </c>
      <c r="F23">
        <v>4</v>
      </c>
      <c r="G23">
        <v>5</v>
      </c>
      <c r="H23">
        <v>6</v>
      </c>
      <c r="K23">
        <v>1</v>
      </c>
      <c r="L23">
        <v>2</v>
      </c>
      <c r="M23">
        <v>3</v>
      </c>
      <c r="N23">
        <v>4</v>
      </c>
      <c r="O23">
        <v>5</v>
      </c>
      <c r="P23">
        <v>6</v>
      </c>
      <c r="S23">
        <v>1</v>
      </c>
      <c r="T23">
        <v>2</v>
      </c>
      <c r="U23">
        <v>3</v>
      </c>
      <c r="V23">
        <v>4</v>
      </c>
      <c r="W23">
        <v>5</v>
      </c>
      <c r="X23">
        <v>6</v>
      </c>
    </row>
    <row r="24" spans="2:24" x14ac:dyDescent="0.25">
      <c r="B24" s="1" t="s">
        <v>58</v>
      </c>
      <c r="C24">
        <v>95</v>
      </c>
      <c r="D24">
        <v>69</v>
      </c>
      <c r="E24">
        <v>73</v>
      </c>
      <c r="F24">
        <v>78</v>
      </c>
      <c r="G24">
        <v>76</v>
      </c>
      <c r="H24">
        <v>85</v>
      </c>
      <c r="J24" s="1" t="s">
        <v>58</v>
      </c>
      <c r="K24">
        <v>153</v>
      </c>
      <c r="L24">
        <v>210</v>
      </c>
      <c r="M24">
        <v>137</v>
      </c>
      <c r="N24">
        <v>150</v>
      </c>
      <c r="O24">
        <v>143</v>
      </c>
      <c r="P24">
        <v>176</v>
      </c>
      <c r="R24" s="1" t="s">
        <v>58</v>
      </c>
      <c r="S24">
        <v>145</v>
      </c>
      <c r="T24">
        <v>129</v>
      </c>
      <c r="U24">
        <v>108</v>
      </c>
      <c r="V24">
        <v>118</v>
      </c>
      <c r="W24">
        <v>119</v>
      </c>
      <c r="X24">
        <v>144</v>
      </c>
    </row>
    <row r="25" spans="2:24" x14ac:dyDescent="0.25">
      <c r="J25" s="1" t="s">
        <v>59</v>
      </c>
      <c r="K25">
        <f>K24-C24</f>
        <v>58</v>
      </c>
      <c r="L25">
        <f>L24-D24</f>
        <v>141</v>
      </c>
      <c r="M25">
        <f>M24-E24</f>
        <v>64</v>
      </c>
      <c r="N25">
        <f>N24-F24</f>
        <v>72</v>
      </c>
      <c r="O25">
        <f>O24-G24</f>
        <v>67</v>
      </c>
      <c r="P25">
        <f>P24-H24</f>
        <v>91</v>
      </c>
      <c r="R25" s="1" t="s">
        <v>59</v>
      </c>
      <c r="S25">
        <f>S24-C24</f>
        <v>50</v>
      </c>
      <c r="T25">
        <f>T24-D24</f>
        <v>60</v>
      </c>
      <c r="U25">
        <f>U24-E24</f>
        <v>35</v>
      </c>
      <c r="V25">
        <f>V24-F24</f>
        <v>40</v>
      </c>
      <c r="W25">
        <f>W24-G24</f>
        <v>43</v>
      </c>
      <c r="X25">
        <f>X24-H24</f>
        <v>59</v>
      </c>
    </row>
    <row r="26" spans="2:24" x14ac:dyDescent="0.25">
      <c r="B26" s="1"/>
      <c r="J26" s="1"/>
      <c r="R26" s="1"/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EF384-BF58-4AEE-BAAD-0678D4749A98}">
  <dimension ref="A1:E21"/>
  <sheetViews>
    <sheetView tabSelected="1" workbookViewId="0">
      <selection activeCell="H24" sqref="H24"/>
    </sheetView>
  </sheetViews>
  <sheetFormatPr baseColWidth="10" defaultRowHeight="15" x14ac:dyDescent="0.25"/>
  <sheetData>
    <row r="1" spans="1:5" x14ac:dyDescent="0.25">
      <c r="A1" t="s">
        <v>74</v>
      </c>
      <c r="B1" t="s">
        <v>1</v>
      </c>
    </row>
    <row r="2" spans="1:5" x14ac:dyDescent="0.25">
      <c r="B2" t="s">
        <v>183</v>
      </c>
    </row>
    <row r="3" spans="1:5" x14ac:dyDescent="0.25">
      <c r="B3" t="s">
        <v>184</v>
      </c>
    </row>
    <row r="9" spans="1:5" x14ac:dyDescent="0.25">
      <c r="C9" t="s">
        <v>185</v>
      </c>
      <c r="D9" t="s">
        <v>185</v>
      </c>
      <c r="E9" t="s">
        <v>185</v>
      </c>
    </row>
    <row r="10" spans="1:5" x14ac:dyDescent="0.25">
      <c r="B10" s="1" t="s">
        <v>186</v>
      </c>
      <c r="C10" s="30" t="s">
        <v>79</v>
      </c>
      <c r="D10" s="30" t="s">
        <v>80</v>
      </c>
      <c r="E10" s="30" t="s">
        <v>81</v>
      </c>
    </row>
    <row r="11" spans="1:5" x14ac:dyDescent="0.25">
      <c r="B11">
        <v>8640</v>
      </c>
      <c r="C11">
        <v>1.4E-2</v>
      </c>
      <c r="D11">
        <v>1.4E-2</v>
      </c>
      <c r="E11">
        <v>6.0000000000000001E-3</v>
      </c>
    </row>
    <row r="12" spans="1:5" x14ac:dyDescent="0.25">
      <c r="B12" t="s">
        <v>189</v>
      </c>
      <c r="C12">
        <v>3.15</v>
      </c>
      <c r="D12">
        <v>6.5</v>
      </c>
      <c r="E12">
        <v>3</v>
      </c>
    </row>
    <row r="13" spans="1:5" x14ac:dyDescent="0.25">
      <c r="B13" t="s">
        <v>190</v>
      </c>
      <c r="C13">
        <v>1.44</v>
      </c>
      <c r="D13">
        <v>2.25</v>
      </c>
      <c r="E13">
        <v>1.46</v>
      </c>
    </row>
    <row r="15" spans="1:5" x14ac:dyDescent="0.25">
      <c r="B15" t="s">
        <v>187</v>
      </c>
      <c r="C15">
        <f>C13/C12</f>
        <v>0.45714285714285713</v>
      </c>
      <c r="D15">
        <f>D13/D12</f>
        <v>0.34615384615384615</v>
      </c>
      <c r="E15">
        <f>E13/E12</f>
        <v>0.48666666666666664</v>
      </c>
    </row>
    <row r="17" spans="2:5" x14ac:dyDescent="0.25">
      <c r="C17" t="s">
        <v>185</v>
      </c>
      <c r="D17" t="s">
        <v>185</v>
      </c>
      <c r="E17" t="s">
        <v>185</v>
      </c>
    </row>
    <row r="18" spans="2:5" x14ac:dyDescent="0.25">
      <c r="B18" s="1" t="s">
        <v>188</v>
      </c>
      <c r="C18" s="30" t="s">
        <v>79</v>
      </c>
      <c r="D18" s="30" t="s">
        <v>80</v>
      </c>
      <c r="E18" s="30" t="s">
        <v>81</v>
      </c>
    </row>
    <row r="19" spans="2:5" x14ac:dyDescent="0.25">
      <c r="B19">
        <v>8640</v>
      </c>
      <c r="C19">
        <v>2.1000000000000001E-2</v>
      </c>
      <c r="D19">
        <v>2.3E-2</v>
      </c>
      <c r="E19">
        <v>3.6999999999999998E-2</v>
      </c>
    </row>
    <row r="20" spans="2:5" x14ac:dyDescent="0.25">
      <c r="B20" t="s">
        <v>189</v>
      </c>
      <c r="C20">
        <v>1.21</v>
      </c>
      <c r="D20">
        <v>1.29</v>
      </c>
      <c r="E20">
        <v>0.72399999999999998</v>
      </c>
    </row>
    <row r="21" spans="2:5" x14ac:dyDescent="0.25">
      <c r="B21" t="s">
        <v>190</v>
      </c>
      <c r="C21">
        <v>0.51400000000000001</v>
      </c>
      <c r="D21">
        <v>0.61399999999999999</v>
      </c>
      <c r="E21">
        <v>0.91400000000000003</v>
      </c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2E0B8-B56B-45D9-B8BB-831C47A8D3DC}">
  <dimension ref="A1:AN57"/>
  <sheetViews>
    <sheetView zoomScale="60" zoomScaleNormal="60" workbookViewId="0">
      <selection activeCell="N61" sqref="N61"/>
    </sheetView>
  </sheetViews>
  <sheetFormatPr baseColWidth="10" defaultRowHeight="15" x14ac:dyDescent="0.25"/>
  <sheetData>
    <row r="1" spans="1:40" x14ac:dyDescent="0.25">
      <c r="A1" s="1" t="s">
        <v>0</v>
      </c>
      <c r="B1" s="1" t="s">
        <v>1</v>
      </c>
    </row>
    <row r="2" spans="1:40" x14ac:dyDescent="0.25">
      <c r="A2" s="1"/>
      <c r="B2" s="1" t="s">
        <v>2</v>
      </c>
    </row>
    <row r="7" spans="1:40" x14ac:dyDescent="0.25">
      <c r="B7" s="34"/>
      <c r="C7" s="34">
        <v>8640</v>
      </c>
      <c r="D7" s="34"/>
      <c r="E7" s="35"/>
      <c r="F7" s="35" t="s">
        <v>22</v>
      </c>
      <c r="G7" s="35"/>
      <c r="J7" s="34"/>
      <c r="K7" s="34">
        <v>8640</v>
      </c>
      <c r="L7" s="34"/>
      <c r="M7" s="35"/>
      <c r="N7" s="35" t="s">
        <v>22</v>
      </c>
      <c r="O7" s="35"/>
      <c r="P7" s="36"/>
      <c r="Q7" s="36" t="s">
        <v>102</v>
      </c>
      <c r="T7" s="34"/>
      <c r="U7" s="34">
        <v>8640</v>
      </c>
      <c r="V7" s="34"/>
      <c r="W7" s="35"/>
      <c r="X7" s="35" t="s">
        <v>22</v>
      </c>
      <c r="Y7" s="35"/>
    </row>
    <row r="8" spans="1:40" x14ac:dyDescent="0.25">
      <c r="A8" s="6" t="s">
        <v>103</v>
      </c>
      <c r="B8" s="6" t="s">
        <v>106</v>
      </c>
      <c r="C8" s="6" t="s">
        <v>107</v>
      </c>
      <c r="D8" s="6" t="s">
        <v>108</v>
      </c>
      <c r="E8" s="6" t="s">
        <v>129</v>
      </c>
      <c r="F8" s="6" t="s">
        <v>130</v>
      </c>
      <c r="G8" s="6" t="s">
        <v>131</v>
      </c>
      <c r="I8" s="6" t="s">
        <v>103</v>
      </c>
      <c r="J8" s="6" t="s">
        <v>106</v>
      </c>
      <c r="K8" s="6" t="s">
        <v>107</v>
      </c>
      <c r="L8" s="6" t="s">
        <v>108</v>
      </c>
      <c r="M8" s="6" t="s">
        <v>109</v>
      </c>
      <c r="N8" s="6" t="s">
        <v>110</v>
      </c>
      <c r="O8" s="6" t="s">
        <v>111</v>
      </c>
      <c r="P8" s="6" t="s">
        <v>117</v>
      </c>
      <c r="Q8" s="6" t="s">
        <v>118</v>
      </c>
      <c r="S8" s="6" t="s">
        <v>103</v>
      </c>
      <c r="T8" s="6" t="s">
        <v>121</v>
      </c>
      <c r="U8" s="6" t="s">
        <v>122</v>
      </c>
      <c r="V8" s="6" t="s">
        <v>123</v>
      </c>
      <c r="W8" s="6" t="s">
        <v>132</v>
      </c>
      <c r="X8" s="6" t="s">
        <v>127</v>
      </c>
      <c r="Y8" s="6" t="s">
        <v>128</v>
      </c>
    </row>
    <row r="9" spans="1:40" x14ac:dyDescent="0.25">
      <c r="A9" s="37">
        <v>2.0370370370370369E-2</v>
      </c>
      <c r="B9" s="34">
        <v>9.8000000000000004E-2</v>
      </c>
      <c r="C9" s="34">
        <v>0.10100000000000001</v>
      </c>
      <c r="D9" s="34">
        <v>0.10100000000000001</v>
      </c>
      <c r="E9" s="35">
        <v>0.1</v>
      </c>
      <c r="F9" s="35">
        <v>0.10100000000000001</v>
      </c>
      <c r="G9" s="35">
        <v>0.1</v>
      </c>
      <c r="I9" s="37">
        <v>2.0729166666666667E-2</v>
      </c>
      <c r="J9" s="38">
        <v>0.11</v>
      </c>
      <c r="K9" s="38">
        <v>0.108</v>
      </c>
      <c r="L9" s="38">
        <v>0.107</v>
      </c>
      <c r="M9" s="38">
        <v>0.108</v>
      </c>
      <c r="N9" s="38">
        <v>0.11</v>
      </c>
      <c r="O9" s="38">
        <v>0.11</v>
      </c>
      <c r="P9" s="38">
        <v>0.104</v>
      </c>
      <c r="Q9" s="38">
        <v>0.10299999999999999</v>
      </c>
      <c r="S9" s="37">
        <v>2.0370370370370369E-2</v>
      </c>
      <c r="T9" s="38">
        <v>0.09</v>
      </c>
      <c r="U9" s="38">
        <v>9.0999999999999998E-2</v>
      </c>
      <c r="V9" s="38">
        <v>0.09</v>
      </c>
      <c r="W9" s="38">
        <v>0.09</v>
      </c>
      <c r="X9" s="38">
        <v>0.09</v>
      </c>
      <c r="Y9" s="38">
        <v>8.8999999999999996E-2</v>
      </c>
      <c r="Z9" s="32"/>
      <c r="AI9" s="32"/>
      <c r="AJ9" s="32"/>
      <c r="AK9" s="32"/>
      <c r="AL9" s="32"/>
      <c r="AM9" s="32"/>
      <c r="AN9" s="32"/>
    </row>
    <row r="10" spans="1:40" x14ac:dyDescent="0.25">
      <c r="A10" s="37">
        <v>4.1203703703703708E-2</v>
      </c>
      <c r="B10" s="34">
        <v>9.8000000000000004E-2</v>
      </c>
      <c r="C10" s="34">
        <v>0.10100000000000001</v>
      </c>
      <c r="D10" s="34">
        <v>0.10100000000000001</v>
      </c>
      <c r="E10" s="35">
        <v>0.1</v>
      </c>
      <c r="F10" s="35">
        <v>0.10100000000000001</v>
      </c>
      <c r="G10" s="35">
        <v>0.1</v>
      </c>
      <c r="I10" s="37">
        <v>4.1562500000000002E-2</v>
      </c>
      <c r="J10" s="38">
        <v>0.106</v>
      </c>
      <c r="K10" s="38">
        <v>0.108</v>
      </c>
      <c r="L10" s="38">
        <v>0.107</v>
      </c>
      <c r="M10" s="38">
        <v>0.108</v>
      </c>
      <c r="N10" s="38">
        <v>0.111</v>
      </c>
      <c r="O10" s="38">
        <v>0.11</v>
      </c>
      <c r="P10" s="38">
        <v>0.10299999999999999</v>
      </c>
      <c r="Q10" s="38">
        <v>0.10299999999999999</v>
      </c>
      <c r="S10" s="37">
        <v>4.1203703703703708E-2</v>
      </c>
      <c r="T10" s="38">
        <v>0.09</v>
      </c>
      <c r="U10" s="38">
        <v>9.0999999999999998E-2</v>
      </c>
      <c r="V10" s="38">
        <v>9.0999999999999998E-2</v>
      </c>
      <c r="W10" s="38">
        <v>0.09</v>
      </c>
      <c r="X10" s="38">
        <v>0.09</v>
      </c>
      <c r="Y10" s="38">
        <v>8.8999999999999996E-2</v>
      </c>
      <c r="Z10" s="32"/>
      <c r="AI10" s="32"/>
      <c r="AJ10" s="32"/>
      <c r="AK10" s="32"/>
      <c r="AL10" s="32"/>
      <c r="AM10" s="32"/>
      <c r="AN10" s="32"/>
    </row>
    <row r="11" spans="1:40" x14ac:dyDescent="0.25">
      <c r="A11" s="37">
        <v>6.2037037037037036E-2</v>
      </c>
      <c r="B11" s="34">
        <v>9.9000000000000005E-2</v>
      </c>
      <c r="C11" s="34">
        <v>0.10199999999999999</v>
      </c>
      <c r="D11" s="34">
        <v>0.10100000000000001</v>
      </c>
      <c r="E11" s="35">
        <v>0.10100000000000001</v>
      </c>
      <c r="F11" s="35">
        <v>0.10199999999999999</v>
      </c>
      <c r="G11" s="35">
        <v>0.10100000000000001</v>
      </c>
      <c r="I11" s="37">
        <v>6.2395833333333338E-2</v>
      </c>
      <c r="J11" s="38">
        <v>0.111</v>
      </c>
      <c r="K11" s="38">
        <v>0.11</v>
      </c>
      <c r="L11" s="38">
        <v>0.109</v>
      </c>
      <c r="M11" s="38">
        <v>0.109</v>
      </c>
      <c r="N11" s="38">
        <v>0.112</v>
      </c>
      <c r="O11" s="38">
        <v>0.112</v>
      </c>
      <c r="P11" s="38">
        <v>0.10299999999999999</v>
      </c>
      <c r="Q11" s="38">
        <v>0.10299999999999999</v>
      </c>
      <c r="S11" s="37">
        <v>6.2037037037037036E-2</v>
      </c>
      <c r="T11" s="38">
        <v>9.0999999999999998E-2</v>
      </c>
      <c r="U11" s="38">
        <v>9.1999999999999998E-2</v>
      </c>
      <c r="V11" s="38">
        <v>0.09</v>
      </c>
      <c r="W11" s="38">
        <v>0.09</v>
      </c>
      <c r="X11" s="38">
        <v>0.09</v>
      </c>
      <c r="Y11" s="38">
        <v>0.09</v>
      </c>
      <c r="Z11" s="32"/>
      <c r="AI11" s="32"/>
      <c r="AJ11" s="32"/>
      <c r="AK11" s="32"/>
      <c r="AL11" s="32"/>
      <c r="AM11" s="32"/>
      <c r="AN11" s="32"/>
    </row>
    <row r="12" spans="1:40" x14ac:dyDescent="0.25">
      <c r="A12" s="37">
        <v>8.2870370370370372E-2</v>
      </c>
      <c r="B12" s="34">
        <v>0.10199999999999999</v>
      </c>
      <c r="C12" s="34">
        <v>0.105</v>
      </c>
      <c r="D12" s="34">
        <v>0.104</v>
      </c>
      <c r="E12" s="35">
        <v>0.10299999999999999</v>
      </c>
      <c r="F12" s="35">
        <v>0.10299999999999999</v>
      </c>
      <c r="G12" s="35">
        <v>0.10199999999999999</v>
      </c>
      <c r="I12" s="37">
        <v>8.3229166666666674E-2</v>
      </c>
      <c r="J12" s="38">
        <v>0.113</v>
      </c>
      <c r="K12" s="38">
        <v>0.115</v>
      </c>
      <c r="L12" s="38">
        <v>0.114</v>
      </c>
      <c r="M12" s="38">
        <v>0.112</v>
      </c>
      <c r="N12" s="38">
        <v>0.115</v>
      </c>
      <c r="O12" s="38">
        <v>0.115</v>
      </c>
      <c r="P12" s="38">
        <v>0.10299999999999999</v>
      </c>
      <c r="Q12" s="38">
        <v>0.10299999999999999</v>
      </c>
      <c r="S12" s="37">
        <v>8.2870370370370372E-2</v>
      </c>
      <c r="T12" s="38">
        <v>9.2999999999999999E-2</v>
      </c>
      <c r="U12" s="38">
        <v>9.4E-2</v>
      </c>
      <c r="V12" s="38">
        <v>9.2999999999999999E-2</v>
      </c>
      <c r="W12" s="38">
        <v>9.0999999999999998E-2</v>
      </c>
      <c r="X12" s="38">
        <v>9.1999999999999998E-2</v>
      </c>
      <c r="Y12" s="38">
        <v>9.0999999999999998E-2</v>
      </c>
      <c r="Z12" s="32"/>
      <c r="AI12" s="32"/>
      <c r="AJ12" s="32"/>
      <c r="AK12" s="32"/>
      <c r="AL12" s="32"/>
      <c r="AM12" s="32"/>
      <c r="AN12" s="32"/>
    </row>
    <row r="13" spans="1:40" x14ac:dyDescent="0.25">
      <c r="A13" s="37">
        <v>0.1037037037037037</v>
      </c>
      <c r="B13" s="34">
        <v>0.11</v>
      </c>
      <c r="C13" s="34">
        <v>0.113</v>
      </c>
      <c r="D13" s="34">
        <v>0.114</v>
      </c>
      <c r="E13" s="35">
        <v>0.107</v>
      </c>
      <c r="F13" s="35">
        <v>0.108</v>
      </c>
      <c r="G13" s="35">
        <v>0.107</v>
      </c>
      <c r="I13" s="37">
        <v>0.1040625</v>
      </c>
      <c r="J13" s="38">
        <v>0.127</v>
      </c>
      <c r="K13" s="38">
        <v>0.128</v>
      </c>
      <c r="L13" s="38">
        <v>0.127</v>
      </c>
      <c r="M13" s="38">
        <v>0.12</v>
      </c>
      <c r="N13" s="38">
        <v>0.123</v>
      </c>
      <c r="O13" s="38">
        <v>0.124</v>
      </c>
      <c r="P13" s="38">
        <v>0.10299999999999999</v>
      </c>
      <c r="Q13" s="38">
        <v>0.10299999999999999</v>
      </c>
      <c r="S13" s="37">
        <v>0.1037037037037037</v>
      </c>
      <c r="T13" s="38">
        <v>0.1</v>
      </c>
      <c r="U13" s="38">
        <v>0.10199999999999999</v>
      </c>
      <c r="V13" s="38">
        <v>0.1</v>
      </c>
      <c r="W13" s="38">
        <v>9.5000000000000001E-2</v>
      </c>
      <c r="X13" s="38">
        <v>9.5000000000000001E-2</v>
      </c>
      <c r="Y13" s="38">
        <v>9.4E-2</v>
      </c>
      <c r="Z13" s="32"/>
      <c r="AI13" s="32"/>
      <c r="AJ13" s="32"/>
      <c r="AK13" s="32"/>
      <c r="AL13" s="32"/>
      <c r="AM13" s="32"/>
      <c r="AN13" s="32"/>
    </row>
    <row r="14" spans="1:40" x14ac:dyDescent="0.25">
      <c r="A14" s="37">
        <v>0.12453703703703704</v>
      </c>
      <c r="B14" s="34">
        <v>0.13200000000000001</v>
      </c>
      <c r="C14" s="34">
        <v>0.13600000000000001</v>
      </c>
      <c r="D14" s="34">
        <v>0.13700000000000001</v>
      </c>
      <c r="E14" s="35">
        <v>0.11700000000000001</v>
      </c>
      <c r="F14" s="35">
        <v>0.11799999999999999</v>
      </c>
      <c r="G14" s="35">
        <v>0.11700000000000001</v>
      </c>
      <c r="I14" s="37">
        <v>0.12489583333333333</v>
      </c>
      <c r="J14" s="38">
        <v>0.159</v>
      </c>
      <c r="K14" s="38">
        <v>0.16400000000000001</v>
      </c>
      <c r="L14" s="38">
        <v>0.16300000000000001</v>
      </c>
      <c r="M14" s="38">
        <v>0.13800000000000001</v>
      </c>
      <c r="N14" s="38">
        <v>0.14099999999999999</v>
      </c>
      <c r="O14" s="38">
        <v>0.14199999999999999</v>
      </c>
      <c r="P14" s="38">
        <v>0.10299999999999999</v>
      </c>
      <c r="Q14" s="38">
        <v>0.10299999999999999</v>
      </c>
      <c r="S14" s="37">
        <v>0.12453703703703704</v>
      </c>
      <c r="T14" s="38">
        <v>0.114</v>
      </c>
      <c r="U14" s="38">
        <v>0.11600000000000001</v>
      </c>
      <c r="V14" s="38">
        <v>0.115</v>
      </c>
      <c r="W14" s="38">
        <v>0.10199999999999999</v>
      </c>
      <c r="X14" s="38">
        <v>0.10199999999999999</v>
      </c>
      <c r="Y14" s="38">
        <v>0.10100000000000001</v>
      </c>
      <c r="Z14" s="32"/>
      <c r="AI14" s="32"/>
      <c r="AJ14" s="32"/>
      <c r="AK14" s="32"/>
      <c r="AL14" s="32"/>
      <c r="AM14" s="32"/>
      <c r="AN14" s="32"/>
    </row>
    <row r="15" spans="1:40" x14ac:dyDescent="0.25">
      <c r="A15" s="37">
        <v>0.14537037037037037</v>
      </c>
      <c r="B15" s="34">
        <v>0.188</v>
      </c>
      <c r="C15" s="34">
        <v>0.19400000000000001</v>
      </c>
      <c r="D15" s="34">
        <v>0.19600000000000001</v>
      </c>
      <c r="E15" s="35">
        <v>0.14000000000000001</v>
      </c>
      <c r="F15" s="35">
        <v>0.14099999999999999</v>
      </c>
      <c r="G15" s="35">
        <v>0.14000000000000001</v>
      </c>
      <c r="I15" s="37">
        <v>0.14572916666666666</v>
      </c>
      <c r="J15" s="38">
        <v>0.24299999999999999</v>
      </c>
      <c r="K15" s="38">
        <v>0.253</v>
      </c>
      <c r="L15" s="38">
        <v>0.252</v>
      </c>
      <c r="M15" s="38">
        <v>0.17799999999999999</v>
      </c>
      <c r="N15" s="38">
        <v>0.18099999999999999</v>
      </c>
      <c r="O15" s="38">
        <v>0.183</v>
      </c>
      <c r="P15" s="38">
        <v>0.10299999999999999</v>
      </c>
      <c r="Q15" s="38">
        <v>0.10299999999999999</v>
      </c>
      <c r="S15" s="37">
        <v>0.14537037037037037</v>
      </c>
      <c r="T15" s="38">
        <v>0.14099999999999999</v>
      </c>
      <c r="U15" s="38">
        <v>0.14399999999999999</v>
      </c>
      <c r="V15" s="38">
        <v>0.14099999999999999</v>
      </c>
      <c r="W15" s="38">
        <v>0.114</v>
      </c>
      <c r="X15" s="38">
        <v>0.113</v>
      </c>
      <c r="Y15" s="38">
        <v>0.112</v>
      </c>
      <c r="Z15" s="32"/>
      <c r="AI15" s="32"/>
      <c r="AJ15" s="32"/>
      <c r="AK15" s="32"/>
      <c r="AL15" s="32"/>
      <c r="AM15" s="32"/>
      <c r="AN15" s="32"/>
    </row>
    <row r="16" spans="1:40" x14ac:dyDescent="0.25">
      <c r="A16" s="37">
        <v>0.16620370370370371</v>
      </c>
      <c r="B16" s="34">
        <v>0.314</v>
      </c>
      <c r="C16" s="34">
        <v>0.32400000000000001</v>
      </c>
      <c r="D16" s="34">
        <v>0.33</v>
      </c>
      <c r="E16" s="35">
        <v>0.187</v>
      </c>
      <c r="F16" s="35">
        <v>0.191</v>
      </c>
      <c r="G16" s="35">
        <v>0.189</v>
      </c>
      <c r="I16" s="37">
        <v>0.1665625</v>
      </c>
      <c r="J16" s="38">
        <v>0.41399999999999998</v>
      </c>
      <c r="K16" s="38">
        <v>0.43</v>
      </c>
      <c r="L16" s="38">
        <v>0.43</v>
      </c>
      <c r="M16" s="38">
        <v>0.26100000000000001</v>
      </c>
      <c r="N16" s="38">
        <v>0.26700000000000002</v>
      </c>
      <c r="O16" s="38">
        <v>0.27100000000000002</v>
      </c>
      <c r="P16" s="38">
        <v>0.10299999999999999</v>
      </c>
      <c r="Q16" s="38">
        <v>0.10299999999999999</v>
      </c>
      <c r="S16" s="37">
        <v>0.16620370370370371</v>
      </c>
      <c r="T16" s="38">
        <v>0.192</v>
      </c>
      <c r="U16" s="38">
        <v>0.2</v>
      </c>
      <c r="V16" s="38">
        <v>0.20100000000000001</v>
      </c>
      <c r="W16" s="38">
        <v>0.13400000000000001</v>
      </c>
      <c r="X16" s="38">
        <v>0.13300000000000001</v>
      </c>
      <c r="Y16" s="38">
        <v>0.13200000000000001</v>
      </c>
      <c r="Z16" s="32"/>
      <c r="AI16" s="32"/>
      <c r="AJ16" s="32"/>
      <c r="AK16" s="32"/>
      <c r="AL16" s="32"/>
      <c r="AM16" s="32"/>
      <c r="AN16" s="32"/>
    </row>
    <row r="17" spans="1:40" x14ac:dyDescent="0.25">
      <c r="A17" s="37">
        <v>0.18703703703703703</v>
      </c>
      <c r="B17" s="34">
        <v>0.52200000000000002</v>
      </c>
      <c r="C17" s="34">
        <v>0.54</v>
      </c>
      <c r="D17" s="34">
        <v>0.55000000000000004</v>
      </c>
      <c r="E17" s="35">
        <v>0.28599999999999998</v>
      </c>
      <c r="F17" s="35">
        <v>0.29399999999999998</v>
      </c>
      <c r="G17" s="35">
        <v>0.29299999999999998</v>
      </c>
      <c r="I17" s="37">
        <v>0.18739583333333332</v>
      </c>
      <c r="J17" s="38">
        <v>0.67400000000000004</v>
      </c>
      <c r="K17" s="38">
        <v>0.70399999999999996</v>
      </c>
      <c r="L17" s="38">
        <v>0.70199999999999996</v>
      </c>
      <c r="M17" s="38">
        <v>0.39900000000000002</v>
      </c>
      <c r="N17" s="38">
        <v>0.40600000000000003</v>
      </c>
      <c r="O17" s="38">
        <v>0.41199999999999998</v>
      </c>
      <c r="P17" s="38">
        <v>0.10299999999999999</v>
      </c>
      <c r="Q17" s="38">
        <v>0.10299999999999999</v>
      </c>
      <c r="S17" s="37">
        <v>0.18703703703703703</v>
      </c>
      <c r="T17" s="38">
        <v>0.26100000000000001</v>
      </c>
      <c r="U17" s="38">
        <v>0.26800000000000002</v>
      </c>
      <c r="V17" s="38">
        <v>0.26700000000000002</v>
      </c>
      <c r="W17" s="38">
        <v>0.17199999999999999</v>
      </c>
      <c r="X17" s="38">
        <v>0.17199999999999999</v>
      </c>
      <c r="Y17" s="38">
        <v>0.17</v>
      </c>
      <c r="Z17" s="32"/>
      <c r="AI17" s="32"/>
      <c r="AJ17" s="32"/>
      <c r="AK17" s="32"/>
      <c r="AL17" s="32"/>
      <c r="AM17" s="32"/>
      <c r="AN17" s="32"/>
    </row>
    <row r="18" spans="1:40" x14ac:dyDescent="0.25">
      <c r="A18" s="37">
        <v>0.20787037037037037</v>
      </c>
      <c r="B18" s="34">
        <v>0.84299999999999997</v>
      </c>
      <c r="C18" s="34">
        <v>0.872</v>
      </c>
      <c r="D18" s="34">
        <v>0.88900000000000001</v>
      </c>
      <c r="E18" s="35">
        <v>0.43099999999999999</v>
      </c>
      <c r="F18" s="35">
        <v>0.44400000000000001</v>
      </c>
      <c r="G18" s="35">
        <v>0.442</v>
      </c>
      <c r="I18" s="37">
        <v>0.20822916666666669</v>
      </c>
      <c r="J18" s="38">
        <v>1.0549999999999999</v>
      </c>
      <c r="K18" s="38">
        <v>1.079</v>
      </c>
      <c r="L18" s="38">
        <v>1.0920000000000001</v>
      </c>
      <c r="M18" s="38">
        <v>0.61099999999999999</v>
      </c>
      <c r="N18" s="38">
        <v>0.621</v>
      </c>
      <c r="O18" s="38">
        <v>0.629</v>
      </c>
      <c r="P18" s="38">
        <v>0.10299999999999999</v>
      </c>
      <c r="Q18" s="38">
        <v>0.10299999999999999</v>
      </c>
      <c r="S18" s="37">
        <v>0.20787037037037037</v>
      </c>
      <c r="T18" s="38">
        <v>0.34699999999999998</v>
      </c>
      <c r="U18" s="38">
        <v>0.35599999999999998</v>
      </c>
      <c r="V18" s="38">
        <v>0.35799999999999998</v>
      </c>
      <c r="W18" s="38">
        <v>0.221</v>
      </c>
      <c r="X18" s="38">
        <v>0.218</v>
      </c>
      <c r="Y18" s="38">
        <v>0.21299999999999999</v>
      </c>
      <c r="Z18" s="32"/>
      <c r="AI18" s="32"/>
      <c r="AJ18" s="32"/>
      <c r="AK18" s="32"/>
      <c r="AL18" s="32"/>
      <c r="AM18" s="32"/>
      <c r="AN18" s="32"/>
    </row>
    <row r="19" spans="1:40" x14ac:dyDescent="0.25">
      <c r="A19" s="37">
        <v>0.22870370370370371</v>
      </c>
      <c r="B19" s="34">
        <v>1.175</v>
      </c>
      <c r="C19" s="34">
        <v>1.208</v>
      </c>
      <c r="D19" s="34">
        <v>1.2290000000000001</v>
      </c>
      <c r="E19" s="35">
        <v>0.66</v>
      </c>
      <c r="F19" s="35">
        <v>0.68300000000000005</v>
      </c>
      <c r="G19" s="35">
        <v>0.67900000000000005</v>
      </c>
      <c r="I19" s="37">
        <v>0.22906249999999997</v>
      </c>
      <c r="J19" s="38">
        <v>1.3460000000000001</v>
      </c>
      <c r="K19" s="38">
        <v>1.3380000000000001</v>
      </c>
      <c r="L19" s="38">
        <v>1.331</v>
      </c>
      <c r="M19" s="38">
        <v>0.90500000000000003</v>
      </c>
      <c r="N19" s="38">
        <v>0.91800000000000004</v>
      </c>
      <c r="O19" s="38">
        <v>0.92600000000000005</v>
      </c>
      <c r="P19" s="38">
        <v>0.10299999999999999</v>
      </c>
      <c r="Q19" s="38">
        <v>0.10299999999999999</v>
      </c>
      <c r="S19" s="37">
        <v>0.22870370370370371</v>
      </c>
      <c r="T19" s="38">
        <v>0.42899999999999999</v>
      </c>
      <c r="U19" s="38">
        <v>0.436</v>
      </c>
      <c r="V19" s="38">
        <v>0.438</v>
      </c>
      <c r="W19" s="38">
        <v>0.29199999999999998</v>
      </c>
      <c r="X19" s="38">
        <v>0.28999999999999998</v>
      </c>
      <c r="Y19" s="38">
        <v>0.28399999999999997</v>
      </c>
      <c r="Z19" s="32"/>
      <c r="AI19" s="32"/>
      <c r="AJ19" s="32"/>
      <c r="AK19" s="32"/>
      <c r="AL19" s="32"/>
      <c r="AM19" s="32"/>
      <c r="AN19" s="32"/>
    </row>
    <row r="20" spans="1:40" x14ac:dyDescent="0.25">
      <c r="A20" s="37">
        <v>0.24953703703703703</v>
      </c>
      <c r="B20" s="34">
        <v>1.399</v>
      </c>
      <c r="C20" s="34">
        <v>1.431</v>
      </c>
      <c r="D20" s="34">
        <v>1.456</v>
      </c>
      <c r="E20" s="35">
        <v>0.97099999999999997</v>
      </c>
      <c r="F20" s="35">
        <v>1.0009999999999999</v>
      </c>
      <c r="G20" s="35">
        <v>0.99299999999999999</v>
      </c>
      <c r="I20" s="37">
        <v>0.24989583333333334</v>
      </c>
      <c r="J20" s="38">
        <v>1.5529999999999999</v>
      </c>
      <c r="K20" s="38">
        <v>1.5369999999999999</v>
      </c>
      <c r="L20" s="38">
        <v>1.53</v>
      </c>
      <c r="M20" s="38">
        <v>1.2050000000000001</v>
      </c>
      <c r="N20" s="38">
        <v>1.2150000000000001</v>
      </c>
      <c r="O20" s="38">
        <v>1.226</v>
      </c>
      <c r="P20" s="38">
        <v>0.10299999999999999</v>
      </c>
      <c r="Q20" s="38">
        <v>0.10299999999999999</v>
      </c>
      <c r="S20" s="37">
        <v>0.24953703703703703</v>
      </c>
      <c r="T20" s="38">
        <v>0.49299999999999999</v>
      </c>
      <c r="U20" s="38">
        <v>0.498</v>
      </c>
      <c r="V20" s="38">
        <v>0.504</v>
      </c>
      <c r="W20" s="38">
        <v>0.373</v>
      </c>
      <c r="X20" s="38">
        <v>0.36899999999999999</v>
      </c>
      <c r="Y20" s="38">
        <v>0.35699999999999998</v>
      </c>
      <c r="Z20" s="32"/>
      <c r="AI20" s="32"/>
      <c r="AJ20" s="32"/>
      <c r="AK20" s="32"/>
      <c r="AL20" s="32"/>
      <c r="AM20" s="32"/>
      <c r="AN20" s="32"/>
    </row>
    <row r="21" spans="1:40" x14ac:dyDescent="0.25">
      <c r="A21" s="37">
        <v>0.27037037037037037</v>
      </c>
      <c r="B21" s="34">
        <v>1.5289999999999999</v>
      </c>
      <c r="C21" s="34">
        <v>1.5669999999999999</v>
      </c>
      <c r="D21" s="34">
        <v>1.5860000000000001</v>
      </c>
      <c r="E21" s="35">
        <v>1.2390000000000001</v>
      </c>
      <c r="F21" s="35">
        <v>1.27</v>
      </c>
      <c r="G21" s="35">
        <v>1.2769999999999999</v>
      </c>
      <c r="I21" s="37">
        <v>0.27072916666666663</v>
      </c>
      <c r="J21" s="38">
        <v>1.6619999999999999</v>
      </c>
      <c r="K21" s="38">
        <v>1.6379999999999999</v>
      </c>
      <c r="L21" s="38">
        <v>1.633</v>
      </c>
      <c r="M21" s="38">
        <v>1.409</v>
      </c>
      <c r="N21" s="38">
        <v>1.42</v>
      </c>
      <c r="O21" s="38">
        <v>1.4350000000000001</v>
      </c>
      <c r="P21" s="38">
        <v>0.10299999999999999</v>
      </c>
      <c r="Q21" s="38">
        <v>0.10299999999999999</v>
      </c>
      <c r="S21" s="37">
        <v>0.27037037037037037</v>
      </c>
      <c r="T21" s="38">
        <v>0.55900000000000005</v>
      </c>
      <c r="U21" s="38">
        <v>0.56999999999999995</v>
      </c>
      <c r="V21" s="38">
        <v>0.56799999999999995</v>
      </c>
      <c r="W21" s="38">
        <v>0.44400000000000001</v>
      </c>
      <c r="X21" s="38">
        <v>0.441</v>
      </c>
      <c r="Y21" s="38">
        <v>0.42899999999999999</v>
      </c>
      <c r="Z21" s="32"/>
      <c r="AI21" s="32"/>
      <c r="AJ21" s="32"/>
      <c r="AK21" s="32"/>
      <c r="AL21" s="32"/>
      <c r="AM21" s="32"/>
      <c r="AN21" s="32"/>
    </row>
    <row r="22" spans="1:40" x14ac:dyDescent="0.25">
      <c r="A22" s="37">
        <v>0.29120370370370369</v>
      </c>
      <c r="B22" s="34">
        <v>1.61</v>
      </c>
      <c r="C22" s="34">
        <v>1.651</v>
      </c>
      <c r="D22" s="34">
        <v>1.6719999999999999</v>
      </c>
      <c r="E22" s="35">
        <v>1.4259999999999999</v>
      </c>
      <c r="F22" s="35">
        <v>1.4610000000000001</v>
      </c>
      <c r="G22" s="35">
        <v>1.474</v>
      </c>
      <c r="I22" s="37">
        <v>0.2915625</v>
      </c>
      <c r="J22" s="38">
        <v>1.75</v>
      </c>
      <c r="K22" s="38">
        <v>1.7190000000000001</v>
      </c>
      <c r="L22" s="38">
        <v>1.7130000000000001</v>
      </c>
      <c r="M22" s="38">
        <v>1.5489999999999999</v>
      </c>
      <c r="N22" s="38">
        <v>1.5580000000000001</v>
      </c>
      <c r="O22" s="38">
        <v>1.573</v>
      </c>
      <c r="P22" s="38">
        <v>0.10299999999999999</v>
      </c>
      <c r="Q22" s="38">
        <v>0.10299999999999999</v>
      </c>
      <c r="S22" s="37">
        <v>0.29120370370370369</v>
      </c>
      <c r="T22" s="38">
        <v>0.59699999999999998</v>
      </c>
      <c r="U22" s="38">
        <v>0.61099999999999999</v>
      </c>
      <c r="V22" s="38">
        <v>0.60699999999999998</v>
      </c>
      <c r="W22" s="38">
        <v>0.502</v>
      </c>
      <c r="X22" s="38">
        <v>0.501</v>
      </c>
      <c r="Y22" s="38">
        <v>0.48699999999999999</v>
      </c>
      <c r="Z22" s="32"/>
      <c r="AI22" s="32"/>
      <c r="AJ22" s="32"/>
      <c r="AK22" s="32"/>
      <c r="AL22" s="32"/>
      <c r="AM22" s="32"/>
      <c r="AN22" s="32"/>
    </row>
    <row r="23" spans="1:40" x14ac:dyDescent="0.25">
      <c r="A23" s="37">
        <v>0.31203703703703706</v>
      </c>
      <c r="B23" s="34">
        <v>1.6870000000000001</v>
      </c>
      <c r="C23" s="34">
        <v>1.7290000000000001</v>
      </c>
      <c r="D23" s="34">
        <v>1.75</v>
      </c>
      <c r="E23" s="35">
        <v>1.544</v>
      </c>
      <c r="F23" s="35">
        <v>1.58</v>
      </c>
      <c r="G23" s="35">
        <v>1.595</v>
      </c>
      <c r="I23" s="37">
        <v>0.31239583333333332</v>
      </c>
      <c r="J23" s="38">
        <v>1.827</v>
      </c>
      <c r="K23" s="38">
        <v>1.7949999999999999</v>
      </c>
      <c r="L23" s="38">
        <v>1.7889999999999999</v>
      </c>
      <c r="M23" s="38">
        <v>1.637</v>
      </c>
      <c r="N23" s="38">
        <v>1.645</v>
      </c>
      <c r="O23" s="38">
        <v>1.66</v>
      </c>
      <c r="P23" s="38">
        <v>0.10299999999999999</v>
      </c>
      <c r="Q23" s="38">
        <v>0.10299999999999999</v>
      </c>
      <c r="S23" s="37">
        <v>0.31203703703703706</v>
      </c>
      <c r="T23" s="38">
        <v>0.63400000000000001</v>
      </c>
      <c r="U23" s="38">
        <v>0.64800000000000002</v>
      </c>
      <c r="V23" s="38">
        <v>0.64200000000000002</v>
      </c>
      <c r="W23" s="38">
        <v>0.56200000000000006</v>
      </c>
      <c r="X23" s="38">
        <v>0.56200000000000006</v>
      </c>
      <c r="Y23" s="38">
        <v>0.54900000000000004</v>
      </c>
      <c r="Z23" s="32"/>
      <c r="AI23" s="32"/>
      <c r="AJ23" s="32"/>
      <c r="AK23" s="32"/>
      <c r="AL23" s="32"/>
      <c r="AM23" s="32"/>
      <c r="AN23" s="32"/>
    </row>
    <row r="24" spans="1:40" x14ac:dyDescent="0.25">
      <c r="A24" s="37">
        <v>0.33287037037037037</v>
      </c>
      <c r="B24" s="34">
        <v>1.754</v>
      </c>
      <c r="C24" s="34">
        <v>1.7969999999999999</v>
      </c>
      <c r="D24" s="34">
        <v>1.819</v>
      </c>
      <c r="E24" s="35">
        <v>1.6259999999999999</v>
      </c>
      <c r="F24" s="35">
        <v>1.6619999999999999</v>
      </c>
      <c r="G24" s="35">
        <v>1.6819999999999999</v>
      </c>
      <c r="I24" s="37">
        <v>0.33322916666666669</v>
      </c>
      <c r="J24" s="38">
        <v>1.903</v>
      </c>
      <c r="K24" s="38">
        <v>1.861</v>
      </c>
      <c r="L24" s="38">
        <v>1.8540000000000001</v>
      </c>
      <c r="M24" s="38">
        <v>1.7170000000000001</v>
      </c>
      <c r="N24" s="38">
        <v>1.724</v>
      </c>
      <c r="O24" s="38">
        <v>1.7390000000000001</v>
      </c>
      <c r="P24" s="38">
        <v>0.10299999999999999</v>
      </c>
      <c r="Q24" s="38">
        <v>0.10299999999999999</v>
      </c>
      <c r="S24" s="37">
        <v>0.33287037037037037</v>
      </c>
      <c r="T24" s="38">
        <v>0.67300000000000004</v>
      </c>
      <c r="U24" s="38">
        <v>0.68</v>
      </c>
      <c r="V24" s="38">
        <v>0.67800000000000005</v>
      </c>
      <c r="W24" s="38">
        <v>0.60899999999999999</v>
      </c>
      <c r="X24" s="38">
        <v>0.60699999999999998</v>
      </c>
      <c r="Y24" s="38">
        <v>0.59499999999999997</v>
      </c>
      <c r="Z24" s="32"/>
      <c r="AI24" s="32"/>
      <c r="AJ24" s="32"/>
      <c r="AK24" s="32"/>
      <c r="AL24" s="32"/>
      <c r="AM24" s="32"/>
      <c r="AN24" s="32"/>
    </row>
    <row r="25" spans="1:40" x14ac:dyDescent="0.25">
      <c r="A25" s="37">
        <v>0.35370370370370369</v>
      </c>
      <c r="B25" s="34">
        <v>1.8169999999999999</v>
      </c>
      <c r="C25" s="34">
        <v>1.859</v>
      </c>
      <c r="D25" s="34">
        <v>1.8819999999999999</v>
      </c>
      <c r="E25" s="35">
        <v>1.698</v>
      </c>
      <c r="F25" s="35">
        <v>1.734</v>
      </c>
      <c r="G25" s="35">
        <v>1.7589999999999999</v>
      </c>
      <c r="I25" s="37">
        <v>0.3540625</v>
      </c>
      <c r="J25" s="38">
        <v>1.956</v>
      </c>
      <c r="K25" s="38">
        <v>1.921</v>
      </c>
      <c r="L25" s="38">
        <v>1.915</v>
      </c>
      <c r="M25" s="38">
        <v>1.7869999999999999</v>
      </c>
      <c r="N25" s="38">
        <v>1.7929999999999999</v>
      </c>
      <c r="O25" s="38">
        <v>1.8069999999999999</v>
      </c>
      <c r="P25" s="38">
        <v>0.10299999999999999</v>
      </c>
      <c r="Q25" s="38">
        <v>0.10299999999999999</v>
      </c>
      <c r="S25" s="37">
        <v>0.35370370370370369</v>
      </c>
      <c r="T25" s="38">
        <v>0.70799999999999996</v>
      </c>
      <c r="U25" s="38">
        <v>0.71599999999999997</v>
      </c>
      <c r="V25" s="38">
        <v>0.71199999999999997</v>
      </c>
      <c r="W25" s="38">
        <v>0.64400000000000002</v>
      </c>
      <c r="X25" s="38">
        <v>0.64200000000000002</v>
      </c>
      <c r="Y25" s="38">
        <v>0.63200000000000001</v>
      </c>
      <c r="Z25" s="32"/>
      <c r="AI25" s="32"/>
      <c r="AJ25" s="32"/>
      <c r="AK25" s="32"/>
      <c r="AL25" s="32"/>
      <c r="AM25" s="32"/>
      <c r="AN25" s="32"/>
    </row>
    <row r="26" spans="1:40" x14ac:dyDescent="0.25">
      <c r="A26" s="37">
        <v>0.37453703703703706</v>
      </c>
      <c r="B26" s="34">
        <v>1.873</v>
      </c>
      <c r="C26" s="34">
        <v>1.9219999999999999</v>
      </c>
      <c r="D26" s="34">
        <v>1.946</v>
      </c>
      <c r="E26" s="35">
        <v>1.7649999999999999</v>
      </c>
      <c r="F26" s="35">
        <v>1.8009999999999999</v>
      </c>
      <c r="G26" s="35">
        <v>1.837</v>
      </c>
      <c r="I26" s="37">
        <v>0.37489583333333337</v>
      </c>
      <c r="J26" s="38">
        <v>1.994</v>
      </c>
      <c r="K26" s="38">
        <v>1.974</v>
      </c>
      <c r="L26" s="38">
        <v>1.9710000000000001</v>
      </c>
      <c r="M26" s="38">
        <v>1.8560000000000001</v>
      </c>
      <c r="N26" s="38">
        <v>1.8620000000000001</v>
      </c>
      <c r="O26" s="38">
        <v>1.873</v>
      </c>
      <c r="P26" s="38">
        <v>0.104</v>
      </c>
      <c r="Q26" s="38">
        <v>0.10299999999999999</v>
      </c>
      <c r="S26" s="37">
        <v>0.37453703703703706</v>
      </c>
      <c r="T26" s="38">
        <v>0.74199999999999999</v>
      </c>
      <c r="U26" s="38">
        <v>0.745</v>
      </c>
      <c r="V26" s="38">
        <v>0.74299999999999999</v>
      </c>
      <c r="W26" s="38">
        <v>0.67600000000000005</v>
      </c>
      <c r="X26" s="38">
        <v>0.68</v>
      </c>
      <c r="Y26" s="38">
        <v>0.67</v>
      </c>
      <c r="Z26" s="32"/>
      <c r="AI26" s="32"/>
      <c r="AJ26" s="32"/>
      <c r="AK26" s="32"/>
      <c r="AL26" s="32"/>
      <c r="AM26" s="32"/>
      <c r="AN26" s="32"/>
    </row>
    <row r="27" spans="1:40" x14ac:dyDescent="0.25">
      <c r="A27" s="37">
        <v>0.39537037037037037</v>
      </c>
      <c r="B27" s="34">
        <v>1.9139999999999999</v>
      </c>
      <c r="C27" s="34">
        <v>1.97</v>
      </c>
      <c r="D27" s="34">
        <v>1.992</v>
      </c>
      <c r="E27" s="35">
        <v>1.833</v>
      </c>
      <c r="F27" s="35">
        <v>1.871</v>
      </c>
      <c r="G27" s="35">
        <v>1.9</v>
      </c>
      <c r="I27" s="37">
        <v>0.39572916666666669</v>
      </c>
      <c r="J27" s="38">
        <v>2.0070000000000001</v>
      </c>
      <c r="K27" s="38">
        <v>2.012</v>
      </c>
      <c r="L27" s="38">
        <v>2.0089999999999999</v>
      </c>
      <c r="M27" s="38">
        <v>1.91</v>
      </c>
      <c r="N27" s="38">
        <v>1.9159999999999999</v>
      </c>
      <c r="O27" s="38">
        <v>1.919</v>
      </c>
      <c r="P27" s="38">
        <v>0.104</v>
      </c>
      <c r="Q27" s="38">
        <v>0.104</v>
      </c>
      <c r="S27" s="37">
        <v>0.39537037037037037</v>
      </c>
      <c r="T27" s="38">
        <v>0.77400000000000002</v>
      </c>
      <c r="U27" s="38">
        <v>0.77500000000000002</v>
      </c>
      <c r="V27" s="38">
        <v>0.77200000000000002</v>
      </c>
      <c r="W27" s="38">
        <v>0.70799999999999996</v>
      </c>
      <c r="X27" s="38">
        <v>0.71599999999999997</v>
      </c>
      <c r="Y27" s="38">
        <v>0.70299999999999996</v>
      </c>
      <c r="Z27" s="32"/>
      <c r="AI27" s="32"/>
      <c r="AJ27" s="32"/>
      <c r="AK27" s="32"/>
      <c r="AL27" s="32"/>
      <c r="AM27" s="32"/>
      <c r="AN27" s="32"/>
    </row>
    <row r="28" spans="1:40" x14ac:dyDescent="0.25">
      <c r="A28" s="37">
        <v>0.41620370370370369</v>
      </c>
      <c r="B28" s="34">
        <v>1.927</v>
      </c>
      <c r="C28" s="34">
        <v>1.9950000000000001</v>
      </c>
      <c r="D28" s="34">
        <v>2.012</v>
      </c>
      <c r="E28" s="35">
        <v>1.8859999999999999</v>
      </c>
      <c r="F28" s="35">
        <v>1.9259999999999999</v>
      </c>
      <c r="G28" s="35">
        <v>1.94</v>
      </c>
      <c r="I28" s="37">
        <v>0.4165625</v>
      </c>
      <c r="J28" s="38">
        <v>2.0070000000000001</v>
      </c>
      <c r="K28" s="38">
        <v>2.0219999999999998</v>
      </c>
      <c r="L28" s="38">
        <v>2.024</v>
      </c>
      <c r="M28" s="38">
        <v>1.948</v>
      </c>
      <c r="N28" s="38">
        <v>1.954</v>
      </c>
      <c r="O28" s="38">
        <v>1.9510000000000001</v>
      </c>
      <c r="P28" s="38">
        <v>0.104</v>
      </c>
      <c r="Q28" s="38">
        <v>0.104</v>
      </c>
      <c r="S28" s="37">
        <v>0.41620370370370369</v>
      </c>
      <c r="T28" s="38">
        <v>0.79700000000000004</v>
      </c>
      <c r="U28" s="38">
        <v>0.80400000000000005</v>
      </c>
      <c r="V28" s="38">
        <v>0.79800000000000004</v>
      </c>
      <c r="W28" s="38">
        <v>0.74</v>
      </c>
      <c r="X28" s="38">
        <v>0.748</v>
      </c>
      <c r="Y28" s="38">
        <v>0.73299999999999998</v>
      </c>
      <c r="Z28" s="32"/>
      <c r="AI28" s="32"/>
      <c r="AJ28" s="32"/>
      <c r="AK28" s="32"/>
      <c r="AL28" s="32"/>
      <c r="AM28" s="32"/>
      <c r="AN28" s="32"/>
    </row>
    <row r="29" spans="1:40" x14ac:dyDescent="0.25">
      <c r="A29" s="37">
        <v>0.43703703703703706</v>
      </c>
      <c r="B29" s="34">
        <v>1.93</v>
      </c>
      <c r="C29" s="34">
        <v>1.9990000000000001</v>
      </c>
      <c r="D29" s="34">
        <v>2.0150000000000001</v>
      </c>
      <c r="E29" s="35">
        <v>1.917</v>
      </c>
      <c r="F29" s="35">
        <v>1.9630000000000001</v>
      </c>
      <c r="G29" s="35">
        <v>1.9530000000000001</v>
      </c>
      <c r="I29" s="37">
        <v>0.43739583333333337</v>
      </c>
      <c r="J29" s="38">
        <v>2.0059999999999998</v>
      </c>
      <c r="K29" s="38">
        <v>2.0249999999999999</v>
      </c>
      <c r="L29" s="38">
        <v>2.0249999999999999</v>
      </c>
      <c r="M29" s="38">
        <v>1.962</v>
      </c>
      <c r="N29" s="38">
        <v>1.9670000000000001</v>
      </c>
      <c r="O29" s="38">
        <v>1.9630000000000001</v>
      </c>
      <c r="P29" s="38">
        <v>0.104</v>
      </c>
      <c r="Q29" s="38">
        <v>0.105</v>
      </c>
      <c r="S29" s="37">
        <v>0.43703703703703706</v>
      </c>
      <c r="T29" s="38">
        <v>0.81</v>
      </c>
      <c r="U29" s="38">
        <v>0.82899999999999996</v>
      </c>
      <c r="V29" s="38">
        <v>0.82299999999999995</v>
      </c>
      <c r="W29" s="38">
        <v>0.77</v>
      </c>
      <c r="X29" s="38">
        <v>0.77500000000000002</v>
      </c>
      <c r="Y29" s="38">
        <v>0.76200000000000001</v>
      </c>
      <c r="Z29" s="32"/>
      <c r="AI29" s="32"/>
      <c r="AJ29" s="32"/>
      <c r="AK29" s="32"/>
      <c r="AL29" s="32"/>
      <c r="AM29" s="32"/>
      <c r="AN29" s="32"/>
    </row>
    <row r="30" spans="1:40" x14ac:dyDescent="0.25">
      <c r="A30" s="37">
        <v>0.45787037037037037</v>
      </c>
      <c r="B30" s="34">
        <v>1.929</v>
      </c>
      <c r="C30" s="34">
        <v>1.9970000000000001</v>
      </c>
      <c r="D30" s="34">
        <v>2.0129999999999999</v>
      </c>
      <c r="E30" s="35">
        <v>1.9259999999999999</v>
      </c>
      <c r="F30" s="35">
        <v>1.974</v>
      </c>
      <c r="G30" s="35">
        <v>1.958</v>
      </c>
      <c r="I30" s="37">
        <v>0.45822916666666669</v>
      </c>
      <c r="J30" s="38">
        <v>2.0009999999999999</v>
      </c>
      <c r="K30" s="38">
        <v>2.0209999999999999</v>
      </c>
      <c r="L30" s="38">
        <v>2.024</v>
      </c>
      <c r="M30" s="38">
        <v>1.964</v>
      </c>
      <c r="N30" s="38">
        <v>1.9710000000000001</v>
      </c>
      <c r="O30" s="38">
        <v>1.964</v>
      </c>
      <c r="P30" s="38">
        <v>0.105</v>
      </c>
      <c r="Q30" s="38">
        <v>0.107</v>
      </c>
      <c r="S30" s="37">
        <v>0.45787037037037037</v>
      </c>
      <c r="T30" s="38">
        <v>0.81299999999999994</v>
      </c>
      <c r="U30" s="38">
        <v>0.84899999999999998</v>
      </c>
      <c r="V30" s="38">
        <v>0.84399999999999997</v>
      </c>
      <c r="W30" s="38">
        <v>0.8</v>
      </c>
      <c r="X30" s="38">
        <v>0.80700000000000005</v>
      </c>
      <c r="Y30" s="38">
        <v>0.78300000000000003</v>
      </c>
      <c r="Z30" s="32"/>
      <c r="AI30" s="32"/>
      <c r="AJ30" s="32"/>
      <c r="AK30" s="32"/>
      <c r="AL30" s="32"/>
      <c r="AM30" s="32"/>
      <c r="AN30" s="32"/>
    </row>
    <row r="31" spans="1:40" x14ac:dyDescent="0.25">
      <c r="A31" s="37">
        <v>0.47870370370370369</v>
      </c>
      <c r="B31" s="34">
        <v>1.925</v>
      </c>
      <c r="C31" s="34">
        <v>1.9970000000000001</v>
      </c>
      <c r="D31" s="34">
        <v>2.0110000000000001</v>
      </c>
      <c r="E31" s="35">
        <v>1.927</v>
      </c>
      <c r="F31" s="35">
        <v>1.978</v>
      </c>
      <c r="G31" s="35">
        <v>1.9590000000000001</v>
      </c>
      <c r="I31" s="37">
        <v>0.4790625</v>
      </c>
      <c r="J31" s="38">
        <v>1.998</v>
      </c>
      <c r="K31" s="38">
        <v>2.0179999999999998</v>
      </c>
      <c r="L31" s="38">
        <v>2.02</v>
      </c>
      <c r="M31" s="38">
        <v>1.9650000000000001</v>
      </c>
      <c r="N31" s="38">
        <v>1.97</v>
      </c>
      <c r="O31" s="38">
        <v>1.962</v>
      </c>
      <c r="P31" s="38">
        <v>0.105</v>
      </c>
      <c r="Q31" s="38">
        <v>0.11</v>
      </c>
      <c r="S31" s="37">
        <v>0.47870370370370369</v>
      </c>
      <c r="T31" s="38">
        <v>0.81299999999999994</v>
      </c>
      <c r="U31" s="38">
        <v>0.85399999999999998</v>
      </c>
      <c r="V31" s="38">
        <v>0.84799999999999998</v>
      </c>
      <c r="W31" s="38">
        <v>0.81299999999999994</v>
      </c>
      <c r="X31" s="38">
        <v>0.81799999999999995</v>
      </c>
      <c r="Y31" s="38">
        <v>0.78600000000000003</v>
      </c>
      <c r="Z31" s="32"/>
      <c r="AI31" s="32"/>
      <c r="AJ31" s="32"/>
      <c r="AK31" s="32"/>
      <c r="AL31" s="32"/>
      <c r="AM31" s="32"/>
      <c r="AN31" s="32"/>
    </row>
    <row r="32" spans="1:40" x14ac:dyDescent="0.25">
      <c r="A32" s="37">
        <v>0.49953703703703706</v>
      </c>
      <c r="B32" s="34">
        <v>1.9219999999999999</v>
      </c>
      <c r="C32" s="34">
        <v>1.992</v>
      </c>
      <c r="D32" s="34">
        <v>2.0089999999999999</v>
      </c>
      <c r="E32" s="35">
        <v>1.9279999999999999</v>
      </c>
      <c r="F32" s="35">
        <v>1.978</v>
      </c>
      <c r="G32" s="35">
        <v>1.958</v>
      </c>
      <c r="I32" s="37">
        <v>0.49989583333333337</v>
      </c>
      <c r="J32" s="38">
        <v>1.994</v>
      </c>
      <c r="K32" s="38">
        <v>2.0139999999999998</v>
      </c>
      <c r="L32" s="38">
        <v>2.0150000000000001</v>
      </c>
      <c r="M32" s="38">
        <v>1.962</v>
      </c>
      <c r="N32" s="38">
        <v>1.968</v>
      </c>
      <c r="O32" s="38">
        <v>1.96</v>
      </c>
      <c r="P32" s="38">
        <v>0.105</v>
      </c>
      <c r="Q32" s="38">
        <v>0.11799999999999999</v>
      </c>
      <c r="S32" s="37">
        <v>0.49953703703703706</v>
      </c>
      <c r="T32" s="38">
        <v>0.81100000000000005</v>
      </c>
      <c r="U32" s="38">
        <v>0.85399999999999998</v>
      </c>
      <c r="V32" s="38">
        <v>0.85</v>
      </c>
      <c r="W32" s="38">
        <v>0.81599999999999995</v>
      </c>
      <c r="X32" s="38">
        <v>0.82099999999999995</v>
      </c>
      <c r="Y32" s="38">
        <v>0.78700000000000003</v>
      </c>
      <c r="Z32" s="32"/>
      <c r="AI32" s="32"/>
      <c r="AJ32" s="32"/>
      <c r="AK32" s="32"/>
      <c r="AL32" s="32"/>
      <c r="AM32" s="32"/>
      <c r="AN32" s="32"/>
    </row>
    <row r="33" spans="1:40" x14ac:dyDescent="0.25">
      <c r="A33" s="37">
        <v>0.52037037037037037</v>
      </c>
      <c r="B33" s="34">
        <v>1.917</v>
      </c>
      <c r="C33" s="34">
        <v>1.9890000000000001</v>
      </c>
      <c r="D33" s="34">
        <v>2.0030000000000001</v>
      </c>
      <c r="E33" s="35">
        <v>1.9259999999999999</v>
      </c>
      <c r="F33" s="35">
        <v>1.976</v>
      </c>
      <c r="G33" s="35">
        <v>1.9570000000000001</v>
      </c>
      <c r="I33" s="37">
        <v>0.52072916666666669</v>
      </c>
      <c r="J33" s="38">
        <v>1.99</v>
      </c>
      <c r="K33" s="38">
        <v>2.0070000000000001</v>
      </c>
      <c r="L33" s="38">
        <v>2.0099999999999998</v>
      </c>
      <c r="M33" s="38">
        <v>1.9610000000000001</v>
      </c>
      <c r="N33" s="38">
        <v>1.9670000000000001</v>
      </c>
      <c r="O33" s="38">
        <v>1.9570000000000001</v>
      </c>
      <c r="P33" s="38">
        <v>0.105</v>
      </c>
      <c r="Q33" s="38">
        <v>0.13500000000000001</v>
      </c>
      <c r="S33" s="37">
        <v>0.52037037037037037</v>
      </c>
      <c r="T33" s="38">
        <v>0.81</v>
      </c>
      <c r="U33" s="38">
        <v>0.85299999999999998</v>
      </c>
      <c r="V33" s="38">
        <v>0.84799999999999998</v>
      </c>
      <c r="W33" s="38">
        <v>0.81699999999999995</v>
      </c>
      <c r="X33" s="38">
        <v>0.82099999999999995</v>
      </c>
      <c r="Y33" s="38">
        <v>0.78700000000000003</v>
      </c>
      <c r="AI33" s="32"/>
      <c r="AJ33" s="32"/>
      <c r="AK33" s="32"/>
      <c r="AL33" s="32"/>
      <c r="AM33" s="32"/>
      <c r="AN33" s="32"/>
    </row>
    <row r="34" spans="1:40" x14ac:dyDescent="0.25">
      <c r="A34" s="37">
        <v>0.54120370370370374</v>
      </c>
      <c r="B34" s="34">
        <v>1.913</v>
      </c>
      <c r="C34" s="34">
        <v>1.9850000000000001</v>
      </c>
      <c r="D34" s="34">
        <v>2.0009999999999999</v>
      </c>
      <c r="E34" s="35">
        <v>1.9239999999999999</v>
      </c>
      <c r="F34" s="35">
        <v>1.972</v>
      </c>
      <c r="G34" s="35">
        <v>1.954</v>
      </c>
      <c r="I34" s="37">
        <v>0.54156250000000006</v>
      </c>
      <c r="J34" s="38">
        <v>1.984</v>
      </c>
      <c r="K34" s="38">
        <v>2.004</v>
      </c>
      <c r="L34" s="38">
        <v>2.0049999999999999</v>
      </c>
      <c r="M34" s="38">
        <v>1.958</v>
      </c>
      <c r="N34" s="38">
        <v>1.964</v>
      </c>
      <c r="O34" s="38">
        <v>1.9550000000000001</v>
      </c>
      <c r="P34" s="38">
        <v>0.105</v>
      </c>
      <c r="Q34" s="38">
        <v>0.17100000000000001</v>
      </c>
      <c r="S34" s="37">
        <v>0.54120370370370374</v>
      </c>
      <c r="T34" s="38">
        <v>0.80700000000000005</v>
      </c>
      <c r="U34" s="38">
        <v>0.85199999999999998</v>
      </c>
      <c r="V34" s="38">
        <v>0.84599999999999997</v>
      </c>
      <c r="W34" s="38">
        <v>0.81599999999999995</v>
      </c>
      <c r="X34" s="38">
        <v>0.82099999999999995</v>
      </c>
      <c r="Y34" s="38">
        <v>0.78500000000000003</v>
      </c>
      <c r="AI34" s="32"/>
      <c r="AJ34" s="32"/>
      <c r="AK34" s="32"/>
      <c r="AL34" s="32"/>
      <c r="AM34" s="32"/>
      <c r="AN34" s="32"/>
    </row>
    <row r="35" spans="1:40" x14ac:dyDescent="0.25">
      <c r="A35" s="37">
        <v>0.562037037037037</v>
      </c>
      <c r="B35" s="34">
        <v>1.91</v>
      </c>
      <c r="C35" s="34">
        <v>1.98</v>
      </c>
      <c r="D35" s="34">
        <v>1.996</v>
      </c>
      <c r="E35" s="35">
        <v>1.92</v>
      </c>
      <c r="F35" s="35">
        <v>1.9690000000000001</v>
      </c>
      <c r="G35" s="35">
        <v>1.952</v>
      </c>
      <c r="I35" s="37">
        <v>0.56239583333333332</v>
      </c>
      <c r="J35" s="38">
        <v>1.9810000000000001</v>
      </c>
      <c r="K35" s="38">
        <v>1.998</v>
      </c>
      <c r="L35" s="38">
        <v>2.0019999999999998</v>
      </c>
      <c r="M35" s="38">
        <v>1.956</v>
      </c>
      <c r="N35" s="38">
        <v>1.964</v>
      </c>
      <c r="O35" s="38">
        <v>1.9530000000000001</v>
      </c>
      <c r="P35" s="38">
        <v>0.105</v>
      </c>
      <c r="Q35" s="38">
        <v>0.24299999999999999</v>
      </c>
      <c r="S35" s="37">
        <v>0.562037037037037</v>
      </c>
      <c r="T35" s="38">
        <v>0.80400000000000005</v>
      </c>
      <c r="U35" s="38">
        <v>0.85</v>
      </c>
      <c r="V35" s="38">
        <v>0.84399999999999997</v>
      </c>
      <c r="W35" s="38">
        <v>0.81499999999999995</v>
      </c>
      <c r="X35" s="38">
        <v>0.81899999999999995</v>
      </c>
      <c r="Y35" s="38">
        <v>0.78200000000000003</v>
      </c>
      <c r="AI35" s="32"/>
      <c r="AJ35" s="32"/>
      <c r="AK35" s="32"/>
      <c r="AL35" s="32"/>
      <c r="AM35" s="32"/>
      <c r="AN35" s="32"/>
    </row>
    <row r="36" spans="1:40" x14ac:dyDescent="0.25">
      <c r="A36" s="37">
        <v>0.58287037037037037</v>
      </c>
      <c r="B36" s="34">
        <v>1.905</v>
      </c>
      <c r="C36" s="34">
        <v>1.976</v>
      </c>
      <c r="D36" s="34">
        <v>1.9910000000000001</v>
      </c>
      <c r="E36" s="35">
        <v>1.917</v>
      </c>
      <c r="F36" s="35">
        <v>1.9670000000000001</v>
      </c>
      <c r="G36" s="35">
        <v>1.95</v>
      </c>
      <c r="I36" s="37">
        <v>0.58322916666666669</v>
      </c>
      <c r="J36" s="38">
        <v>1.9770000000000001</v>
      </c>
      <c r="K36" s="38">
        <v>1.9950000000000001</v>
      </c>
      <c r="L36" s="38">
        <v>1.9990000000000001</v>
      </c>
      <c r="M36" s="38">
        <v>1.954</v>
      </c>
      <c r="N36" s="38">
        <v>1.962</v>
      </c>
      <c r="O36" s="38">
        <v>1.95</v>
      </c>
      <c r="P36" s="38">
        <v>0.105</v>
      </c>
      <c r="Q36" s="38">
        <v>0.35399999999999998</v>
      </c>
      <c r="S36" s="37">
        <v>0.58287037037037037</v>
      </c>
      <c r="T36" s="38">
        <v>0.80100000000000005</v>
      </c>
      <c r="U36" s="38">
        <v>0.84699999999999998</v>
      </c>
      <c r="V36" s="38">
        <v>0.84199999999999997</v>
      </c>
      <c r="W36" s="38">
        <v>0.81299999999999994</v>
      </c>
      <c r="X36" s="38">
        <v>0.81699999999999995</v>
      </c>
      <c r="Y36" s="38">
        <v>0.77900000000000003</v>
      </c>
      <c r="AI36" s="32"/>
      <c r="AJ36" s="32"/>
      <c r="AK36" s="32"/>
      <c r="AL36" s="32"/>
      <c r="AM36" s="32"/>
      <c r="AN36" s="32"/>
    </row>
    <row r="37" spans="1:40" x14ac:dyDescent="0.25">
      <c r="A37" s="37">
        <v>0.60370370370370374</v>
      </c>
      <c r="B37" s="34">
        <v>1.901</v>
      </c>
      <c r="C37" s="34">
        <v>1.9710000000000001</v>
      </c>
      <c r="D37" s="34">
        <v>1.9870000000000001</v>
      </c>
      <c r="E37" s="35">
        <v>1.915</v>
      </c>
      <c r="F37" s="35">
        <v>1.964</v>
      </c>
      <c r="G37" s="35">
        <v>1.948</v>
      </c>
      <c r="I37" s="37">
        <v>0.60406250000000006</v>
      </c>
      <c r="J37" s="38">
        <v>1.9730000000000001</v>
      </c>
      <c r="K37" s="38">
        <v>1.992</v>
      </c>
      <c r="L37" s="38">
        <v>1.9950000000000001</v>
      </c>
      <c r="M37" s="38">
        <v>1.954</v>
      </c>
      <c r="N37" s="38">
        <v>1.9590000000000001</v>
      </c>
      <c r="O37" s="38">
        <v>1.948</v>
      </c>
      <c r="P37" s="38">
        <v>0.105</v>
      </c>
      <c r="Q37" s="38">
        <v>0.50900000000000001</v>
      </c>
      <c r="S37" s="37">
        <v>0.60370370370370374</v>
      </c>
      <c r="T37" s="38">
        <v>0.79800000000000004</v>
      </c>
      <c r="U37" s="38">
        <v>0.84399999999999997</v>
      </c>
      <c r="V37" s="38">
        <v>0.83899999999999997</v>
      </c>
      <c r="W37" s="38">
        <v>0.81100000000000005</v>
      </c>
      <c r="X37" s="38">
        <v>0.81499999999999995</v>
      </c>
      <c r="Y37" s="38">
        <v>0.77500000000000002</v>
      </c>
      <c r="AI37" s="32"/>
      <c r="AJ37" s="32"/>
      <c r="AK37" s="32"/>
      <c r="AL37" s="32"/>
      <c r="AM37" s="32"/>
      <c r="AN37" s="32"/>
    </row>
    <row r="38" spans="1:40" x14ac:dyDescent="0.25">
      <c r="A38" s="37">
        <v>0.624537037037037</v>
      </c>
      <c r="B38" s="34">
        <v>1.8979999999999999</v>
      </c>
      <c r="C38" s="34">
        <v>1.9670000000000001</v>
      </c>
      <c r="D38" s="34">
        <v>1.9830000000000001</v>
      </c>
      <c r="E38" s="35">
        <v>1.911</v>
      </c>
      <c r="F38" s="35">
        <v>1.96</v>
      </c>
      <c r="G38" s="35">
        <v>1.9470000000000001</v>
      </c>
      <c r="I38" s="37">
        <v>0.62489583333333332</v>
      </c>
      <c r="J38" s="38">
        <v>1.9670000000000001</v>
      </c>
      <c r="K38" s="38">
        <v>1.988</v>
      </c>
      <c r="L38" s="38">
        <v>1.992</v>
      </c>
      <c r="M38" s="38">
        <v>1.952</v>
      </c>
      <c r="N38" s="38">
        <v>1.9590000000000001</v>
      </c>
      <c r="O38" s="38">
        <v>1.944</v>
      </c>
      <c r="P38" s="38">
        <v>0.105</v>
      </c>
      <c r="Q38" s="38">
        <v>0.68500000000000005</v>
      </c>
      <c r="S38" s="37">
        <v>0.624537037037037</v>
      </c>
      <c r="T38" s="38">
        <v>0.79300000000000004</v>
      </c>
      <c r="U38" s="38">
        <v>0.84099999999999997</v>
      </c>
      <c r="V38" s="38">
        <v>0.83599999999999997</v>
      </c>
      <c r="W38" s="38">
        <v>0.80800000000000005</v>
      </c>
      <c r="X38" s="38">
        <v>0.81299999999999994</v>
      </c>
      <c r="Y38" s="38">
        <v>0.77100000000000002</v>
      </c>
      <c r="AI38" s="32"/>
      <c r="AJ38" s="32"/>
      <c r="AK38" s="32"/>
      <c r="AL38" s="32"/>
      <c r="AM38" s="32"/>
      <c r="AN38" s="32"/>
    </row>
    <row r="39" spans="1:40" x14ac:dyDescent="0.25">
      <c r="A39" s="37">
        <v>0.64537037037037037</v>
      </c>
      <c r="B39" s="34">
        <v>1.895</v>
      </c>
      <c r="C39" s="34">
        <v>1.9650000000000001</v>
      </c>
      <c r="D39" s="34">
        <v>1.9790000000000001</v>
      </c>
      <c r="E39" s="35">
        <v>1.909</v>
      </c>
      <c r="F39" s="35">
        <v>1.958</v>
      </c>
      <c r="G39" s="35">
        <v>1.944</v>
      </c>
      <c r="I39" s="37">
        <v>0.64572916666666669</v>
      </c>
      <c r="J39" s="38">
        <v>1.964</v>
      </c>
      <c r="K39" s="38">
        <v>1.984</v>
      </c>
      <c r="L39" s="38">
        <v>1.988</v>
      </c>
      <c r="M39" s="38">
        <v>1.952</v>
      </c>
      <c r="N39" s="38">
        <v>1.958</v>
      </c>
      <c r="O39" s="38">
        <v>1.944</v>
      </c>
      <c r="P39" s="38">
        <v>0.105</v>
      </c>
      <c r="Q39" s="38">
        <v>0.91600000000000004</v>
      </c>
      <c r="S39" s="37">
        <v>0.64537037037037037</v>
      </c>
      <c r="T39" s="38">
        <v>0.78900000000000003</v>
      </c>
      <c r="U39" s="38">
        <v>0.83799999999999997</v>
      </c>
      <c r="V39" s="38">
        <v>0.83299999999999996</v>
      </c>
      <c r="W39" s="38">
        <v>0.80500000000000005</v>
      </c>
      <c r="X39" s="38">
        <v>0.81</v>
      </c>
      <c r="Y39" s="38">
        <v>0.76700000000000002</v>
      </c>
      <c r="AI39" s="32"/>
      <c r="AJ39" s="32"/>
      <c r="AK39" s="32"/>
      <c r="AL39" s="32"/>
      <c r="AM39" s="32"/>
      <c r="AN39" s="32"/>
    </row>
    <row r="40" spans="1:40" x14ac:dyDescent="0.25">
      <c r="A40" s="37">
        <v>0.66620370370370374</v>
      </c>
      <c r="B40" s="34">
        <v>1.89</v>
      </c>
      <c r="C40" s="34">
        <v>1.9610000000000001</v>
      </c>
      <c r="D40" s="34">
        <v>1.976</v>
      </c>
      <c r="E40" s="35">
        <v>1.9059999999999999</v>
      </c>
      <c r="F40" s="35">
        <v>1.9550000000000001</v>
      </c>
      <c r="G40" s="35">
        <v>1.944</v>
      </c>
      <c r="I40" s="37">
        <v>0.66656250000000006</v>
      </c>
      <c r="J40" s="38">
        <v>1.9610000000000001</v>
      </c>
      <c r="K40" s="38">
        <v>1.982</v>
      </c>
      <c r="L40" s="38">
        <v>1.984</v>
      </c>
      <c r="M40" s="38">
        <v>1.95</v>
      </c>
      <c r="N40" s="38">
        <v>1.956</v>
      </c>
      <c r="O40" s="38">
        <v>1.9419999999999999</v>
      </c>
      <c r="P40" s="38">
        <v>0.105</v>
      </c>
      <c r="Q40" s="38">
        <v>1.1559999999999999</v>
      </c>
      <c r="S40" s="37">
        <v>0.66620370370370374</v>
      </c>
      <c r="T40" s="38">
        <v>0.78400000000000003</v>
      </c>
      <c r="U40" s="38">
        <v>0.83499999999999996</v>
      </c>
      <c r="V40" s="38">
        <v>0.83099999999999996</v>
      </c>
      <c r="W40" s="38">
        <v>0.80300000000000005</v>
      </c>
      <c r="X40" s="38">
        <v>0.80800000000000005</v>
      </c>
      <c r="Y40" s="38">
        <v>0.76200000000000001</v>
      </c>
      <c r="AI40" s="32"/>
      <c r="AJ40" s="32"/>
      <c r="AK40" s="32"/>
      <c r="AL40" s="32"/>
      <c r="AM40" s="32"/>
      <c r="AN40" s="32"/>
    </row>
    <row r="41" spans="1:40" x14ac:dyDescent="0.25">
      <c r="A41" s="37">
        <v>0.687037037037037</v>
      </c>
      <c r="B41" s="34">
        <v>1.8879999999999999</v>
      </c>
      <c r="C41" s="34">
        <v>1.956</v>
      </c>
      <c r="D41" s="34">
        <v>1.972</v>
      </c>
      <c r="E41" s="35">
        <v>1.9039999999999999</v>
      </c>
      <c r="F41" s="35">
        <v>1.9530000000000001</v>
      </c>
      <c r="G41" s="35">
        <v>1.9419999999999999</v>
      </c>
      <c r="I41" s="37">
        <v>0.68739583333333332</v>
      </c>
      <c r="J41" s="38">
        <v>1.958</v>
      </c>
      <c r="K41" s="38">
        <v>1.978</v>
      </c>
      <c r="L41" s="38">
        <v>1.9830000000000001</v>
      </c>
      <c r="M41" s="38">
        <v>1.9490000000000001</v>
      </c>
      <c r="N41" s="38">
        <v>1.9550000000000001</v>
      </c>
      <c r="O41" s="38">
        <v>1.9390000000000001</v>
      </c>
      <c r="P41" s="38">
        <v>0.105</v>
      </c>
      <c r="Q41" s="38">
        <v>1.357</v>
      </c>
      <c r="S41" s="37">
        <v>0.687037037037037</v>
      </c>
      <c r="T41" s="38">
        <v>0.77900000000000003</v>
      </c>
      <c r="U41" s="38">
        <v>0.83199999999999996</v>
      </c>
      <c r="V41" s="38">
        <v>0.82699999999999996</v>
      </c>
      <c r="W41" s="38">
        <v>0.8</v>
      </c>
      <c r="X41" s="38">
        <v>0.80500000000000005</v>
      </c>
      <c r="Y41" s="38">
        <v>0.75700000000000001</v>
      </c>
      <c r="AI41" s="32"/>
      <c r="AJ41" s="32"/>
      <c r="AK41" s="32"/>
      <c r="AL41" s="32"/>
      <c r="AM41" s="32"/>
      <c r="AN41" s="32"/>
    </row>
    <row r="42" spans="1:40" x14ac:dyDescent="0.25">
      <c r="A42" s="37">
        <v>0.70787037037037026</v>
      </c>
      <c r="B42" s="34">
        <v>1.885</v>
      </c>
      <c r="C42" s="34">
        <v>1.954</v>
      </c>
      <c r="D42" s="34">
        <v>1.968</v>
      </c>
      <c r="E42" s="35">
        <v>1.9</v>
      </c>
      <c r="F42" s="35">
        <v>1.9490000000000001</v>
      </c>
      <c r="G42" s="35">
        <v>1.94</v>
      </c>
      <c r="I42" s="37">
        <v>0.70822916666666658</v>
      </c>
      <c r="J42" s="38">
        <v>1.9550000000000001</v>
      </c>
      <c r="K42" s="38">
        <v>1.9750000000000001</v>
      </c>
      <c r="L42" s="38">
        <v>1.98</v>
      </c>
      <c r="M42" s="38">
        <v>1.9470000000000001</v>
      </c>
      <c r="N42" s="38">
        <v>1.9550000000000001</v>
      </c>
      <c r="O42" s="38">
        <v>1.9379999999999999</v>
      </c>
      <c r="P42" s="38">
        <v>0.105</v>
      </c>
      <c r="Q42" s="38">
        <v>1.4930000000000001</v>
      </c>
      <c r="S42" s="37">
        <v>0.70787037037037026</v>
      </c>
      <c r="T42" s="38">
        <v>0.77500000000000002</v>
      </c>
      <c r="U42" s="38">
        <v>0.82899999999999996</v>
      </c>
      <c r="V42" s="38">
        <v>0.82299999999999995</v>
      </c>
      <c r="W42" s="38">
        <v>0.79700000000000004</v>
      </c>
      <c r="X42" s="38">
        <v>0.80200000000000005</v>
      </c>
      <c r="Y42" s="38">
        <v>0.752</v>
      </c>
      <c r="AI42" s="32"/>
      <c r="AJ42" s="32"/>
      <c r="AK42" s="32"/>
      <c r="AL42" s="32"/>
      <c r="AM42" s="32"/>
      <c r="AN42" s="32"/>
    </row>
    <row r="43" spans="1:40" x14ac:dyDescent="0.25">
      <c r="A43" s="37">
        <v>0.72870370370370363</v>
      </c>
      <c r="B43" s="34">
        <v>1.88</v>
      </c>
      <c r="C43" s="34">
        <v>1.9490000000000001</v>
      </c>
      <c r="D43" s="34">
        <v>1.964</v>
      </c>
      <c r="E43" s="35">
        <v>1.897</v>
      </c>
      <c r="F43" s="35">
        <v>1.948</v>
      </c>
      <c r="G43" s="35">
        <v>1.94</v>
      </c>
      <c r="I43" s="37">
        <v>0.72906249999999995</v>
      </c>
      <c r="J43" s="38">
        <v>1.9530000000000001</v>
      </c>
      <c r="K43" s="38">
        <v>1.97</v>
      </c>
      <c r="L43" s="38">
        <v>1.978</v>
      </c>
      <c r="M43" s="38">
        <v>1.9450000000000001</v>
      </c>
      <c r="N43" s="38">
        <v>1.954</v>
      </c>
      <c r="O43" s="38">
        <v>1.9359999999999999</v>
      </c>
      <c r="P43" s="38">
        <v>0.105</v>
      </c>
      <c r="Q43" s="38">
        <v>1.593</v>
      </c>
      <c r="S43" s="37">
        <v>0.72870370370370363</v>
      </c>
      <c r="T43" s="38">
        <v>0.76900000000000002</v>
      </c>
      <c r="U43" s="38">
        <v>0.82599999999999996</v>
      </c>
      <c r="V43" s="38">
        <v>0.82</v>
      </c>
      <c r="W43" s="38">
        <v>0.79400000000000004</v>
      </c>
      <c r="X43" s="38">
        <v>0.79900000000000004</v>
      </c>
      <c r="Y43" s="38">
        <v>0.747</v>
      </c>
      <c r="AI43" s="32"/>
      <c r="AJ43" s="32"/>
      <c r="AK43" s="32"/>
      <c r="AL43" s="32"/>
      <c r="AM43" s="32"/>
      <c r="AN43" s="32"/>
    </row>
    <row r="44" spans="1:40" x14ac:dyDescent="0.25">
      <c r="A44" s="37">
        <v>0.749537037037037</v>
      </c>
      <c r="B44" s="34">
        <v>1.8779999999999999</v>
      </c>
      <c r="C44" s="34">
        <v>1.948</v>
      </c>
      <c r="D44" s="34">
        <v>1.96</v>
      </c>
      <c r="E44" s="35">
        <v>1.8939999999999999</v>
      </c>
      <c r="F44" s="35">
        <v>1.9450000000000001</v>
      </c>
      <c r="G44" s="35">
        <v>1.9370000000000001</v>
      </c>
      <c r="I44" s="37">
        <v>0.74989583333333332</v>
      </c>
      <c r="J44" s="38">
        <v>1.948</v>
      </c>
      <c r="K44" s="38">
        <v>1.9690000000000001</v>
      </c>
      <c r="L44" s="38">
        <v>1.9730000000000001</v>
      </c>
      <c r="M44" s="38">
        <v>1.944</v>
      </c>
      <c r="N44" s="38">
        <v>1.9530000000000001</v>
      </c>
      <c r="O44" s="38">
        <v>1.9339999999999999</v>
      </c>
      <c r="P44" s="38">
        <v>0.105</v>
      </c>
      <c r="Q44" s="38">
        <v>1.665</v>
      </c>
      <c r="S44" s="37">
        <v>0.749537037037037</v>
      </c>
      <c r="T44" s="38">
        <v>0.76500000000000001</v>
      </c>
      <c r="U44" s="38">
        <v>0.82299999999999995</v>
      </c>
      <c r="V44" s="38">
        <v>0.81599999999999995</v>
      </c>
      <c r="W44" s="38">
        <v>0.79200000000000004</v>
      </c>
      <c r="X44" s="38">
        <v>0.79600000000000004</v>
      </c>
      <c r="Y44" s="38">
        <v>0.74199999999999999</v>
      </c>
      <c r="AI44" s="32"/>
      <c r="AJ44" s="32"/>
      <c r="AK44" s="32"/>
      <c r="AL44" s="32"/>
      <c r="AM44" s="32"/>
      <c r="AN44" s="32"/>
    </row>
    <row r="45" spans="1:40" x14ac:dyDescent="0.25">
      <c r="A45" s="37">
        <v>0.77037037037037026</v>
      </c>
      <c r="B45" s="34">
        <v>1.8759999999999999</v>
      </c>
      <c r="C45" s="34">
        <v>1.9430000000000001</v>
      </c>
      <c r="D45" s="34">
        <v>1.956</v>
      </c>
      <c r="E45" s="35">
        <v>1.891</v>
      </c>
      <c r="F45" s="35">
        <v>1.9419999999999999</v>
      </c>
      <c r="G45" s="35">
        <v>1.9359999999999999</v>
      </c>
      <c r="I45" s="37">
        <v>0.77072916666666658</v>
      </c>
      <c r="J45" s="38">
        <v>1.944</v>
      </c>
      <c r="K45" s="38">
        <v>1.966</v>
      </c>
      <c r="L45" s="38">
        <v>1.9730000000000001</v>
      </c>
      <c r="M45" s="38">
        <v>1.944</v>
      </c>
      <c r="N45" s="38">
        <v>1.9510000000000001</v>
      </c>
      <c r="O45" s="38">
        <v>1.9330000000000001</v>
      </c>
      <c r="P45" s="38">
        <v>0.105</v>
      </c>
      <c r="Q45" s="38">
        <v>1.724</v>
      </c>
      <c r="S45" s="37">
        <v>0.77037037037037026</v>
      </c>
      <c r="T45" s="38">
        <v>0.76100000000000001</v>
      </c>
      <c r="U45" s="38">
        <v>0.82</v>
      </c>
      <c r="V45" s="38">
        <v>0.81299999999999994</v>
      </c>
      <c r="W45" s="38">
        <v>0.78800000000000003</v>
      </c>
      <c r="X45" s="38">
        <v>0.79300000000000004</v>
      </c>
      <c r="Y45" s="38">
        <v>0.73699999999999999</v>
      </c>
      <c r="AI45" s="32"/>
      <c r="AJ45" s="32"/>
      <c r="AK45" s="32"/>
      <c r="AL45" s="32"/>
      <c r="AM45" s="32"/>
      <c r="AN45" s="32"/>
    </row>
    <row r="46" spans="1:40" x14ac:dyDescent="0.25">
      <c r="A46" s="37">
        <v>0.79120370370370363</v>
      </c>
      <c r="B46" s="34">
        <v>1.873</v>
      </c>
      <c r="C46" s="34">
        <v>1.94</v>
      </c>
      <c r="D46" s="34">
        <v>1.954</v>
      </c>
      <c r="E46" s="35">
        <v>1.8879999999999999</v>
      </c>
      <c r="F46" s="35">
        <v>1.94</v>
      </c>
      <c r="G46" s="35">
        <v>1.9350000000000001</v>
      </c>
      <c r="I46" s="37">
        <v>0.79156249999999995</v>
      </c>
      <c r="J46" s="38">
        <v>1.9419999999999999</v>
      </c>
      <c r="K46" s="38">
        <v>1.964</v>
      </c>
      <c r="L46" s="38">
        <v>1.97</v>
      </c>
      <c r="M46" s="38">
        <v>1.9419999999999999</v>
      </c>
      <c r="N46" s="38">
        <v>1.948</v>
      </c>
      <c r="O46" s="38">
        <v>1.93</v>
      </c>
      <c r="P46" s="38">
        <v>0.105</v>
      </c>
      <c r="Q46" s="38">
        <v>1.7629999999999999</v>
      </c>
      <c r="S46" s="37">
        <v>0.79120370370370363</v>
      </c>
      <c r="T46" s="38">
        <v>0.75600000000000001</v>
      </c>
      <c r="U46" s="38">
        <v>0.81799999999999995</v>
      </c>
      <c r="V46" s="38">
        <v>0.81</v>
      </c>
      <c r="W46" s="38">
        <v>0.78500000000000003</v>
      </c>
      <c r="X46" s="38">
        <v>0.78900000000000003</v>
      </c>
      <c r="Y46" s="38">
        <v>0.73199999999999998</v>
      </c>
      <c r="AI46" s="32"/>
      <c r="AJ46" s="32"/>
      <c r="AK46" s="32"/>
      <c r="AL46" s="32"/>
      <c r="AM46" s="32"/>
      <c r="AN46" s="32"/>
    </row>
    <row r="47" spans="1:40" x14ac:dyDescent="0.25">
      <c r="A47" s="37">
        <v>0.812037037037037</v>
      </c>
      <c r="B47" s="34">
        <v>1.869</v>
      </c>
      <c r="C47" s="34">
        <v>1.9370000000000001</v>
      </c>
      <c r="D47" s="34">
        <v>1.9510000000000001</v>
      </c>
      <c r="E47" s="35">
        <v>1.887</v>
      </c>
      <c r="F47" s="35">
        <v>1.9370000000000001</v>
      </c>
      <c r="G47" s="35">
        <v>1.9330000000000001</v>
      </c>
      <c r="I47" s="37">
        <v>0.81239583333333332</v>
      </c>
      <c r="J47" s="38">
        <v>1.9390000000000001</v>
      </c>
      <c r="K47" s="38">
        <v>1.9610000000000001</v>
      </c>
      <c r="L47" s="38">
        <v>1.968</v>
      </c>
      <c r="M47" s="38">
        <v>1.9410000000000001</v>
      </c>
      <c r="N47" s="38">
        <v>1.948</v>
      </c>
      <c r="O47" s="38">
        <v>1.927</v>
      </c>
      <c r="P47" s="38">
        <v>0.105</v>
      </c>
      <c r="Q47" s="38">
        <v>1.792</v>
      </c>
      <c r="S47" s="37">
        <v>0.812037037037037</v>
      </c>
      <c r="T47" s="38">
        <v>0.752</v>
      </c>
      <c r="U47" s="38">
        <v>0.81499999999999995</v>
      </c>
      <c r="V47" s="38">
        <v>0.80700000000000005</v>
      </c>
      <c r="W47" s="38">
        <v>0.78300000000000003</v>
      </c>
      <c r="X47" s="38">
        <v>0.78500000000000003</v>
      </c>
      <c r="Y47" s="38">
        <v>0.72699999999999998</v>
      </c>
      <c r="AI47" s="32"/>
      <c r="AJ47" s="32"/>
      <c r="AK47" s="32"/>
      <c r="AL47" s="32"/>
      <c r="AM47" s="32"/>
      <c r="AN47" s="32"/>
    </row>
    <row r="48" spans="1:40" x14ac:dyDescent="0.25">
      <c r="A48" s="37">
        <v>0.83287037037037026</v>
      </c>
      <c r="B48" s="34">
        <v>1.867</v>
      </c>
      <c r="C48" s="34">
        <v>1.9350000000000001</v>
      </c>
      <c r="D48" s="34">
        <v>1.946</v>
      </c>
      <c r="E48" s="35">
        <v>1.8839999999999999</v>
      </c>
      <c r="F48" s="35">
        <v>1.9350000000000001</v>
      </c>
      <c r="G48" s="35">
        <v>1.9319999999999999</v>
      </c>
      <c r="I48" s="37">
        <v>0.83322916666666658</v>
      </c>
      <c r="J48" s="38">
        <v>1.9379999999999999</v>
      </c>
      <c r="K48" s="38">
        <v>1.958</v>
      </c>
      <c r="L48" s="38">
        <v>1.966</v>
      </c>
      <c r="M48" s="38">
        <v>1.9390000000000001</v>
      </c>
      <c r="N48" s="38">
        <v>1.9450000000000001</v>
      </c>
      <c r="O48" s="38">
        <v>1.9259999999999999</v>
      </c>
      <c r="P48" s="38">
        <v>0.105</v>
      </c>
      <c r="Q48" s="38">
        <v>1.8160000000000001</v>
      </c>
      <c r="S48" s="37">
        <v>0.83287037037037026</v>
      </c>
      <c r="T48" s="38">
        <v>0.747</v>
      </c>
      <c r="U48" s="38">
        <v>0.81200000000000006</v>
      </c>
      <c r="V48" s="38">
        <v>0.80500000000000005</v>
      </c>
      <c r="W48" s="38">
        <v>0.78</v>
      </c>
      <c r="X48" s="38">
        <v>0.78200000000000003</v>
      </c>
      <c r="Y48" s="38">
        <v>0.72199999999999998</v>
      </c>
      <c r="AI48" s="32"/>
      <c r="AJ48" s="32"/>
      <c r="AK48" s="32"/>
      <c r="AL48" s="32"/>
      <c r="AM48" s="32"/>
      <c r="AN48" s="32"/>
    </row>
    <row r="49" spans="9:25" x14ac:dyDescent="0.25">
      <c r="I49" s="37">
        <v>0.85406249999999995</v>
      </c>
      <c r="J49" s="38">
        <v>1.9350000000000001</v>
      </c>
      <c r="K49" s="38">
        <v>1.9570000000000001</v>
      </c>
      <c r="L49" s="38">
        <v>1.964</v>
      </c>
      <c r="M49" s="38">
        <v>1.9379999999999999</v>
      </c>
      <c r="N49" s="38">
        <v>1.944</v>
      </c>
      <c r="O49" s="38">
        <v>1.9239999999999999</v>
      </c>
      <c r="P49" s="38">
        <v>0.105</v>
      </c>
      <c r="Q49" s="38">
        <v>1.8380000000000001</v>
      </c>
      <c r="S49" s="37">
        <v>0.85370370370370363</v>
      </c>
      <c r="T49" s="38">
        <v>0.74199999999999999</v>
      </c>
      <c r="U49" s="38">
        <v>0.81</v>
      </c>
      <c r="V49" s="38">
        <v>0.80100000000000005</v>
      </c>
      <c r="W49" s="38">
        <v>0.77600000000000002</v>
      </c>
      <c r="X49" s="38">
        <v>0.77800000000000002</v>
      </c>
      <c r="Y49" s="38">
        <v>0.71599999999999997</v>
      </c>
    </row>
    <row r="50" spans="9:25" x14ac:dyDescent="0.25">
      <c r="S50" s="37">
        <v>0.874537037037037</v>
      </c>
      <c r="T50" s="38">
        <v>0.73699999999999999</v>
      </c>
      <c r="U50" s="38">
        <v>0.80800000000000005</v>
      </c>
      <c r="V50" s="38">
        <v>0.79800000000000004</v>
      </c>
      <c r="W50" s="38">
        <v>0.77300000000000002</v>
      </c>
      <c r="X50" s="38">
        <v>0.77400000000000002</v>
      </c>
      <c r="Y50" s="38">
        <v>0.71199999999999997</v>
      </c>
    </row>
    <row r="51" spans="9:25" x14ac:dyDescent="0.25">
      <c r="S51" s="37">
        <v>0.89537037037037026</v>
      </c>
      <c r="T51" s="38">
        <v>0.73199999999999998</v>
      </c>
      <c r="U51" s="38">
        <v>0.80500000000000005</v>
      </c>
      <c r="V51" s="38">
        <v>0.79600000000000004</v>
      </c>
      <c r="W51" s="38">
        <v>0.77</v>
      </c>
      <c r="X51" s="38">
        <v>0.77</v>
      </c>
      <c r="Y51" s="38">
        <v>0.70599999999999996</v>
      </c>
    </row>
    <row r="52" spans="9:25" x14ac:dyDescent="0.25">
      <c r="S52" s="37">
        <v>0.91620370370370363</v>
      </c>
      <c r="T52" s="38">
        <v>0.72699999999999998</v>
      </c>
      <c r="U52" s="38">
        <v>0.80400000000000005</v>
      </c>
      <c r="V52" s="38">
        <v>0.79400000000000004</v>
      </c>
      <c r="W52" s="38">
        <v>0.76700000000000002</v>
      </c>
      <c r="X52" s="38">
        <v>0.76700000000000002</v>
      </c>
      <c r="Y52" s="38">
        <v>0.70199999999999996</v>
      </c>
    </row>
    <row r="53" spans="9:25" x14ac:dyDescent="0.25">
      <c r="S53" s="37">
        <v>0.937037037037037</v>
      </c>
      <c r="T53" s="38">
        <v>0.72099999999999997</v>
      </c>
      <c r="U53" s="38">
        <v>0.80100000000000005</v>
      </c>
      <c r="V53" s="38">
        <v>0.79200000000000004</v>
      </c>
      <c r="W53" s="38">
        <v>0.76400000000000001</v>
      </c>
      <c r="X53" s="38">
        <v>0.76200000000000001</v>
      </c>
      <c r="Y53" s="38">
        <v>0.69599999999999995</v>
      </c>
    </row>
    <row r="54" spans="9:25" x14ac:dyDescent="0.25">
      <c r="S54" s="37">
        <v>0.95787037037037026</v>
      </c>
      <c r="T54" s="38">
        <v>0.71499999999999997</v>
      </c>
      <c r="U54" s="38">
        <v>0.79800000000000004</v>
      </c>
      <c r="V54" s="38">
        <v>0.78900000000000003</v>
      </c>
      <c r="W54" s="38">
        <v>0.76</v>
      </c>
      <c r="X54" s="38">
        <v>0.75900000000000001</v>
      </c>
      <c r="Y54" s="38">
        <v>0.69099999999999995</v>
      </c>
    </row>
    <row r="55" spans="9:25" x14ac:dyDescent="0.25">
      <c r="S55" s="37">
        <v>0.97870370370370363</v>
      </c>
      <c r="T55" s="38">
        <v>0.71</v>
      </c>
      <c r="U55" s="38">
        <v>0.79500000000000004</v>
      </c>
      <c r="V55" s="38">
        <v>0.78600000000000003</v>
      </c>
      <c r="W55" s="38">
        <v>0.75600000000000001</v>
      </c>
      <c r="X55" s="38">
        <v>0.755</v>
      </c>
      <c r="Y55" s="38">
        <v>0.68500000000000005</v>
      </c>
    </row>
    <row r="56" spans="9:25" x14ac:dyDescent="0.25">
      <c r="S56" s="37">
        <v>0.999537037037037</v>
      </c>
      <c r="T56" s="38">
        <v>0.70399999999999996</v>
      </c>
      <c r="U56" s="38">
        <v>0.79300000000000004</v>
      </c>
      <c r="V56" s="38">
        <v>0.78300000000000003</v>
      </c>
      <c r="W56" s="38">
        <v>0.753</v>
      </c>
      <c r="X56" s="38">
        <v>0.751</v>
      </c>
      <c r="Y56" s="38">
        <v>0.68</v>
      </c>
    </row>
    <row r="57" spans="9:25" x14ac:dyDescent="0.25">
      <c r="S57" s="39">
        <v>1.0203703703703704</v>
      </c>
      <c r="T57" s="38">
        <v>0.69899999999999995</v>
      </c>
      <c r="U57" s="38">
        <v>0.79100000000000004</v>
      </c>
      <c r="V57" s="38">
        <v>0.78100000000000003</v>
      </c>
      <c r="W57" s="38">
        <v>0.749</v>
      </c>
      <c r="X57" s="38">
        <v>0.747</v>
      </c>
      <c r="Y57" s="38">
        <v>0.67400000000000004</v>
      </c>
    </row>
  </sheetData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10E36-C846-4658-A761-557F80DF6ECB}">
  <dimension ref="A1:AN59"/>
  <sheetViews>
    <sheetView zoomScale="70" zoomScaleNormal="70" workbookViewId="0">
      <selection activeCell="AR26" sqref="AR26"/>
    </sheetView>
  </sheetViews>
  <sheetFormatPr baseColWidth="10" defaultRowHeight="15" x14ac:dyDescent="0.25"/>
  <sheetData>
    <row r="1" spans="1:40" x14ac:dyDescent="0.25">
      <c r="A1" s="1" t="s">
        <v>0</v>
      </c>
      <c r="B1" s="1" t="s">
        <v>1</v>
      </c>
    </row>
    <row r="2" spans="1:40" x14ac:dyDescent="0.25">
      <c r="A2" s="1"/>
      <c r="B2" s="1" t="s">
        <v>2</v>
      </c>
    </row>
    <row r="8" spans="1:40" x14ac:dyDescent="0.25">
      <c r="A8" s="33">
        <v>600</v>
      </c>
      <c r="B8" s="15"/>
    </row>
    <row r="9" spans="1:40" x14ac:dyDescent="0.25">
      <c r="D9" s="34"/>
      <c r="E9" s="34">
        <v>8640</v>
      </c>
      <c r="F9" s="34"/>
      <c r="G9" s="35"/>
      <c r="H9" s="35" t="s">
        <v>22</v>
      </c>
      <c r="I9" s="35"/>
      <c r="J9" s="36"/>
      <c r="K9" s="36" t="s">
        <v>102</v>
      </c>
      <c r="N9" s="34"/>
      <c r="O9" s="34">
        <v>8640</v>
      </c>
      <c r="P9" s="34"/>
      <c r="Q9" s="35"/>
      <c r="R9" s="35" t="s">
        <v>22</v>
      </c>
      <c r="S9" s="35"/>
      <c r="T9" s="36"/>
      <c r="U9" s="36" t="s">
        <v>102</v>
      </c>
      <c r="Y9" s="34"/>
      <c r="Z9" s="34">
        <v>8640</v>
      </c>
      <c r="AA9" s="34"/>
      <c r="AB9" s="35"/>
      <c r="AC9" s="35" t="s">
        <v>22</v>
      </c>
      <c r="AD9" s="35"/>
      <c r="AE9" s="36"/>
      <c r="AF9" s="36" t="s">
        <v>102</v>
      </c>
      <c r="AI9" s="34"/>
      <c r="AJ9" s="34">
        <v>8640</v>
      </c>
      <c r="AK9" s="34"/>
      <c r="AL9" s="35"/>
      <c r="AM9" s="35" t="s">
        <v>22</v>
      </c>
      <c r="AN9" s="35"/>
    </row>
    <row r="10" spans="1:40" x14ac:dyDescent="0.25">
      <c r="B10" s="6" t="s">
        <v>103</v>
      </c>
      <c r="C10" s="6" t="s">
        <v>104</v>
      </c>
      <c r="D10" s="6" t="s">
        <v>105</v>
      </c>
      <c r="E10" s="6" t="s">
        <v>106</v>
      </c>
      <c r="F10" s="6" t="s">
        <v>107</v>
      </c>
      <c r="G10" s="6" t="s">
        <v>108</v>
      </c>
      <c r="H10" s="6" t="s">
        <v>109</v>
      </c>
      <c r="I10" s="6" t="s">
        <v>110</v>
      </c>
      <c r="J10" s="6" t="s">
        <v>111</v>
      </c>
      <c r="K10" s="6" t="s">
        <v>112</v>
      </c>
      <c r="M10" s="6" t="s">
        <v>103</v>
      </c>
      <c r="N10" s="6" t="s">
        <v>113</v>
      </c>
      <c r="O10" s="6" t="s">
        <v>114</v>
      </c>
      <c r="P10" s="6" t="s">
        <v>115</v>
      </c>
      <c r="Q10" s="6" t="s">
        <v>116</v>
      </c>
      <c r="R10" s="6" t="s">
        <v>117</v>
      </c>
      <c r="S10" s="6" t="s">
        <v>118</v>
      </c>
      <c r="T10" s="6" t="s">
        <v>119</v>
      </c>
      <c r="U10" s="6" t="s">
        <v>120</v>
      </c>
      <c r="X10" s="6" t="s">
        <v>103</v>
      </c>
      <c r="Y10" s="6" t="s">
        <v>121</v>
      </c>
      <c r="Z10" s="6" t="s">
        <v>122</v>
      </c>
      <c r="AA10" s="6" t="s">
        <v>123</v>
      </c>
      <c r="AB10" s="6" t="s">
        <v>124</v>
      </c>
      <c r="AC10" s="6" t="s">
        <v>125</v>
      </c>
      <c r="AD10" s="6" t="s">
        <v>126</v>
      </c>
      <c r="AE10" s="6" t="s">
        <v>127</v>
      </c>
      <c r="AF10" s="6" t="s">
        <v>128</v>
      </c>
      <c r="AH10" s="6" t="s">
        <v>103</v>
      </c>
      <c r="AI10" s="6" t="s">
        <v>105</v>
      </c>
      <c r="AJ10" s="6" t="s">
        <v>106</v>
      </c>
      <c r="AK10" s="6" t="s">
        <v>107</v>
      </c>
      <c r="AL10" s="6" t="s">
        <v>108</v>
      </c>
      <c r="AM10" s="6" t="s">
        <v>109</v>
      </c>
      <c r="AN10" s="6" t="s">
        <v>110</v>
      </c>
    </row>
    <row r="11" spans="1:40" x14ac:dyDescent="0.25">
      <c r="B11" s="37">
        <v>2.0763888888888887E-2</v>
      </c>
      <c r="C11" s="38">
        <v>22.3</v>
      </c>
      <c r="D11" s="38">
        <v>0.10199999999999999</v>
      </c>
      <c r="E11" s="38">
        <v>0.104</v>
      </c>
      <c r="F11" s="38">
        <v>0.10199999999999999</v>
      </c>
      <c r="G11" s="38">
        <v>0.104</v>
      </c>
      <c r="H11" s="38">
        <v>0.10199999999999999</v>
      </c>
      <c r="I11" s="38">
        <v>0.105</v>
      </c>
      <c r="J11" s="38">
        <v>0.104</v>
      </c>
      <c r="K11" s="38">
        <v>0.104</v>
      </c>
      <c r="M11" s="37">
        <v>2.0763888888888887E-2</v>
      </c>
      <c r="N11" s="38">
        <v>0.104</v>
      </c>
      <c r="O11" s="38">
        <v>0.10299999999999999</v>
      </c>
      <c r="P11" s="38">
        <v>0.1</v>
      </c>
      <c r="Q11" s="38">
        <v>0.10100000000000001</v>
      </c>
      <c r="R11" s="38">
        <v>0.10199999999999999</v>
      </c>
      <c r="S11" s="38">
        <v>0.10100000000000001</v>
      </c>
      <c r="T11" s="38">
        <v>0.10299999999999999</v>
      </c>
      <c r="U11" s="38">
        <v>0.10299999999999999</v>
      </c>
      <c r="X11" s="37">
        <v>2.0763888888888887E-2</v>
      </c>
      <c r="Y11" s="38">
        <v>9.4E-2</v>
      </c>
      <c r="Z11" s="38">
        <v>8.8999999999999996E-2</v>
      </c>
      <c r="AA11" s="38">
        <v>8.8999999999999996E-2</v>
      </c>
      <c r="AB11" s="38">
        <v>0.09</v>
      </c>
      <c r="AC11" s="38">
        <v>8.8999999999999996E-2</v>
      </c>
      <c r="AD11" s="38">
        <v>0.09</v>
      </c>
      <c r="AE11" s="38">
        <v>0.104</v>
      </c>
      <c r="AF11" s="38">
        <v>0.10299999999999999</v>
      </c>
      <c r="AH11" s="37">
        <v>2.0763888888888887E-2</v>
      </c>
      <c r="AI11" s="34">
        <v>0.10199999999999999</v>
      </c>
      <c r="AJ11" s="34">
        <v>0.104</v>
      </c>
      <c r="AK11" s="34">
        <v>0.10199999999999999</v>
      </c>
      <c r="AL11" s="35">
        <v>0.104</v>
      </c>
      <c r="AM11" s="35">
        <v>0.10199999999999999</v>
      </c>
      <c r="AN11" s="35">
        <v>0.105</v>
      </c>
    </row>
    <row r="12" spans="1:40" x14ac:dyDescent="0.25">
      <c r="B12" s="37">
        <v>4.1597222222222223E-2</v>
      </c>
      <c r="C12" s="38">
        <v>22.8</v>
      </c>
      <c r="D12" s="38">
        <v>0.10199999999999999</v>
      </c>
      <c r="E12" s="38">
        <v>0.104</v>
      </c>
      <c r="F12" s="38">
        <v>0.10199999999999999</v>
      </c>
      <c r="G12" s="38">
        <v>0.104</v>
      </c>
      <c r="H12" s="38">
        <v>0.10199999999999999</v>
      </c>
      <c r="I12" s="38">
        <v>0.105</v>
      </c>
      <c r="J12" s="38">
        <v>0.106</v>
      </c>
      <c r="K12" s="38">
        <v>0.105</v>
      </c>
      <c r="M12" s="37">
        <v>4.1597222222222223E-2</v>
      </c>
      <c r="N12" s="38">
        <v>0.104</v>
      </c>
      <c r="O12" s="38">
        <v>0.10199999999999999</v>
      </c>
      <c r="P12" s="38">
        <v>0.1</v>
      </c>
      <c r="Q12" s="38">
        <v>0.10100000000000001</v>
      </c>
      <c r="R12" s="38">
        <v>0.10199999999999999</v>
      </c>
      <c r="S12" s="38">
        <v>0.10199999999999999</v>
      </c>
      <c r="T12" s="38">
        <v>0.10299999999999999</v>
      </c>
      <c r="U12" s="38">
        <v>0.10299999999999999</v>
      </c>
      <c r="X12" s="37">
        <v>4.1597222222222223E-2</v>
      </c>
      <c r="Y12" s="38">
        <v>9.4E-2</v>
      </c>
      <c r="Z12" s="38">
        <v>8.8999999999999996E-2</v>
      </c>
      <c r="AA12" s="38">
        <v>0.09</v>
      </c>
      <c r="AB12" s="38">
        <v>0.09</v>
      </c>
      <c r="AC12" s="38">
        <v>8.8999999999999996E-2</v>
      </c>
      <c r="AD12" s="38">
        <v>0.09</v>
      </c>
      <c r="AE12" s="38">
        <v>0.105</v>
      </c>
      <c r="AF12" s="38">
        <v>0.10299999999999999</v>
      </c>
      <c r="AH12" s="37">
        <v>4.1597222222222223E-2</v>
      </c>
      <c r="AI12" s="34">
        <v>0.10199999999999999</v>
      </c>
      <c r="AJ12" s="34">
        <v>0.104</v>
      </c>
      <c r="AK12" s="34">
        <v>0.10199999999999999</v>
      </c>
      <c r="AL12" s="35">
        <v>0.104</v>
      </c>
      <c r="AM12" s="35">
        <v>0.10199999999999999</v>
      </c>
      <c r="AN12" s="35">
        <v>0.105</v>
      </c>
    </row>
    <row r="13" spans="1:40" x14ac:dyDescent="0.25">
      <c r="B13" s="37">
        <v>6.2430555555555552E-2</v>
      </c>
      <c r="C13" s="38">
        <v>23.3</v>
      </c>
      <c r="D13" s="38">
        <v>0.10199999999999999</v>
      </c>
      <c r="E13" s="38">
        <v>0.105</v>
      </c>
      <c r="F13" s="38">
        <v>0.10299999999999999</v>
      </c>
      <c r="G13" s="38">
        <v>0.104</v>
      </c>
      <c r="H13" s="38">
        <v>0.10299999999999999</v>
      </c>
      <c r="I13" s="38">
        <v>0.106</v>
      </c>
      <c r="J13" s="38">
        <v>0.105</v>
      </c>
      <c r="K13" s="38">
        <v>0.104</v>
      </c>
      <c r="M13" s="37">
        <v>6.2430555555555552E-2</v>
      </c>
      <c r="N13" s="38">
        <v>0.104</v>
      </c>
      <c r="O13" s="38">
        <v>0.10299999999999999</v>
      </c>
      <c r="P13" s="38">
        <v>0.10100000000000001</v>
      </c>
      <c r="Q13" s="38">
        <v>0.10199999999999999</v>
      </c>
      <c r="R13" s="38">
        <v>0.10199999999999999</v>
      </c>
      <c r="S13" s="38">
        <v>0.10199999999999999</v>
      </c>
      <c r="T13" s="38">
        <v>0.10199999999999999</v>
      </c>
      <c r="U13" s="38">
        <v>0.10299999999999999</v>
      </c>
      <c r="X13" s="37">
        <v>6.2430555555555552E-2</v>
      </c>
      <c r="Y13" s="38">
        <v>9.4E-2</v>
      </c>
      <c r="Z13" s="38">
        <v>8.8999999999999996E-2</v>
      </c>
      <c r="AA13" s="38">
        <v>8.8999999999999996E-2</v>
      </c>
      <c r="AB13" s="38">
        <v>0.09</v>
      </c>
      <c r="AC13" s="38">
        <v>8.8999999999999996E-2</v>
      </c>
      <c r="AD13" s="38">
        <v>0.09</v>
      </c>
      <c r="AE13" s="38">
        <v>0.104</v>
      </c>
      <c r="AF13" s="38">
        <v>0.10199999999999999</v>
      </c>
      <c r="AH13" s="37">
        <v>6.2430555555555552E-2</v>
      </c>
      <c r="AI13" s="34">
        <v>0.10199999999999999</v>
      </c>
      <c r="AJ13" s="34">
        <v>0.105</v>
      </c>
      <c r="AK13" s="34">
        <v>0.10299999999999999</v>
      </c>
      <c r="AL13" s="35">
        <v>0.104</v>
      </c>
      <c r="AM13" s="35">
        <v>0.10299999999999999</v>
      </c>
      <c r="AN13" s="35">
        <v>0.106</v>
      </c>
    </row>
    <row r="14" spans="1:40" x14ac:dyDescent="0.25">
      <c r="B14" s="37">
        <v>8.3263888888888887E-2</v>
      </c>
      <c r="C14" s="38">
        <v>23.6</v>
      </c>
      <c r="D14" s="38">
        <v>0.10199999999999999</v>
      </c>
      <c r="E14" s="38">
        <v>0.105</v>
      </c>
      <c r="F14" s="38">
        <v>0.10299999999999999</v>
      </c>
      <c r="G14" s="38">
        <v>0.104</v>
      </c>
      <c r="H14" s="38">
        <v>0.10299999999999999</v>
      </c>
      <c r="I14" s="38">
        <v>0.106</v>
      </c>
      <c r="J14" s="38">
        <v>0.105</v>
      </c>
      <c r="K14" s="38">
        <v>0.104</v>
      </c>
      <c r="M14" s="37">
        <v>8.3263888888888887E-2</v>
      </c>
      <c r="N14" s="38">
        <v>0.105</v>
      </c>
      <c r="O14" s="38">
        <v>0.10299999999999999</v>
      </c>
      <c r="P14" s="38">
        <v>0.10199999999999999</v>
      </c>
      <c r="Q14" s="38">
        <v>0.10199999999999999</v>
      </c>
      <c r="R14" s="38">
        <v>0.10299999999999999</v>
      </c>
      <c r="S14" s="38">
        <v>0.10299999999999999</v>
      </c>
      <c r="T14" s="38">
        <v>0.10299999999999999</v>
      </c>
      <c r="U14" s="38">
        <v>0.10299999999999999</v>
      </c>
      <c r="X14" s="37">
        <v>8.3263888888888887E-2</v>
      </c>
      <c r="Y14" s="38">
        <v>9.4E-2</v>
      </c>
      <c r="Z14" s="38">
        <v>8.8999999999999996E-2</v>
      </c>
      <c r="AA14" s="38">
        <v>8.8999999999999996E-2</v>
      </c>
      <c r="AB14" s="38">
        <v>0.09</v>
      </c>
      <c r="AC14" s="38">
        <v>8.8999999999999996E-2</v>
      </c>
      <c r="AD14" s="38">
        <v>0.09</v>
      </c>
      <c r="AE14" s="38">
        <v>0.104</v>
      </c>
      <c r="AF14" s="38">
        <v>0.10299999999999999</v>
      </c>
      <c r="AH14" s="37">
        <v>8.3263888888888887E-2</v>
      </c>
      <c r="AI14" s="34">
        <v>0.10199999999999999</v>
      </c>
      <c r="AJ14" s="34">
        <v>0.105</v>
      </c>
      <c r="AK14" s="34">
        <v>0.10299999999999999</v>
      </c>
      <c r="AL14" s="35">
        <v>0.104</v>
      </c>
      <c r="AM14" s="35">
        <v>0.10299999999999999</v>
      </c>
      <c r="AN14" s="35">
        <v>0.106</v>
      </c>
    </row>
    <row r="15" spans="1:40" x14ac:dyDescent="0.25">
      <c r="B15" s="37">
        <v>0.10409722222222222</v>
      </c>
      <c r="C15" s="38">
        <v>23.8</v>
      </c>
      <c r="D15" s="38">
        <v>0.10299999999999999</v>
      </c>
      <c r="E15" s="38">
        <v>0.105</v>
      </c>
      <c r="F15" s="38">
        <v>0.10299999999999999</v>
      </c>
      <c r="G15" s="38">
        <v>0.104</v>
      </c>
      <c r="H15" s="38">
        <v>0.10299999999999999</v>
      </c>
      <c r="I15" s="38">
        <v>0.107</v>
      </c>
      <c r="J15" s="38">
        <v>0.105</v>
      </c>
      <c r="K15" s="38">
        <v>0.104</v>
      </c>
      <c r="M15" s="37">
        <v>0.10409722222222222</v>
      </c>
      <c r="N15" s="38">
        <v>0.106</v>
      </c>
      <c r="O15" s="38">
        <v>0.111</v>
      </c>
      <c r="P15" s="38">
        <v>0.10199999999999999</v>
      </c>
      <c r="Q15" s="38">
        <v>0.10299999999999999</v>
      </c>
      <c r="R15" s="38">
        <v>0.104</v>
      </c>
      <c r="S15" s="38">
        <v>0.10299999999999999</v>
      </c>
      <c r="T15" s="38">
        <v>0.10299999999999999</v>
      </c>
      <c r="U15" s="38">
        <v>0.10299999999999999</v>
      </c>
      <c r="X15" s="37">
        <v>0.10409722222222222</v>
      </c>
      <c r="Y15" s="38">
        <v>9.4E-2</v>
      </c>
      <c r="Z15" s="38">
        <v>8.8999999999999996E-2</v>
      </c>
      <c r="AA15" s="38">
        <v>0.09</v>
      </c>
      <c r="AB15" s="38">
        <v>9.0999999999999998E-2</v>
      </c>
      <c r="AC15" s="38">
        <v>0.09</v>
      </c>
      <c r="AD15" s="38">
        <v>0.09</v>
      </c>
      <c r="AE15" s="38">
        <v>0.104</v>
      </c>
      <c r="AF15" s="38">
        <v>0.10299999999999999</v>
      </c>
      <c r="AH15" s="37">
        <v>0.10409722222222222</v>
      </c>
      <c r="AI15" s="34">
        <v>0.10299999999999999</v>
      </c>
      <c r="AJ15" s="34">
        <v>0.105</v>
      </c>
      <c r="AK15" s="34">
        <v>0.10299999999999999</v>
      </c>
      <c r="AL15" s="35">
        <v>0.104</v>
      </c>
      <c r="AM15" s="35">
        <v>0.10299999999999999</v>
      </c>
      <c r="AN15" s="35">
        <v>0.107</v>
      </c>
    </row>
    <row r="16" spans="1:40" x14ac:dyDescent="0.25">
      <c r="B16" s="37">
        <v>0.12493055555555554</v>
      </c>
      <c r="C16" s="38">
        <v>23.9</v>
      </c>
      <c r="D16" s="38">
        <v>0.10299999999999999</v>
      </c>
      <c r="E16" s="38">
        <v>0.106</v>
      </c>
      <c r="F16" s="38">
        <v>0.104</v>
      </c>
      <c r="G16" s="38">
        <v>0.105</v>
      </c>
      <c r="H16" s="38">
        <v>0.104</v>
      </c>
      <c r="I16" s="38">
        <v>0.107</v>
      </c>
      <c r="J16" s="38">
        <v>0.104</v>
      </c>
      <c r="K16" s="38">
        <v>0.104</v>
      </c>
      <c r="M16" s="37">
        <v>0.12493055555555554</v>
      </c>
      <c r="N16" s="38">
        <v>0.108</v>
      </c>
      <c r="O16" s="38">
        <v>0.109</v>
      </c>
      <c r="P16" s="38">
        <v>0.104</v>
      </c>
      <c r="Q16" s="38">
        <v>0.104</v>
      </c>
      <c r="R16" s="38">
        <v>0.105</v>
      </c>
      <c r="S16" s="38">
        <v>0.104</v>
      </c>
      <c r="T16" s="38">
        <v>0.10299999999999999</v>
      </c>
      <c r="U16" s="38">
        <v>0.10299999999999999</v>
      </c>
      <c r="X16" s="37">
        <v>0.12493055555555554</v>
      </c>
      <c r="Y16" s="38">
        <v>9.4E-2</v>
      </c>
      <c r="Z16" s="38">
        <v>8.8999999999999996E-2</v>
      </c>
      <c r="AA16" s="38">
        <v>0.09</v>
      </c>
      <c r="AB16" s="38">
        <v>9.0999999999999998E-2</v>
      </c>
      <c r="AC16" s="38">
        <v>8.8999999999999996E-2</v>
      </c>
      <c r="AD16" s="38">
        <v>0.09</v>
      </c>
      <c r="AE16" s="38">
        <v>0.104</v>
      </c>
      <c r="AF16" s="38">
        <v>0.10299999999999999</v>
      </c>
      <c r="AH16" s="37">
        <v>0.12493055555555554</v>
      </c>
      <c r="AI16" s="34">
        <v>0.10299999999999999</v>
      </c>
      <c r="AJ16" s="34">
        <v>0.106</v>
      </c>
      <c r="AK16" s="34">
        <v>0.104</v>
      </c>
      <c r="AL16" s="35">
        <v>0.105</v>
      </c>
      <c r="AM16" s="35">
        <v>0.104</v>
      </c>
      <c r="AN16" s="35">
        <v>0.107</v>
      </c>
    </row>
    <row r="17" spans="2:40" x14ac:dyDescent="0.25">
      <c r="B17" s="37">
        <v>0.14576388888888889</v>
      </c>
      <c r="C17" s="38">
        <v>24</v>
      </c>
      <c r="D17" s="38">
        <v>0.105</v>
      </c>
      <c r="E17" s="38">
        <v>0.108</v>
      </c>
      <c r="F17" s="38">
        <v>0.105</v>
      </c>
      <c r="G17" s="38">
        <v>0.106</v>
      </c>
      <c r="H17" s="38">
        <v>0.105</v>
      </c>
      <c r="I17" s="38">
        <v>0.108</v>
      </c>
      <c r="J17" s="38">
        <v>0.104</v>
      </c>
      <c r="K17" s="38">
        <v>0.104</v>
      </c>
      <c r="M17" s="37">
        <v>0.14576388888888889</v>
      </c>
      <c r="N17" s="38">
        <v>0.111</v>
      </c>
      <c r="O17" s="38">
        <v>0.109</v>
      </c>
      <c r="P17" s="38">
        <v>0.107</v>
      </c>
      <c r="Q17" s="38">
        <v>0.105</v>
      </c>
      <c r="R17" s="38">
        <v>0.106</v>
      </c>
      <c r="S17" s="38">
        <v>0.106</v>
      </c>
      <c r="T17" s="38">
        <v>0.10299999999999999</v>
      </c>
      <c r="U17" s="38">
        <v>0.10299999999999999</v>
      </c>
      <c r="X17" s="37">
        <v>0.14576388888888889</v>
      </c>
      <c r="Y17" s="38">
        <v>9.4E-2</v>
      </c>
      <c r="Z17" s="38">
        <v>8.8999999999999996E-2</v>
      </c>
      <c r="AA17" s="38">
        <v>0.09</v>
      </c>
      <c r="AB17" s="38">
        <v>9.0999999999999998E-2</v>
      </c>
      <c r="AC17" s="38">
        <v>8.8999999999999996E-2</v>
      </c>
      <c r="AD17" s="38">
        <v>0.09</v>
      </c>
      <c r="AE17" s="38">
        <v>0.104</v>
      </c>
      <c r="AF17" s="38">
        <v>0.10299999999999999</v>
      </c>
      <c r="AH17" s="37">
        <v>0.14576388888888889</v>
      </c>
      <c r="AI17" s="34">
        <v>0.105</v>
      </c>
      <c r="AJ17" s="34">
        <v>0.108</v>
      </c>
      <c r="AK17" s="34">
        <v>0.105</v>
      </c>
      <c r="AL17" s="35">
        <v>0.106</v>
      </c>
      <c r="AM17" s="35">
        <v>0.105</v>
      </c>
      <c r="AN17" s="35">
        <v>0.108</v>
      </c>
    </row>
    <row r="18" spans="2:40" x14ac:dyDescent="0.25">
      <c r="B18" s="37">
        <v>0.1665972222222222</v>
      </c>
      <c r="C18" s="38">
        <v>24</v>
      </c>
      <c r="D18" s="38">
        <v>0.106</v>
      </c>
      <c r="E18" s="38">
        <v>0.11</v>
      </c>
      <c r="F18" s="38">
        <v>0.107</v>
      </c>
      <c r="G18" s="38">
        <v>0.107</v>
      </c>
      <c r="H18" s="38">
        <v>0.109</v>
      </c>
      <c r="I18" s="38">
        <v>0.109</v>
      </c>
      <c r="J18" s="38">
        <v>0.105</v>
      </c>
      <c r="K18" s="38">
        <v>0.104</v>
      </c>
      <c r="M18" s="37">
        <v>0.1665972222222222</v>
      </c>
      <c r="N18" s="38">
        <v>0.115</v>
      </c>
      <c r="O18" s="38">
        <v>0.113</v>
      </c>
      <c r="P18" s="38">
        <v>0.111</v>
      </c>
      <c r="Q18" s="38">
        <v>0.107</v>
      </c>
      <c r="R18" s="38">
        <v>0.108</v>
      </c>
      <c r="S18" s="38">
        <v>0.108</v>
      </c>
      <c r="T18" s="38">
        <v>0.10299999999999999</v>
      </c>
      <c r="U18" s="38">
        <v>0.10299999999999999</v>
      </c>
      <c r="X18" s="37">
        <v>0.1665972222222222</v>
      </c>
      <c r="Y18" s="38">
        <v>9.5000000000000001E-2</v>
      </c>
      <c r="Z18" s="38">
        <v>8.8999999999999996E-2</v>
      </c>
      <c r="AA18" s="38">
        <v>0.09</v>
      </c>
      <c r="AB18" s="38">
        <v>0.09</v>
      </c>
      <c r="AC18" s="38">
        <v>0.09</v>
      </c>
      <c r="AD18" s="38">
        <v>0.09</v>
      </c>
      <c r="AE18" s="38">
        <v>0.104</v>
      </c>
      <c r="AF18" s="38">
        <v>0.10299999999999999</v>
      </c>
      <c r="AH18" s="37">
        <v>0.1665972222222222</v>
      </c>
      <c r="AI18" s="34">
        <v>0.106</v>
      </c>
      <c r="AJ18" s="34">
        <v>0.11</v>
      </c>
      <c r="AK18" s="34">
        <v>0.107</v>
      </c>
      <c r="AL18" s="35">
        <v>0.107</v>
      </c>
      <c r="AM18" s="35">
        <v>0.109</v>
      </c>
      <c r="AN18" s="35">
        <v>0.109</v>
      </c>
    </row>
    <row r="19" spans="2:40" x14ac:dyDescent="0.25">
      <c r="B19" s="37">
        <v>0.18743055555555554</v>
      </c>
      <c r="C19" s="38">
        <v>24</v>
      </c>
      <c r="D19" s="38">
        <v>0.109</v>
      </c>
      <c r="E19" s="38">
        <v>0.114</v>
      </c>
      <c r="F19" s="38">
        <v>0.11</v>
      </c>
      <c r="G19" s="38">
        <v>0.108</v>
      </c>
      <c r="H19" s="38">
        <v>0.107</v>
      </c>
      <c r="I19" s="38">
        <v>0.11</v>
      </c>
      <c r="J19" s="38">
        <v>0.105</v>
      </c>
      <c r="K19" s="38">
        <v>0.104</v>
      </c>
      <c r="M19" s="37">
        <v>0.18743055555555554</v>
      </c>
      <c r="N19" s="38">
        <v>0.122</v>
      </c>
      <c r="O19" s="38">
        <v>0.11899999999999999</v>
      </c>
      <c r="P19" s="38">
        <v>0.11700000000000001</v>
      </c>
      <c r="Q19" s="38">
        <v>0.11</v>
      </c>
      <c r="R19" s="38">
        <v>0.111</v>
      </c>
      <c r="S19" s="38">
        <v>0.11</v>
      </c>
      <c r="T19" s="38">
        <v>0.10299999999999999</v>
      </c>
      <c r="U19" s="38">
        <v>0.10299999999999999</v>
      </c>
      <c r="X19" s="37">
        <v>0.18743055555555554</v>
      </c>
      <c r="Y19" s="38">
        <v>9.5000000000000001E-2</v>
      </c>
      <c r="Z19" s="38">
        <v>0.09</v>
      </c>
      <c r="AA19" s="38">
        <v>0.09</v>
      </c>
      <c r="AB19" s="38">
        <v>9.0999999999999998E-2</v>
      </c>
      <c r="AC19" s="38">
        <v>8.8999999999999996E-2</v>
      </c>
      <c r="AD19" s="38">
        <v>0.09</v>
      </c>
      <c r="AE19" s="38">
        <v>0.104</v>
      </c>
      <c r="AF19" s="38">
        <v>0.10299999999999999</v>
      </c>
      <c r="AH19" s="37">
        <v>0.18743055555555554</v>
      </c>
      <c r="AI19" s="34">
        <v>0.109</v>
      </c>
      <c r="AJ19" s="34">
        <v>0.114</v>
      </c>
      <c r="AK19" s="34">
        <v>0.11</v>
      </c>
      <c r="AL19" s="35">
        <v>0.108</v>
      </c>
      <c r="AM19" s="35">
        <v>0.107</v>
      </c>
      <c r="AN19" s="35">
        <v>0.11</v>
      </c>
    </row>
    <row r="20" spans="2:40" x14ac:dyDescent="0.25">
      <c r="B20" s="37">
        <v>0.20826388888888889</v>
      </c>
      <c r="C20" s="38">
        <v>24.1</v>
      </c>
      <c r="D20" s="38">
        <v>0.113</v>
      </c>
      <c r="E20" s="38">
        <v>0.11700000000000001</v>
      </c>
      <c r="F20" s="38">
        <v>0.115</v>
      </c>
      <c r="G20" s="38">
        <v>0.11</v>
      </c>
      <c r="H20" s="38">
        <v>0.112</v>
      </c>
      <c r="I20" s="38">
        <v>0.112</v>
      </c>
      <c r="J20" s="38">
        <v>0.104</v>
      </c>
      <c r="K20" s="38">
        <v>0.104</v>
      </c>
      <c r="M20" s="37">
        <v>0.20826388888888889</v>
      </c>
      <c r="N20" s="38">
        <v>0.13200000000000001</v>
      </c>
      <c r="O20" s="38">
        <v>0.13300000000000001</v>
      </c>
      <c r="P20" s="38">
        <v>0.128</v>
      </c>
      <c r="Q20" s="38">
        <v>0.115</v>
      </c>
      <c r="R20" s="38">
        <v>0.115</v>
      </c>
      <c r="S20" s="38">
        <v>0.114</v>
      </c>
      <c r="T20" s="38">
        <v>0.10299999999999999</v>
      </c>
      <c r="U20" s="38">
        <v>0.10299999999999999</v>
      </c>
      <c r="X20" s="37">
        <v>0.20826388888888889</v>
      </c>
      <c r="Y20" s="38">
        <v>9.5000000000000001E-2</v>
      </c>
      <c r="Z20" s="38">
        <v>0.09</v>
      </c>
      <c r="AA20" s="38">
        <v>9.0999999999999998E-2</v>
      </c>
      <c r="AB20" s="38">
        <v>9.0999999999999998E-2</v>
      </c>
      <c r="AC20" s="38">
        <v>0.09</v>
      </c>
      <c r="AD20" s="38">
        <v>9.0999999999999998E-2</v>
      </c>
      <c r="AE20" s="38">
        <v>0.104</v>
      </c>
      <c r="AF20" s="38">
        <v>0.10299999999999999</v>
      </c>
      <c r="AH20" s="37">
        <v>0.20826388888888889</v>
      </c>
      <c r="AI20" s="34">
        <v>0.113</v>
      </c>
      <c r="AJ20" s="34">
        <v>0.11700000000000001</v>
      </c>
      <c r="AK20" s="34">
        <v>0.115</v>
      </c>
      <c r="AL20" s="35">
        <v>0.11</v>
      </c>
      <c r="AM20" s="35">
        <v>0.112</v>
      </c>
      <c r="AN20" s="35">
        <v>0.112</v>
      </c>
    </row>
    <row r="21" spans="2:40" x14ac:dyDescent="0.25">
      <c r="B21" s="37">
        <v>0.2290972222222222</v>
      </c>
      <c r="C21" s="38">
        <v>24.1</v>
      </c>
      <c r="D21" s="38">
        <v>0.12</v>
      </c>
      <c r="E21" s="38">
        <v>0.124</v>
      </c>
      <c r="F21" s="38">
        <v>0.122</v>
      </c>
      <c r="G21" s="38">
        <v>0.113</v>
      </c>
      <c r="H21" s="38">
        <v>0.11600000000000001</v>
      </c>
      <c r="I21" s="38">
        <v>0.115</v>
      </c>
      <c r="J21" s="38">
        <v>0.105</v>
      </c>
      <c r="K21" s="38">
        <v>0.104</v>
      </c>
      <c r="M21" s="37">
        <v>0.2290972222222222</v>
      </c>
      <c r="N21" s="38">
        <v>0.14799999999999999</v>
      </c>
      <c r="O21" s="38">
        <v>0.14499999999999999</v>
      </c>
      <c r="P21" s="38">
        <v>0.14299999999999999</v>
      </c>
      <c r="Q21" s="38">
        <v>0.11799999999999999</v>
      </c>
      <c r="R21" s="38">
        <v>0.12</v>
      </c>
      <c r="S21" s="38">
        <v>0.12</v>
      </c>
      <c r="T21" s="38">
        <v>0.10299999999999999</v>
      </c>
      <c r="U21" s="38">
        <v>0.10299999999999999</v>
      </c>
      <c r="X21" s="37">
        <v>0.2290972222222222</v>
      </c>
      <c r="Y21" s="38">
        <v>9.6000000000000002E-2</v>
      </c>
      <c r="Z21" s="38">
        <v>9.0999999999999998E-2</v>
      </c>
      <c r="AA21" s="38">
        <v>9.0999999999999998E-2</v>
      </c>
      <c r="AB21" s="38">
        <v>9.0999999999999998E-2</v>
      </c>
      <c r="AC21" s="38">
        <v>0.09</v>
      </c>
      <c r="AD21" s="38">
        <v>9.0999999999999998E-2</v>
      </c>
      <c r="AE21" s="38">
        <v>0.104</v>
      </c>
      <c r="AF21" s="38">
        <v>0.10299999999999999</v>
      </c>
      <c r="AH21" s="37">
        <v>0.2290972222222222</v>
      </c>
      <c r="AI21" s="34">
        <v>0.12</v>
      </c>
      <c r="AJ21" s="34">
        <v>0.124</v>
      </c>
      <c r="AK21" s="34">
        <v>0.122</v>
      </c>
      <c r="AL21" s="35">
        <v>0.113</v>
      </c>
      <c r="AM21" s="35">
        <v>0.11600000000000001</v>
      </c>
      <c r="AN21" s="35">
        <v>0.115</v>
      </c>
    </row>
    <row r="22" spans="2:40" x14ac:dyDescent="0.25">
      <c r="B22" s="37">
        <v>0.24993055555555554</v>
      </c>
      <c r="C22" s="38">
        <v>24.2</v>
      </c>
      <c r="D22" s="38">
        <v>0.13500000000000001</v>
      </c>
      <c r="E22" s="38">
        <v>0.13600000000000001</v>
      </c>
      <c r="F22" s="38">
        <v>0.13300000000000001</v>
      </c>
      <c r="G22" s="38">
        <v>0.11700000000000001</v>
      </c>
      <c r="H22" s="38">
        <v>0.11600000000000001</v>
      </c>
      <c r="I22" s="38">
        <v>0.11899999999999999</v>
      </c>
      <c r="J22" s="38">
        <v>0.105</v>
      </c>
      <c r="K22" s="38">
        <v>0.104</v>
      </c>
      <c r="M22" s="37">
        <v>0.24993055555555554</v>
      </c>
      <c r="N22" s="38">
        <v>0.17100000000000001</v>
      </c>
      <c r="O22" s="38">
        <v>0.17</v>
      </c>
      <c r="P22" s="38">
        <v>0.16800000000000001</v>
      </c>
      <c r="Q22" s="38">
        <v>0.125</v>
      </c>
      <c r="R22" s="38">
        <v>0.127</v>
      </c>
      <c r="S22" s="38">
        <v>0.127</v>
      </c>
      <c r="T22" s="38">
        <v>0.10299999999999999</v>
      </c>
      <c r="U22" s="38">
        <v>0.10299999999999999</v>
      </c>
      <c r="X22" s="37">
        <v>0.24993055555555554</v>
      </c>
      <c r="Y22" s="38">
        <v>9.7000000000000003E-2</v>
      </c>
      <c r="Z22" s="38">
        <v>9.1999999999999998E-2</v>
      </c>
      <c r="AA22" s="38">
        <v>9.1999999999999998E-2</v>
      </c>
      <c r="AB22" s="38">
        <v>9.0999999999999998E-2</v>
      </c>
      <c r="AC22" s="38">
        <v>0.09</v>
      </c>
      <c r="AD22" s="38">
        <v>9.0999999999999998E-2</v>
      </c>
      <c r="AE22" s="38">
        <v>0.104</v>
      </c>
      <c r="AF22" s="38">
        <v>0.10299999999999999</v>
      </c>
      <c r="AH22" s="37">
        <v>0.24993055555555554</v>
      </c>
      <c r="AI22" s="34">
        <v>0.13500000000000001</v>
      </c>
      <c r="AJ22" s="34">
        <v>0.13600000000000001</v>
      </c>
      <c r="AK22" s="34">
        <v>0.13300000000000001</v>
      </c>
      <c r="AL22" s="35">
        <v>0.11700000000000001</v>
      </c>
      <c r="AM22" s="35">
        <v>0.11600000000000001</v>
      </c>
      <c r="AN22" s="35">
        <v>0.11899999999999999</v>
      </c>
    </row>
    <row r="23" spans="2:40" x14ac:dyDescent="0.25">
      <c r="B23" s="37">
        <v>0.27076388888888886</v>
      </c>
      <c r="C23" s="38">
        <v>24.4</v>
      </c>
      <c r="D23" s="38">
        <v>0.14799999999999999</v>
      </c>
      <c r="E23" s="38">
        <v>0.153</v>
      </c>
      <c r="F23" s="38">
        <v>0.15</v>
      </c>
      <c r="G23" s="38">
        <v>0.122</v>
      </c>
      <c r="H23" s="38">
        <v>0.121</v>
      </c>
      <c r="I23" s="38">
        <v>0.125</v>
      </c>
      <c r="J23" s="38">
        <v>0.105</v>
      </c>
      <c r="K23" s="38">
        <v>0.104</v>
      </c>
      <c r="M23" s="37">
        <v>0.27076388888888886</v>
      </c>
      <c r="N23" s="38">
        <v>0.20899999999999999</v>
      </c>
      <c r="O23" s="38">
        <v>0.20599999999999999</v>
      </c>
      <c r="P23" s="38">
        <v>0.20399999999999999</v>
      </c>
      <c r="Q23" s="38">
        <v>0.13400000000000001</v>
      </c>
      <c r="R23" s="38">
        <v>0.13700000000000001</v>
      </c>
      <c r="S23" s="38">
        <v>0.13700000000000001</v>
      </c>
      <c r="T23" s="38">
        <v>0.10299999999999999</v>
      </c>
      <c r="U23" s="38">
        <v>0.10299999999999999</v>
      </c>
      <c r="X23" s="37">
        <v>0.27076388888888886</v>
      </c>
      <c r="Y23" s="38">
        <v>9.8000000000000004E-2</v>
      </c>
      <c r="Z23" s="38">
        <v>9.2999999999999999E-2</v>
      </c>
      <c r="AA23" s="38">
        <v>9.2999999999999999E-2</v>
      </c>
      <c r="AB23" s="38">
        <v>9.1999999999999998E-2</v>
      </c>
      <c r="AC23" s="38">
        <v>9.0999999999999998E-2</v>
      </c>
      <c r="AD23" s="38">
        <v>9.0999999999999998E-2</v>
      </c>
      <c r="AE23" s="38">
        <v>0.104</v>
      </c>
      <c r="AF23" s="38">
        <v>0.10299999999999999</v>
      </c>
      <c r="AH23" s="37">
        <v>0.27076388888888886</v>
      </c>
      <c r="AI23" s="34">
        <v>0.14799999999999999</v>
      </c>
      <c r="AJ23" s="34">
        <v>0.153</v>
      </c>
      <c r="AK23" s="34">
        <v>0.15</v>
      </c>
      <c r="AL23" s="35">
        <v>0.122</v>
      </c>
      <c r="AM23" s="35">
        <v>0.121</v>
      </c>
      <c r="AN23" s="35">
        <v>0.125</v>
      </c>
    </row>
    <row r="24" spans="2:40" x14ac:dyDescent="0.25">
      <c r="B24" s="37">
        <v>0.29159722222222223</v>
      </c>
      <c r="C24" s="38">
        <v>24.4</v>
      </c>
      <c r="D24" s="38">
        <v>0.17299999999999999</v>
      </c>
      <c r="E24" s="38">
        <v>0.18099999999999999</v>
      </c>
      <c r="F24" s="38">
        <v>0.17699999999999999</v>
      </c>
      <c r="G24" s="38">
        <v>0.13</v>
      </c>
      <c r="H24" s="38">
        <v>0.129</v>
      </c>
      <c r="I24" s="38">
        <v>0.13300000000000001</v>
      </c>
      <c r="J24" s="38">
        <v>0.105</v>
      </c>
      <c r="K24" s="38">
        <v>0.104</v>
      </c>
      <c r="M24" s="37">
        <v>0.29159722222222223</v>
      </c>
      <c r="N24" s="38">
        <v>0.26400000000000001</v>
      </c>
      <c r="O24" s="38">
        <v>0.25800000000000001</v>
      </c>
      <c r="P24" s="38">
        <v>0.25900000000000001</v>
      </c>
      <c r="Q24" s="38">
        <v>0.14599999999999999</v>
      </c>
      <c r="R24" s="38">
        <v>0.14899999999999999</v>
      </c>
      <c r="S24" s="38">
        <v>0.151</v>
      </c>
      <c r="T24" s="38">
        <v>0.10299999999999999</v>
      </c>
      <c r="U24" s="38">
        <v>0.10299999999999999</v>
      </c>
      <c r="X24" s="37">
        <v>0.29159722222222223</v>
      </c>
      <c r="Y24" s="38">
        <v>0.1</v>
      </c>
      <c r="Z24" s="38">
        <v>9.5000000000000001E-2</v>
      </c>
      <c r="AA24" s="38">
        <v>9.6000000000000002E-2</v>
      </c>
      <c r="AB24" s="38">
        <v>9.1999999999999998E-2</v>
      </c>
      <c r="AC24" s="38">
        <v>9.0999999999999998E-2</v>
      </c>
      <c r="AD24" s="38">
        <v>9.1999999999999998E-2</v>
      </c>
      <c r="AE24" s="38">
        <v>0.104</v>
      </c>
      <c r="AF24" s="38">
        <v>0.10299999999999999</v>
      </c>
      <c r="AH24" s="37">
        <v>0.29159722222222223</v>
      </c>
      <c r="AI24" s="34">
        <v>0.17299999999999999</v>
      </c>
      <c r="AJ24" s="34">
        <v>0.18099999999999999</v>
      </c>
      <c r="AK24" s="34">
        <v>0.17699999999999999</v>
      </c>
      <c r="AL24" s="35">
        <v>0.13</v>
      </c>
      <c r="AM24" s="35">
        <v>0.129</v>
      </c>
      <c r="AN24" s="35">
        <v>0.13300000000000001</v>
      </c>
    </row>
    <row r="25" spans="2:40" x14ac:dyDescent="0.25">
      <c r="B25" s="37">
        <v>0.31243055555555554</v>
      </c>
      <c r="C25" s="38">
        <v>24.4</v>
      </c>
      <c r="D25" s="38">
        <v>0.214</v>
      </c>
      <c r="E25" s="38">
        <v>0.22600000000000001</v>
      </c>
      <c r="F25" s="38">
        <v>0.219</v>
      </c>
      <c r="G25" s="38">
        <v>0.14000000000000001</v>
      </c>
      <c r="H25" s="38">
        <v>0.13900000000000001</v>
      </c>
      <c r="I25" s="38">
        <v>0.14399999999999999</v>
      </c>
      <c r="J25" s="38">
        <v>0.106</v>
      </c>
      <c r="K25" s="38">
        <v>0.104</v>
      </c>
      <c r="M25" s="37">
        <v>0.31243055555555554</v>
      </c>
      <c r="N25" s="38">
        <v>0.34300000000000003</v>
      </c>
      <c r="O25" s="38">
        <v>0.32900000000000001</v>
      </c>
      <c r="P25" s="38">
        <v>0.32800000000000001</v>
      </c>
      <c r="Q25" s="38">
        <v>0.16300000000000001</v>
      </c>
      <c r="R25" s="38">
        <v>0.16900000000000001</v>
      </c>
      <c r="S25" s="38">
        <v>0.17</v>
      </c>
      <c r="T25" s="38">
        <v>0.10299999999999999</v>
      </c>
      <c r="U25" s="38">
        <v>0.10299999999999999</v>
      </c>
      <c r="X25" s="37">
        <v>0.31243055555555554</v>
      </c>
      <c r="Y25" s="38">
        <v>0.10299999999999999</v>
      </c>
      <c r="Z25" s="38">
        <v>9.8000000000000004E-2</v>
      </c>
      <c r="AA25" s="38">
        <v>9.9000000000000005E-2</v>
      </c>
      <c r="AB25" s="38">
        <v>9.2999999999999999E-2</v>
      </c>
      <c r="AC25" s="38">
        <v>9.1999999999999998E-2</v>
      </c>
      <c r="AD25" s="38">
        <v>9.1999999999999998E-2</v>
      </c>
      <c r="AE25" s="38">
        <v>0.104</v>
      </c>
      <c r="AF25" s="38">
        <v>0.10299999999999999</v>
      </c>
      <c r="AH25" s="37">
        <v>0.31243055555555554</v>
      </c>
      <c r="AI25" s="34">
        <v>0.214</v>
      </c>
      <c r="AJ25" s="34">
        <v>0.22600000000000001</v>
      </c>
      <c r="AK25" s="34">
        <v>0.219</v>
      </c>
      <c r="AL25" s="35">
        <v>0.14000000000000001</v>
      </c>
      <c r="AM25" s="35">
        <v>0.13900000000000001</v>
      </c>
      <c r="AN25" s="35">
        <v>0.14399999999999999</v>
      </c>
    </row>
    <row r="26" spans="2:40" x14ac:dyDescent="0.25">
      <c r="B26" s="37">
        <v>0.33326388888888886</v>
      </c>
      <c r="C26" s="38">
        <v>24.4</v>
      </c>
      <c r="D26" s="38">
        <v>0.27100000000000002</v>
      </c>
      <c r="E26" s="38">
        <v>0.29299999999999998</v>
      </c>
      <c r="F26" s="38">
        <v>0.28199999999999997</v>
      </c>
      <c r="G26" s="38">
        <v>0.154</v>
      </c>
      <c r="H26" s="38">
        <v>0.154</v>
      </c>
      <c r="I26" s="38">
        <v>0.161</v>
      </c>
      <c r="J26" s="38">
        <v>0.104</v>
      </c>
      <c r="K26" s="38">
        <v>0.104</v>
      </c>
      <c r="M26" s="37">
        <v>0.33326388888888886</v>
      </c>
      <c r="N26" s="38">
        <v>0.42299999999999999</v>
      </c>
      <c r="O26" s="38">
        <v>0.42199999999999999</v>
      </c>
      <c r="P26" s="38">
        <v>0.41499999999999998</v>
      </c>
      <c r="Q26" s="38">
        <v>0.188</v>
      </c>
      <c r="R26" s="38">
        <v>0.193</v>
      </c>
      <c r="S26" s="38">
        <v>0.19500000000000001</v>
      </c>
      <c r="T26" s="38">
        <v>0.10299999999999999</v>
      </c>
      <c r="U26" s="38">
        <v>0.10299999999999999</v>
      </c>
      <c r="X26" s="37">
        <v>0.33326388888888886</v>
      </c>
      <c r="Y26" s="38">
        <v>0.108</v>
      </c>
      <c r="Z26" s="38">
        <v>0.10299999999999999</v>
      </c>
      <c r="AA26" s="38">
        <v>0.10299999999999999</v>
      </c>
      <c r="AB26" s="38">
        <v>9.4E-2</v>
      </c>
      <c r="AC26" s="38">
        <v>9.2999999999999999E-2</v>
      </c>
      <c r="AD26" s="38">
        <v>9.2999999999999999E-2</v>
      </c>
      <c r="AE26" s="38">
        <v>0.104</v>
      </c>
      <c r="AF26" s="38">
        <v>0.10299999999999999</v>
      </c>
      <c r="AH26" s="37">
        <v>0.33326388888888886</v>
      </c>
      <c r="AI26" s="34">
        <v>0.27100000000000002</v>
      </c>
      <c r="AJ26" s="34">
        <v>0.29299999999999998</v>
      </c>
      <c r="AK26" s="34">
        <v>0.28199999999999997</v>
      </c>
      <c r="AL26" s="35">
        <v>0.154</v>
      </c>
      <c r="AM26" s="35">
        <v>0.154</v>
      </c>
      <c r="AN26" s="35">
        <v>0.161</v>
      </c>
    </row>
    <row r="27" spans="2:40" x14ac:dyDescent="0.25">
      <c r="B27" s="37">
        <v>0.35409722222222223</v>
      </c>
      <c r="C27" s="38">
        <v>24.3</v>
      </c>
      <c r="D27" s="38">
        <v>0.34699999999999998</v>
      </c>
      <c r="E27" s="38">
        <v>0.373</v>
      </c>
      <c r="F27" s="38">
        <v>0.35799999999999998</v>
      </c>
      <c r="G27" s="38">
        <v>0.17399999999999999</v>
      </c>
      <c r="H27" s="38">
        <v>0.17899999999999999</v>
      </c>
      <c r="I27" s="38">
        <v>0.183</v>
      </c>
      <c r="J27" s="38">
        <v>0.104</v>
      </c>
      <c r="K27" s="38">
        <v>0.104</v>
      </c>
      <c r="M27" s="37">
        <v>0.35409722222222223</v>
      </c>
      <c r="N27" s="38">
        <v>0.52100000000000002</v>
      </c>
      <c r="O27" s="38">
        <v>0.51600000000000001</v>
      </c>
      <c r="P27" s="38">
        <v>0.51</v>
      </c>
      <c r="Q27" s="38">
        <v>0.218</v>
      </c>
      <c r="R27" s="38">
        <v>0.22600000000000001</v>
      </c>
      <c r="S27" s="38">
        <v>0.23</v>
      </c>
      <c r="T27" s="38">
        <v>0.10299999999999999</v>
      </c>
      <c r="U27" s="38">
        <v>0.10299999999999999</v>
      </c>
      <c r="X27" s="37">
        <v>0.35409722222222223</v>
      </c>
      <c r="Y27" s="38">
        <v>0.114</v>
      </c>
      <c r="Z27" s="38">
        <v>0.109</v>
      </c>
      <c r="AA27" s="38">
        <v>0.109</v>
      </c>
      <c r="AB27" s="38">
        <v>9.6000000000000002E-2</v>
      </c>
      <c r="AC27" s="38">
        <v>9.4E-2</v>
      </c>
      <c r="AD27" s="38">
        <v>9.4E-2</v>
      </c>
      <c r="AE27" s="38">
        <v>0.104</v>
      </c>
      <c r="AF27" s="38">
        <v>0.10299999999999999</v>
      </c>
      <c r="AH27" s="37">
        <v>0.35409722222222223</v>
      </c>
      <c r="AI27" s="34">
        <v>0.34699999999999998</v>
      </c>
      <c r="AJ27" s="34">
        <v>0.373</v>
      </c>
      <c r="AK27" s="34">
        <v>0.35799999999999998</v>
      </c>
      <c r="AL27" s="35">
        <v>0.17399999999999999</v>
      </c>
      <c r="AM27" s="35">
        <v>0.17899999999999999</v>
      </c>
      <c r="AN27" s="35">
        <v>0.183</v>
      </c>
    </row>
    <row r="28" spans="2:40" x14ac:dyDescent="0.25">
      <c r="B28" s="37">
        <v>0.37493055555555554</v>
      </c>
      <c r="C28" s="38">
        <v>24.3</v>
      </c>
      <c r="D28" s="38">
        <v>0.438</v>
      </c>
      <c r="E28" s="38">
        <v>0.46300000000000002</v>
      </c>
      <c r="F28" s="38">
        <v>0.44600000000000001</v>
      </c>
      <c r="G28" s="38">
        <v>0.20200000000000001</v>
      </c>
      <c r="H28" s="38">
        <v>0.20399999999999999</v>
      </c>
      <c r="I28" s="38">
        <v>0.214</v>
      </c>
      <c r="J28" s="38">
        <v>0.105</v>
      </c>
      <c r="K28" s="38">
        <v>0.104</v>
      </c>
      <c r="M28" s="37">
        <v>0.37493055555555554</v>
      </c>
      <c r="N28" s="38">
        <v>0.65700000000000003</v>
      </c>
      <c r="O28" s="38">
        <v>0.63700000000000001</v>
      </c>
      <c r="P28" s="38">
        <v>0.63900000000000001</v>
      </c>
      <c r="Q28" s="38">
        <v>0.26300000000000001</v>
      </c>
      <c r="R28" s="38">
        <v>0.27100000000000002</v>
      </c>
      <c r="S28" s="38">
        <v>0.27900000000000003</v>
      </c>
      <c r="T28" s="38">
        <v>0.10299999999999999</v>
      </c>
      <c r="U28" s="38">
        <v>0.10299999999999999</v>
      </c>
      <c r="X28" s="37">
        <v>0.37493055555555554</v>
      </c>
      <c r="Y28" s="38">
        <v>0.124</v>
      </c>
      <c r="Z28" s="38">
        <v>0.11899999999999999</v>
      </c>
      <c r="AA28" s="38">
        <v>0.11899999999999999</v>
      </c>
      <c r="AB28" s="38">
        <v>9.8000000000000004E-2</v>
      </c>
      <c r="AC28" s="38">
        <v>9.6000000000000002E-2</v>
      </c>
      <c r="AD28" s="38">
        <v>9.6000000000000002E-2</v>
      </c>
      <c r="AE28" s="38">
        <v>0.104</v>
      </c>
      <c r="AF28" s="38">
        <v>0.10299999999999999</v>
      </c>
      <c r="AH28" s="37">
        <v>0.37493055555555554</v>
      </c>
      <c r="AI28" s="34">
        <v>0.438</v>
      </c>
      <c r="AJ28" s="34">
        <v>0.46300000000000002</v>
      </c>
      <c r="AK28" s="34">
        <v>0.44600000000000001</v>
      </c>
      <c r="AL28" s="35">
        <v>0.20200000000000001</v>
      </c>
      <c r="AM28" s="35">
        <v>0.20399999999999999</v>
      </c>
      <c r="AN28" s="35">
        <v>0.214</v>
      </c>
    </row>
    <row r="29" spans="2:40" x14ac:dyDescent="0.25">
      <c r="B29" s="37">
        <v>0.39576388888888886</v>
      </c>
      <c r="C29" s="38">
        <v>24.3</v>
      </c>
      <c r="D29" s="38">
        <v>0.54100000000000004</v>
      </c>
      <c r="E29" s="38">
        <v>0.57799999999999996</v>
      </c>
      <c r="F29" s="38">
        <v>0.55200000000000005</v>
      </c>
      <c r="G29" s="38">
        <v>0.24199999999999999</v>
      </c>
      <c r="H29" s="38">
        <v>0.24399999999999999</v>
      </c>
      <c r="I29" s="38">
        <v>0.25700000000000001</v>
      </c>
      <c r="J29" s="38">
        <v>0.104</v>
      </c>
      <c r="K29" s="38">
        <v>0.104</v>
      </c>
      <c r="M29" s="37">
        <v>0.39576388888888886</v>
      </c>
      <c r="N29" s="38">
        <v>0.83199999999999996</v>
      </c>
      <c r="O29" s="38">
        <v>0.81299999999999994</v>
      </c>
      <c r="P29" s="38">
        <v>0.81399999999999995</v>
      </c>
      <c r="Q29" s="38">
        <v>0.316</v>
      </c>
      <c r="R29" s="38">
        <v>0.32500000000000001</v>
      </c>
      <c r="S29" s="38">
        <v>0.33600000000000002</v>
      </c>
      <c r="T29" s="38">
        <v>0.10299999999999999</v>
      </c>
      <c r="U29" s="38">
        <v>0.10299999999999999</v>
      </c>
      <c r="X29" s="37">
        <v>0.39576388888888886</v>
      </c>
      <c r="Y29" s="38">
        <v>0.13800000000000001</v>
      </c>
      <c r="Z29" s="38">
        <v>0.13400000000000001</v>
      </c>
      <c r="AA29" s="38">
        <v>0.13300000000000001</v>
      </c>
      <c r="AB29" s="38">
        <v>0.1</v>
      </c>
      <c r="AC29" s="38">
        <v>9.8000000000000004E-2</v>
      </c>
      <c r="AD29" s="38">
        <v>0.1</v>
      </c>
      <c r="AE29" s="38">
        <v>0.104</v>
      </c>
      <c r="AF29" s="38">
        <v>0.10299999999999999</v>
      </c>
      <c r="AH29" s="37">
        <v>0.39576388888888886</v>
      </c>
      <c r="AI29" s="34">
        <v>0.54100000000000004</v>
      </c>
      <c r="AJ29" s="34">
        <v>0.57799999999999996</v>
      </c>
      <c r="AK29" s="34">
        <v>0.55200000000000005</v>
      </c>
      <c r="AL29" s="35">
        <v>0.24199999999999999</v>
      </c>
      <c r="AM29" s="35">
        <v>0.24399999999999999</v>
      </c>
      <c r="AN29" s="35">
        <v>0.25700000000000001</v>
      </c>
    </row>
    <row r="30" spans="2:40" x14ac:dyDescent="0.25">
      <c r="B30" s="37">
        <v>0.41659722222222223</v>
      </c>
      <c r="C30" s="38">
        <v>24.3</v>
      </c>
      <c r="D30" s="38">
        <v>0.67700000000000005</v>
      </c>
      <c r="E30" s="38">
        <v>0.71599999999999997</v>
      </c>
      <c r="F30" s="38">
        <v>0.69499999999999995</v>
      </c>
      <c r="G30" s="38">
        <v>0.29599999999999999</v>
      </c>
      <c r="H30" s="38">
        <v>0.29899999999999999</v>
      </c>
      <c r="I30" s="38">
        <v>0.313</v>
      </c>
      <c r="J30" s="38">
        <v>0.104</v>
      </c>
      <c r="K30" s="38">
        <v>0.104</v>
      </c>
      <c r="M30" s="37">
        <v>0.41659722222222223</v>
      </c>
      <c r="N30" s="38">
        <v>0.98499999999999999</v>
      </c>
      <c r="O30" s="38">
        <v>0.97199999999999998</v>
      </c>
      <c r="P30" s="38">
        <v>0.97499999999999998</v>
      </c>
      <c r="Q30" s="38">
        <v>0.38100000000000001</v>
      </c>
      <c r="R30" s="38">
        <v>0.39</v>
      </c>
      <c r="S30" s="38">
        <v>0.40200000000000002</v>
      </c>
      <c r="T30" s="38">
        <v>0.10299999999999999</v>
      </c>
      <c r="U30" s="38">
        <v>0.10299999999999999</v>
      </c>
      <c r="X30" s="37">
        <v>0.41659722222222223</v>
      </c>
      <c r="Y30" s="38">
        <v>0.158</v>
      </c>
      <c r="Z30" s="38">
        <v>0.153</v>
      </c>
      <c r="AA30" s="38">
        <v>0.151</v>
      </c>
      <c r="AB30" s="38">
        <v>0.104</v>
      </c>
      <c r="AC30" s="38">
        <v>0.10100000000000001</v>
      </c>
      <c r="AD30" s="38">
        <v>0.10199999999999999</v>
      </c>
      <c r="AE30" s="38">
        <v>0.104</v>
      </c>
      <c r="AF30" s="38">
        <v>0.10299999999999999</v>
      </c>
      <c r="AH30" s="37">
        <v>0.41659722222222223</v>
      </c>
      <c r="AI30" s="34">
        <v>0.67700000000000005</v>
      </c>
      <c r="AJ30" s="34">
        <v>0.71599999999999997</v>
      </c>
      <c r="AK30" s="34">
        <v>0.69499999999999995</v>
      </c>
      <c r="AL30" s="35">
        <v>0.29599999999999999</v>
      </c>
      <c r="AM30" s="35">
        <v>0.29899999999999999</v>
      </c>
      <c r="AN30" s="35">
        <v>0.313</v>
      </c>
    </row>
    <row r="31" spans="2:40" x14ac:dyDescent="0.25">
      <c r="B31" s="37">
        <v>0.43743055555555554</v>
      </c>
      <c r="C31" s="38">
        <v>24.3</v>
      </c>
      <c r="D31" s="38">
        <v>0.85799999999999998</v>
      </c>
      <c r="E31" s="38">
        <v>0.89800000000000002</v>
      </c>
      <c r="F31" s="38">
        <v>0.875</v>
      </c>
      <c r="G31" s="38">
        <v>0.35499999999999998</v>
      </c>
      <c r="H31" s="38">
        <v>0.36399999999999999</v>
      </c>
      <c r="I31" s="38">
        <v>0.38</v>
      </c>
      <c r="J31" s="38">
        <v>0.104</v>
      </c>
      <c r="K31" s="38">
        <v>0.104</v>
      </c>
      <c r="M31" s="37">
        <v>0.43743055555555554</v>
      </c>
      <c r="N31" s="38">
        <v>1.1739999999999999</v>
      </c>
      <c r="O31" s="38">
        <v>1.1639999999999999</v>
      </c>
      <c r="P31" s="38">
        <v>1.169</v>
      </c>
      <c r="Q31" s="38">
        <v>0.44700000000000001</v>
      </c>
      <c r="R31" s="38">
        <v>0.45700000000000002</v>
      </c>
      <c r="S31" s="38">
        <v>0.47099999999999997</v>
      </c>
      <c r="T31" s="38">
        <v>0.10299999999999999</v>
      </c>
      <c r="U31" s="38">
        <v>0.10299999999999999</v>
      </c>
      <c r="X31" s="37">
        <v>0.43743055555555554</v>
      </c>
      <c r="Y31" s="38">
        <v>0.182</v>
      </c>
      <c r="Z31" s="38">
        <v>0.17799999999999999</v>
      </c>
      <c r="AA31" s="38">
        <v>0.17799999999999999</v>
      </c>
      <c r="AB31" s="38">
        <v>0.109</v>
      </c>
      <c r="AC31" s="38">
        <v>0.105</v>
      </c>
      <c r="AD31" s="38">
        <v>0.107</v>
      </c>
      <c r="AE31" s="38">
        <v>0.104</v>
      </c>
      <c r="AF31" s="38">
        <v>0.10299999999999999</v>
      </c>
      <c r="AH31" s="37">
        <v>0.43743055555555554</v>
      </c>
      <c r="AI31" s="34">
        <v>0.85799999999999998</v>
      </c>
      <c r="AJ31" s="34">
        <v>0.89800000000000002</v>
      </c>
      <c r="AK31" s="34">
        <v>0.875</v>
      </c>
      <c r="AL31" s="35">
        <v>0.35499999999999998</v>
      </c>
      <c r="AM31" s="35">
        <v>0.36399999999999999</v>
      </c>
      <c r="AN31" s="35">
        <v>0.38</v>
      </c>
    </row>
    <row r="32" spans="2:40" x14ac:dyDescent="0.25">
      <c r="B32" s="37">
        <v>0.45826388888888886</v>
      </c>
      <c r="C32" s="38">
        <v>24.3</v>
      </c>
      <c r="D32" s="38">
        <v>1.034</v>
      </c>
      <c r="E32" s="38">
        <v>1.075</v>
      </c>
      <c r="F32" s="38">
        <v>1.052</v>
      </c>
      <c r="G32" s="38">
        <v>0.42899999999999999</v>
      </c>
      <c r="H32" s="38">
        <v>0.432</v>
      </c>
      <c r="I32" s="38">
        <v>0.44800000000000001</v>
      </c>
      <c r="J32" s="38">
        <v>0.105</v>
      </c>
      <c r="K32" s="38">
        <v>0.104</v>
      </c>
      <c r="M32" s="37">
        <v>0.45826388888888886</v>
      </c>
      <c r="N32" s="38">
        <v>1.3440000000000001</v>
      </c>
      <c r="O32" s="38">
        <v>1.3129999999999999</v>
      </c>
      <c r="P32" s="38">
        <v>1.323</v>
      </c>
      <c r="Q32" s="38">
        <v>0.53900000000000003</v>
      </c>
      <c r="R32" s="38">
        <v>0.53900000000000003</v>
      </c>
      <c r="S32" s="38">
        <v>0.55800000000000005</v>
      </c>
      <c r="T32" s="38">
        <v>0.10299999999999999</v>
      </c>
      <c r="U32" s="38">
        <v>0.10299999999999999</v>
      </c>
      <c r="X32" s="37">
        <v>0.45826388888888886</v>
      </c>
      <c r="Y32" s="38">
        <v>0.20899999999999999</v>
      </c>
      <c r="Z32" s="38">
        <v>0.20599999999999999</v>
      </c>
      <c r="AA32" s="38">
        <v>0.20599999999999999</v>
      </c>
      <c r="AB32" s="38">
        <v>0.115</v>
      </c>
      <c r="AC32" s="38">
        <v>0.11</v>
      </c>
      <c r="AD32" s="38">
        <v>0.111</v>
      </c>
      <c r="AE32" s="38">
        <v>0.104</v>
      </c>
      <c r="AF32" s="38">
        <v>0.10299999999999999</v>
      </c>
      <c r="AH32" s="37">
        <v>0.45826388888888886</v>
      </c>
      <c r="AI32" s="34">
        <v>1.034</v>
      </c>
      <c r="AJ32" s="34">
        <v>1.075</v>
      </c>
      <c r="AK32" s="34">
        <v>1.052</v>
      </c>
      <c r="AL32" s="35">
        <v>0.42899999999999999</v>
      </c>
      <c r="AM32" s="35">
        <v>0.432</v>
      </c>
      <c r="AN32" s="35">
        <v>0.44800000000000001</v>
      </c>
    </row>
    <row r="33" spans="2:40" x14ac:dyDescent="0.25">
      <c r="B33" s="37">
        <v>0.47909722222222223</v>
      </c>
      <c r="C33" s="38">
        <v>24.3</v>
      </c>
      <c r="D33" s="38">
        <v>1.206</v>
      </c>
      <c r="E33" s="38">
        <v>1.258</v>
      </c>
      <c r="F33" s="38">
        <v>1.2290000000000001</v>
      </c>
      <c r="G33" s="38">
        <v>0.50700000000000001</v>
      </c>
      <c r="H33" s="38">
        <v>0.51500000000000001</v>
      </c>
      <c r="I33" s="38">
        <v>0.53</v>
      </c>
      <c r="J33" s="38">
        <v>0.105</v>
      </c>
      <c r="K33" s="38">
        <v>0.104</v>
      </c>
      <c r="M33" s="37">
        <v>0.47909722222222223</v>
      </c>
      <c r="N33" s="38">
        <v>1.4830000000000001</v>
      </c>
      <c r="O33" s="38">
        <v>1.474</v>
      </c>
      <c r="P33" s="38">
        <v>1.4850000000000001</v>
      </c>
      <c r="Q33" s="38">
        <v>0.64</v>
      </c>
      <c r="R33" s="38">
        <v>0.64300000000000002</v>
      </c>
      <c r="S33" s="38">
        <v>0.67</v>
      </c>
      <c r="T33" s="38">
        <v>0.10299999999999999</v>
      </c>
      <c r="U33" s="38">
        <v>0.10299999999999999</v>
      </c>
      <c r="X33" s="37">
        <v>0.47909722222222223</v>
      </c>
      <c r="Y33" s="38">
        <v>0.24399999999999999</v>
      </c>
      <c r="Z33" s="38">
        <v>0.24</v>
      </c>
      <c r="AA33" s="38">
        <v>0.24099999999999999</v>
      </c>
      <c r="AB33" s="38">
        <v>0.123</v>
      </c>
      <c r="AC33" s="38">
        <v>0.11700000000000001</v>
      </c>
      <c r="AD33" s="38">
        <v>0.11899999999999999</v>
      </c>
      <c r="AE33" s="38">
        <v>0.104</v>
      </c>
      <c r="AF33" s="38">
        <v>0.10299999999999999</v>
      </c>
      <c r="AH33" s="37">
        <v>0.47909722222222223</v>
      </c>
      <c r="AI33" s="34">
        <v>1.206</v>
      </c>
      <c r="AJ33" s="34">
        <v>1.258</v>
      </c>
      <c r="AK33" s="34">
        <v>1.2290000000000001</v>
      </c>
      <c r="AL33" s="35">
        <v>0.50700000000000001</v>
      </c>
      <c r="AM33" s="35">
        <v>0.51500000000000001</v>
      </c>
      <c r="AN33" s="35">
        <v>0.53</v>
      </c>
    </row>
    <row r="34" spans="2:40" x14ac:dyDescent="0.25">
      <c r="B34" s="37">
        <v>0.49993055555555554</v>
      </c>
      <c r="C34" s="38">
        <v>24.3</v>
      </c>
      <c r="D34" s="38">
        <v>1.407</v>
      </c>
      <c r="E34" s="38">
        <v>1.456</v>
      </c>
      <c r="F34" s="38">
        <v>1.429</v>
      </c>
      <c r="G34" s="38">
        <v>0.60499999999999998</v>
      </c>
      <c r="H34" s="38">
        <v>0.61599999999999999</v>
      </c>
      <c r="I34" s="38">
        <v>0.63300000000000001</v>
      </c>
      <c r="J34" s="38">
        <v>0.105</v>
      </c>
      <c r="K34" s="38">
        <v>0.10299999999999999</v>
      </c>
      <c r="M34" s="37">
        <v>0.49993055555555554</v>
      </c>
      <c r="N34" s="38">
        <v>1.591</v>
      </c>
      <c r="O34" s="38">
        <v>1.5840000000000001</v>
      </c>
      <c r="P34" s="38">
        <v>1.5960000000000001</v>
      </c>
      <c r="Q34" s="38">
        <v>0.76800000000000002</v>
      </c>
      <c r="R34" s="38">
        <v>0.77</v>
      </c>
      <c r="S34" s="38">
        <v>0.80100000000000005</v>
      </c>
      <c r="T34" s="38">
        <v>0.10299999999999999</v>
      </c>
      <c r="U34" s="38">
        <v>0.10299999999999999</v>
      </c>
      <c r="X34" s="37">
        <v>0.49993055555555554</v>
      </c>
      <c r="Y34" s="38">
        <v>0.29199999999999998</v>
      </c>
      <c r="Z34" s="38">
        <v>0.28599999999999998</v>
      </c>
      <c r="AA34" s="38">
        <v>0.28899999999999998</v>
      </c>
      <c r="AB34" s="38">
        <v>0.13400000000000001</v>
      </c>
      <c r="AC34" s="38">
        <v>0.127</v>
      </c>
      <c r="AD34" s="38">
        <v>0.129</v>
      </c>
      <c r="AE34" s="38">
        <v>0.10299999999999999</v>
      </c>
      <c r="AF34" s="38">
        <v>0.10299999999999999</v>
      </c>
      <c r="AH34" s="37">
        <v>0.49993055555555554</v>
      </c>
      <c r="AI34" s="34">
        <v>1.407</v>
      </c>
      <c r="AJ34" s="34">
        <v>1.456</v>
      </c>
      <c r="AK34" s="34">
        <v>1.429</v>
      </c>
      <c r="AL34" s="35">
        <v>0.60499999999999998</v>
      </c>
      <c r="AM34" s="35">
        <v>0.61599999999999999</v>
      </c>
      <c r="AN34" s="35">
        <v>0.63300000000000001</v>
      </c>
    </row>
    <row r="35" spans="2:40" x14ac:dyDescent="0.25">
      <c r="B35" s="37">
        <v>0.52076388888888892</v>
      </c>
      <c r="C35" s="38">
        <v>24.3</v>
      </c>
      <c r="D35" s="38">
        <v>1.536</v>
      </c>
      <c r="E35" s="38">
        <v>1.5860000000000001</v>
      </c>
      <c r="F35" s="38">
        <v>1.5549999999999999</v>
      </c>
      <c r="G35" s="38">
        <v>0.72699999999999998</v>
      </c>
      <c r="H35" s="38">
        <v>0.74099999999999999</v>
      </c>
      <c r="I35" s="38">
        <v>0.76100000000000001</v>
      </c>
      <c r="J35" s="38">
        <v>0.105</v>
      </c>
      <c r="K35" s="38">
        <v>0.104</v>
      </c>
      <c r="M35" s="37">
        <v>0.52076388888888892</v>
      </c>
      <c r="N35" s="38">
        <v>1.6890000000000001</v>
      </c>
      <c r="O35" s="38">
        <v>1.681</v>
      </c>
      <c r="P35" s="38">
        <v>1.698</v>
      </c>
      <c r="Q35" s="38">
        <v>0.88</v>
      </c>
      <c r="R35" s="38">
        <v>0.88900000000000001</v>
      </c>
      <c r="S35" s="38">
        <v>0.91900000000000004</v>
      </c>
      <c r="T35" s="38">
        <v>0.10299999999999999</v>
      </c>
      <c r="U35" s="38">
        <v>0.10299999999999999</v>
      </c>
      <c r="X35" s="37">
        <v>0.52076388888888892</v>
      </c>
      <c r="Y35" s="38">
        <v>0.36</v>
      </c>
      <c r="Z35" s="38">
        <v>0.35499999999999998</v>
      </c>
      <c r="AA35" s="38">
        <v>0.35599999999999998</v>
      </c>
      <c r="AB35" s="38">
        <v>0.14799999999999999</v>
      </c>
      <c r="AC35" s="38">
        <v>0.13900000000000001</v>
      </c>
      <c r="AD35" s="38">
        <v>0.14299999999999999</v>
      </c>
      <c r="AE35" s="38">
        <v>0.104</v>
      </c>
      <c r="AF35" s="38">
        <v>0.10299999999999999</v>
      </c>
      <c r="AH35" s="37">
        <v>0.52076388888888892</v>
      </c>
      <c r="AI35" s="34">
        <v>1.536</v>
      </c>
      <c r="AJ35" s="34">
        <v>1.5860000000000001</v>
      </c>
      <c r="AK35" s="34">
        <v>1.5549999999999999</v>
      </c>
      <c r="AL35" s="35">
        <v>0.72699999999999998</v>
      </c>
      <c r="AM35" s="35">
        <v>0.74099999999999999</v>
      </c>
      <c r="AN35" s="35">
        <v>0.76100000000000001</v>
      </c>
    </row>
    <row r="36" spans="2:40" x14ac:dyDescent="0.25">
      <c r="B36" s="37">
        <v>0.54159722222222217</v>
      </c>
      <c r="C36" s="38">
        <v>24.3</v>
      </c>
      <c r="D36" s="38">
        <v>1.64</v>
      </c>
      <c r="E36" s="38">
        <v>1.6950000000000001</v>
      </c>
      <c r="F36" s="38">
        <v>1.657</v>
      </c>
      <c r="G36" s="38">
        <v>0.88600000000000001</v>
      </c>
      <c r="H36" s="38">
        <v>0.89200000000000002</v>
      </c>
      <c r="I36" s="38">
        <v>0.91600000000000004</v>
      </c>
      <c r="J36" s="38">
        <v>0.104</v>
      </c>
      <c r="K36" s="38">
        <v>0.104</v>
      </c>
      <c r="M36" s="37">
        <v>0.54159722222222217</v>
      </c>
      <c r="N36" s="38">
        <v>1.796</v>
      </c>
      <c r="O36" s="38">
        <v>1.7909999999999999</v>
      </c>
      <c r="P36" s="38">
        <v>1.8080000000000001</v>
      </c>
      <c r="Q36" s="38">
        <v>1.0009999999999999</v>
      </c>
      <c r="R36" s="38">
        <v>1.012</v>
      </c>
      <c r="S36" s="38">
        <v>1.046</v>
      </c>
      <c r="T36" s="38">
        <v>0.10299999999999999</v>
      </c>
      <c r="U36" s="38">
        <v>0.10299999999999999</v>
      </c>
      <c r="X36" s="37">
        <v>0.54159722222222217</v>
      </c>
      <c r="Y36" s="38">
        <v>0.42899999999999999</v>
      </c>
      <c r="Z36" s="38">
        <v>0.42699999999999999</v>
      </c>
      <c r="AA36" s="38">
        <v>0.42599999999999999</v>
      </c>
      <c r="AB36" s="38">
        <v>0.16700000000000001</v>
      </c>
      <c r="AC36" s="38">
        <v>0.154</v>
      </c>
      <c r="AD36" s="38">
        <v>0.161</v>
      </c>
      <c r="AE36" s="38">
        <v>0.104</v>
      </c>
      <c r="AF36" s="38">
        <v>0.10299999999999999</v>
      </c>
      <c r="AH36" s="37">
        <v>0.54159722222222217</v>
      </c>
      <c r="AI36" s="34">
        <v>1.64</v>
      </c>
      <c r="AJ36" s="34">
        <v>1.6950000000000001</v>
      </c>
      <c r="AK36" s="34">
        <v>1.657</v>
      </c>
      <c r="AL36" s="35">
        <v>0.88600000000000001</v>
      </c>
      <c r="AM36" s="35">
        <v>0.89200000000000002</v>
      </c>
      <c r="AN36" s="35">
        <v>0.91600000000000004</v>
      </c>
    </row>
    <row r="37" spans="2:40" x14ac:dyDescent="0.25">
      <c r="B37" s="37">
        <v>0.56243055555555554</v>
      </c>
      <c r="C37" s="38">
        <v>24.3</v>
      </c>
      <c r="D37" s="38">
        <v>1.74</v>
      </c>
      <c r="E37" s="38">
        <v>1.7949999999999999</v>
      </c>
      <c r="F37" s="38">
        <v>1.75</v>
      </c>
      <c r="G37" s="38">
        <v>1.0169999999999999</v>
      </c>
      <c r="H37" s="38">
        <v>1.0249999999999999</v>
      </c>
      <c r="I37" s="38">
        <v>1.052</v>
      </c>
      <c r="J37" s="38">
        <v>0.104</v>
      </c>
      <c r="K37" s="38">
        <v>0.104</v>
      </c>
      <c r="M37" s="37">
        <v>0.56243055555555554</v>
      </c>
      <c r="N37" s="38">
        <v>1.8839999999999999</v>
      </c>
      <c r="O37" s="38">
        <v>1.885</v>
      </c>
      <c r="P37" s="38">
        <v>1.9059999999999999</v>
      </c>
      <c r="Q37" s="38">
        <v>1.131</v>
      </c>
      <c r="R37" s="38">
        <v>1.1479999999999999</v>
      </c>
      <c r="S37" s="38">
        <v>1.169</v>
      </c>
      <c r="T37" s="38">
        <v>0.10299999999999999</v>
      </c>
      <c r="U37" s="38">
        <v>0.10299999999999999</v>
      </c>
      <c r="X37" s="37">
        <v>0.56243055555555554</v>
      </c>
      <c r="Y37" s="38">
        <v>0.495</v>
      </c>
      <c r="Z37" s="38">
        <v>0.49399999999999999</v>
      </c>
      <c r="AA37" s="38">
        <v>0.497</v>
      </c>
      <c r="AB37" s="38">
        <v>0.19</v>
      </c>
      <c r="AC37" s="38">
        <v>0.17499999999999999</v>
      </c>
      <c r="AD37" s="38">
        <v>0.182</v>
      </c>
      <c r="AE37" s="38">
        <v>0.104</v>
      </c>
      <c r="AF37" s="38">
        <v>0.10299999999999999</v>
      </c>
      <c r="AH37" s="37">
        <v>0.56243055555555554</v>
      </c>
      <c r="AI37" s="34">
        <v>1.74</v>
      </c>
      <c r="AJ37" s="34">
        <v>1.7949999999999999</v>
      </c>
      <c r="AK37" s="34">
        <v>1.75</v>
      </c>
      <c r="AL37" s="35">
        <v>1.0169999999999999</v>
      </c>
      <c r="AM37" s="35">
        <v>1.0249999999999999</v>
      </c>
      <c r="AN37" s="35">
        <v>1.052</v>
      </c>
    </row>
    <row r="38" spans="2:40" x14ac:dyDescent="0.25">
      <c r="B38" s="37">
        <v>0.58326388888888892</v>
      </c>
      <c r="C38" s="38">
        <v>24.3</v>
      </c>
      <c r="D38" s="38">
        <v>1.8460000000000001</v>
      </c>
      <c r="E38" s="38">
        <v>1.9079999999999999</v>
      </c>
      <c r="F38" s="38">
        <v>1.8560000000000001</v>
      </c>
      <c r="G38" s="38">
        <v>1.149</v>
      </c>
      <c r="H38" s="38">
        <v>1.149</v>
      </c>
      <c r="I38" s="38">
        <v>1.1839999999999999</v>
      </c>
      <c r="J38" s="38">
        <v>0.105</v>
      </c>
      <c r="K38" s="38">
        <v>0.104</v>
      </c>
      <c r="M38" s="37">
        <v>0.58326388888888892</v>
      </c>
      <c r="N38" s="38">
        <v>1.94</v>
      </c>
      <c r="O38" s="38">
        <v>1.9419999999999999</v>
      </c>
      <c r="P38" s="38">
        <v>1.9650000000000001</v>
      </c>
      <c r="Q38" s="38">
        <v>1.248</v>
      </c>
      <c r="R38" s="38">
        <v>1.262</v>
      </c>
      <c r="S38" s="38">
        <v>1.3</v>
      </c>
      <c r="T38" s="38">
        <v>0.10299999999999999</v>
      </c>
      <c r="U38" s="38">
        <v>0.10299999999999999</v>
      </c>
      <c r="X38" s="37">
        <v>0.58326388888888892</v>
      </c>
      <c r="Y38" s="38">
        <v>0.60699999999999998</v>
      </c>
      <c r="Z38" s="38">
        <v>0.60299999999999998</v>
      </c>
      <c r="AA38" s="38">
        <v>0.59099999999999997</v>
      </c>
      <c r="AB38" s="38">
        <v>0.21</v>
      </c>
      <c r="AC38" s="38">
        <v>0.19600000000000001</v>
      </c>
      <c r="AD38" s="38">
        <v>0.20200000000000001</v>
      </c>
      <c r="AE38" s="38">
        <v>0.104</v>
      </c>
      <c r="AF38" s="38">
        <v>0.10299999999999999</v>
      </c>
      <c r="AH38" s="37">
        <v>0.58326388888888892</v>
      </c>
      <c r="AI38" s="34">
        <v>1.8460000000000001</v>
      </c>
      <c r="AJ38" s="34">
        <v>1.9079999999999999</v>
      </c>
      <c r="AK38" s="34">
        <v>1.8560000000000001</v>
      </c>
      <c r="AL38" s="35">
        <v>1.149</v>
      </c>
      <c r="AM38" s="35">
        <v>1.149</v>
      </c>
      <c r="AN38" s="35">
        <v>1.1839999999999999</v>
      </c>
    </row>
    <row r="39" spans="2:40" x14ac:dyDescent="0.25">
      <c r="B39" s="37">
        <v>0.60409722222222217</v>
      </c>
      <c r="C39" s="38">
        <v>24.3</v>
      </c>
      <c r="D39" s="38">
        <v>1.9139999999999999</v>
      </c>
      <c r="E39" s="38">
        <v>1.9870000000000001</v>
      </c>
      <c r="F39" s="38">
        <v>1.9450000000000001</v>
      </c>
      <c r="G39" s="38">
        <v>1.274</v>
      </c>
      <c r="H39" s="38">
        <v>1.28</v>
      </c>
      <c r="I39" s="38">
        <v>1.31</v>
      </c>
      <c r="J39" s="38">
        <v>0.105</v>
      </c>
      <c r="K39" s="38">
        <v>0.104</v>
      </c>
      <c r="M39" s="37">
        <v>0.60409722222222217</v>
      </c>
      <c r="N39" s="38">
        <v>1.98</v>
      </c>
      <c r="O39" s="38">
        <v>1.9830000000000001</v>
      </c>
      <c r="P39" s="38">
        <v>2.0089999999999999</v>
      </c>
      <c r="Q39" s="38">
        <v>1.3779999999999999</v>
      </c>
      <c r="R39" s="38">
        <v>1.4</v>
      </c>
      <c r="S39" s="38">
        <v>1.427</v>
      </c>
      <c r="T39" s="38">
        <v>0.10299999999999999</v>
      </c>
      <c r="U39" s="38">
        <v>0.10299999999999999</v>
      </c>
      <c r="X39" s="37">
        <v>0.60409722222222217</v>
      </c>
      <c r="Y39" s="38">
        <v>0.66400000000000003</v>
      </c>
      <c r="Z39" s="38">
        <v>0.66400000000000003</v>
      </c>
      <c r="AA39" s="38">
        <v>0.65</v>
      </c>
      <c r="AB39" s="38">
        <v>0.23699999999999999</v>
      </c>
      <c r="AC39" s="38">
        <v>0.218</v>
      </c>
      <c r="AD39" s="38">
        <v>0.22600000000000001</v>
      </c>
      <c r="AE39" s="38">
        <v>0.104</v>
      </c>
      <c r="AF39" s="38">
        <v>0.10299999999999999</v>
      </c>
      <c r="AH39" s="37">
        <v>0.60409722222222217</v>
      </c>
      <c r="AI39" s="34">
        <v>1.9139999999999999</v>
      </c>
      <c r="AJ39" s="34">
        <v>1.9870000000000001</v>
      </c>
      <c r="AK39" s="34">
        <v>1.9450000000000001</v>
      </c>
      <c r="AL39" s="35">
        <v>1.274</v>
      </c>
      <c r="AM39" s="35">
        <v>1.28</v>
      </c>
      <c r="AN39" s="35">
        <v>1.31</v>
      </c>
    </row>
    <row r="40" spans="2:40" x14ac:dyDescent="0.25">
      <c r="B40" s="37">
        <v>0.62493055555555554</v>
      </c>
      <c r="C40" s="38">
        <v>24.3</v>
      </c>
      <c r="D40" s="38">
        <v>1.9590000000000001</v>
      </c>
      <c r="E40" s="38">
        <v>2.0350000000000001</v>
      </c>
      <c r="F40" s="38">
        <v>1.992</v>
      </c>
      <c r="G40" s="38">
        <v>1.427</v>
      </c>
      <c r="H40" s="38">
        <v>1.4359999999999999</v>
      </c>
      <c r="I40" s="38">
        <v>1.4690000000000001</v>
      </c>
      <c r="J40" s="38">
        <v>0.104</v>
      </c>
      <c r="K40" s="38">
        <v>0.104</v>
      </c>
      <c r="M40" s="37">
        <v>0.62493055555555554</v>
      </c>
      <c r="N40" s="38">
        <v>2.0030000000000001</v>
      </c>
      <c r="O40" s="38">
        <v>2.0059999999999998</v>
      </c>
      <c r="P40" s="38">
        <v>2.0339999999999998</v>
      </c>
      <c r="Q40" s="38">
        <v>1.458</v>
      </c>
      <c r="R40" s="38">
        <v>1.484</v>
      </c>
      <c r="S40" s="38">
        <v>1.5109999999999999</v>
      </c>
      <c r="T40" s="38">
        <v>0.10299999999999999</v>
      </c>
      <c r="U40" s="38">
        <v>0.10299999999999999</v>
      </c>
      <c r="X40" s="37">
        <v>0.62493055555555554</v>
      </c>
      <c r="Y40" s="38">
        <v>0.71899999999999997</v>
      </c>
      <c r="Z40" s="38">
        <v>0.71699999999999997</v>
      </c>
      <c r="AA40" s="38">
        <v>0.70099999999999996</v>
      </c>
      <c r="AB40" s="38">
        <v>0.27200000000000002</v>
      </c>
      <c r="AC40" s="38">
        <v>0.248</v>
      </c>
      <c r="AD40" s="38">
        <v>0.25700000000000001</v>
      </c>
      <c r="AE40" s="38">
        <v>0.104</v>
      </c>
      <c r="AF40" s="38">
        <v>0.10299999999999999</v>
      </c>
      <c r="AH40" s="37">
        <v>0.62493055555555554</v>
      </c>
      <c r="AI40" s="34">
        <v>1.9590000000000001</v>
      </c>
      <c r="AJ40" s="34">
        <v>2.0350000000000001</v>
      </c>
      <c r="AK40" s="34">
        <v>1.992</v>
      </c>
      <c r="AL40" s="35">
        <v>1.427</v>
      </c>
      <c r="AM40" s="35">
        <v>1.4359999999999999</v>
      </c>
      <c r="AN40" s="35">
        <v>1.4690000000000001</v>
      </c>
    </row>
    <row r="41" spans="2:40" x14ac:dyDescent="0.25">
      <c r="B41" s="37">
        <v>0.64576388888888892</v>
      </c>
      <c r="C41" s="38">
        <v>24.3</v>
      </c>
      <c r="D41" s="38">
        <v>1.988</v>
      </c>
      <c r="E41" s="38">
        <v>2.0649999999999999</v>
      </c>
      <c r="F41" s="38">
        <v>2.0259999999999998</v>
      </c>
      <c r="G41" s="38">
        <v>1.518</v>
      </c>
      <c r="H41" s="38">
        <v>1.526</v>
      </c>
      <c r="I41" s="38">
        <v>1.5629999999999999</v>
      </c>
      <c r="J41" s="38">
        <v>0.105</v>
      </c>
      <c r="K41" s="38">
        <v>0.104</v>
      </c>
      <c r="M41" s="37">
        <v>0.64576388888888892</v>
      </c>
      <c r="N41" s="38">
        <v>2.016</v>
      </c>
      <c r="O41" s="38">
        <v>2.0179999999999998</v>
      </c>
      <c r="P41" s="38">
        <v>2.0510000000000002</v>
      </c>
      <c r="Q41" s="38">
        <v>1.534</v>
      </c>
      <c r="R41" s="38">
        <v>1.5589999999999999</v>
      </c>
      <c r="S41" s="38">
        <v>1.589</v>
      </c>
      <c r="T41" s="38">
        <v>0.10299999999999999</v>
      </c>
      <c r="U41" s="38">
        <v>0.10299999999999999</v>
      </c>
      <c r="X41" s="37">
        <v>0.64576388888888892</v>
      </c>
      <c r="Y41" s="38">
        <v>0.76300000000000001</v>
      </c>
      <c r="Z41" s="38">
        <v>0.76200000000000001</v>
      </c>
      <c r="AA41" s="38">
        <v>0.74099999999999999</v>
      </c>
      <c r="AB41" s="38">
        <v>0.31900000000000001</v>
      </c>
      <c r="AC41" s="38">
        <v>0.28799999999999998</v>
      </c>
      <c r="AD41" s="38">
        <v>0.30099999999999999</v>
      </c>
      <c r="AE41" s="38">
        <v>0.104</v>
      </c>
      <c r="AF41" s="38">
        <v>0.10299999999999999</v>
      </c>
      <c r="AH41" s="37">
        <v>0.64576388888888892</v>
      </c>
      <c r="AI41" s="34">
        <v>1.988</v>
      </c>
      <c r="AJ41" s="34">
        <v>2.0649999999999999</v>
      </c>
      <c r="AK41" s="34">
        <v>2.0259999999999998</v>
      </c>
      <c r="AL41" s="35">
        <v>1.518</v>
      </c>
      <c r="AM41" s="35">
        <v>1.526</v>
      </c>
      <c r="AN41" s="35">
        <v>1.5629999999999999</v>
      </c>
    </row>
    <row r="42" spans="2:40" x14ac:dyDescent="0.25">
      <c r="B42" s="37">
        <v>0.66659722222222217</v>
      </c>
      <c r="C42" s="38">
        <v>24.3</v>
      </c>
      <c r="D42" s="38">
        <v>2.0070000000000001</v>
      </c>
      <c r="E42" s="38">
        <v>2.085</v>
      </c>
      <c r="F42" s="38">
        <v>2.0459999999999998</v>
      </c>
      <c r="G42" s="38">
        <v>1.6</v>
      </c>
      <c r="H42" s="38">
        <v>1.611</v>
      </c>
      <c r="I42" s="38">
        <v>1.6479999999999999</v>
      </c>
      <c r="J42" s="38">
        <v>0.104</v>
      </c>
      <c r="K42" s="38">
        <v>0.104</v>
      </c>
      <c r="M42" s="37">
        <v>0.66659722222222217</v>
      </c>
      <c r="N42" s="38">
        <v>2.0219999999999998</v>
      </c>
      <c r="O42" s="38">
        <v>2.0329999999999999</v>
      </c>
      <c r="P42" s="38">
        <v>2.0590000000000002</v>
      </c>
      <c r="Q42" s="38">
        <v>1.607</v>
      </c>
      <c r="R42" s="38">
        <v>1.6339999999999999</v>
      </c>
      <c r="S42" s="38">
        <v>1.6639999999999999</v>
      </c>
      <c r="T42" s="38">
        <v>0.10299999999999999</v>
      </c>
      <c r="U42" s="38">
        <v>0.10299999999999999</v>
      </c>
      <c r="X42" s="37">
        <v>0.66659722222222217</v>
      </c>
      <c r="Y42" s="38">
        <v>0.80800000000000005</v>
      </c>
      <c r="Z42" s="38">
        <v>0.80600000000000005</v>
      </c>
      <c r="AA42" s="38">
        <v>0.78200000000000003</v>
      </c>
      <c r="AB42" s="38">
        <v>0.374</v>
      </c>
      <c r="AC42" s="38">
        <v>0.34100000000000003</v>
      </c>
      <c r="AD42" s="38">
        <v>0.35399999999999998</v>
      </c>
      <c r="AE42" s="38">
        <v>0.104</v>
      </c>
      <c r="AF42" s="38">
        <v>0.10299999999999999</v>
      </c>
      <c r="AH42" s="37">
        <v>0.66659722222222217</v>
      </c>
      <c r="AI42" s="34">
        <v>2.0070000000000001</v>
      </c>
      <c r="AJ42" s="34">
        <v>2.085</v>
      </c>
      <c r="AK42" s="34">
        <v>2.0459999999999998</v>
      </c>
      <c r="AL42" s="35">
        <v>1.6</v>
      </c>
      <c r="AM42" s="35">
        <v>1.611</v>
      </c>
      <c r="AN42" s="35">
        <v>1.6479999999999999</v>
      </c>
    </row>
    <row r="43" spans="2:40" x14ac:dyDescent="0.25">
      <c r="B43" s="37">
        <v>0.68743055555555566</v>
      </c>
      <c r="C43" s="38">
        <v>24.3</v>
      </c>
      <c r="D43" s="38">
        <v>2.0219999999999998</v>
      </c>
      <c r="E43" s="38">
        <v>2.0990000000000002</v>
      </c>
      <c r="F43" s="38">
        <v>2.0539999999999998</v>
      </c>
      <c r="G43" s="38">
        <v>1.6830000000000001</v>
      </c>
      <c r="H43" s="38">
        <v>1.694</v>
      </c>
      <c r="I43" s="38">
        <v>1.732</v>
      </c>
      <c r="J43" s="38">
        <v>0.104</v>
      </c>
      <c r="K43" s="38">
        <v>0.104</v>
      </c>
      <c r="M43" s="37">
        <v>0.68743055555555566</v>
      </c>
      <c r="N43" s="38">
        <v>2.0289999999999999</v>
      </c>
      <c r="O43" s="38">
        <v>2.0350000000000001</v>
      </c>
      <c r="P43" s="38">
        <v>2.085</v>
      </c>
      <c r="Q43" s="38">
        <v>1.6659999999999999</v>
      </c>
      <c r="R43" s="38">
        <v>1.702</v>
      </c>
      <c r="S43" s="38">
        <v>1.732</v>
      </c>
      <c r="T43" s="38">
        <v>0.10299999999999999</v>
      </c>
      <c r="U43" s="38">
        <v>0.10299999999999999</v>
      </c>
      <c r="X43" s="37">
        <v>0.68743055555555566</v>
      </c>
      <c r="Y43" s="38">
        <v>0.85599999999999998</v>
      </c>
      <c r="Z43" s="38">
        <v>0.85199999999999998</v>
      </c>
      <c r="AA43" s="38">
        <v>0.82599999999999996</v>
      </c>
      <c r="AB43" s="38">
        <v>0.42899999999999999</v>
      </c>
      <c r="AC43" s="38">
        <v>0.39</v>
      </c>
      <c r="AD43" s="38">
        <v>0.40400000000000003</v>
      </c>
      <c r="AE43" s="38">
        <v>0.104</v>
      </c>
      <c r="AF43" s="38">
        <v>0.10299999999999999</v>
      </c>
      <c r="AH43" s="37">
        <v>0.68743055555555566</v>
      </c>
      <c r="AI43" s="34">
        <v>2.0219999999999998</v>
      </c>
      <c r="AJ43" s="34">
        <v>2.0990000000000002</v>
      </c>
      <c r="AK43" s="34">
        <v>2.0539999999999998</v>
      </c>
      <c r="AL43" s="35">
        <v>1.6830000000000001</v>
      </c>
      <c r="AM43" s="35">
        <v>1.694</v>
      </c>
      <c r="AN43" s="35">
        <v>1.732</v>
      </c>
    </row>
    <row r="44" spans="2:40" x14ac:dyDescent="0.25">
      <c r="B44" s="37">
        <v>0.70826388888888892</v>
      </c>
      <c r="C44" s="38">
        <v>24.3</v>
      </c>
      <c r="D44" s="38">
        <v>2.0259999999999998</v>
      </c>
      <c r="E44" s="38">
        <v>2.105</v>
      </c>
      <c r="F44" s="38">
        <v>2.0590000000000002</v>
      </c>
      <c r="G44" s="38">
        <v>1.7569999999999999</v>
      </c>
      <c r="H44" s="38">
        <v>1.7729999999999999</v>
      </c>
      <c r="I44" s="38">
        <v>1.8129999999999999</v>
      </c>
      <c r="J44" s="38">
        <v>0.105</v>
      </c>
      <c r="K44" s="38">
        <v>0.104</v>
      </c>
      <c r="M44" s="37">
        <v>0.70826388888888892</v>
      </c>
      <c r="N44" s="38">
        <v>2.0329999999999999</v>
      </c>
      <c r="O44" s="38">
        <v>2.0379999999999998</v>
      </c>
      <c r="P44" s="38">
        <v>2.0790000000000002</v>
      </c>
      <c r="Q44" s="38">
        <v>1.7310000000000001</v>
      </c>
      <c r="R44" s="38">
        <v>1.77</v>
      </c>
      <c r="S44" s="38">
        <v>1.7989999999999999</v>
      </c>
      <c r="T44" s="38">
        <v>0.10299999999999999</v>
      </c>
      <c r="U44" s="38">
        <v>0.10299999999999999</v>
      </c>
      <c r="X44" s="37">
        <v>0.70826388888888892</v>
      </c>
      <c r="Y44" s="38">
        <v>0.89200000000000002</v>
      </c>
      <c r="Z44" s="38">
        <v>0.88800000000000001</v>
      </c>
      <c r="AA44" s="38">
        <v>0.86299999999999999</v>
      </c>
      <c r="AB44" s="38">
        <v>0.46899999999999997</v>
      </c>
      <c r="AC44" s="38">
        <v>0.442</v>
      </c>
      <c r="AD44" s="38">
        <v>0.45</v>
      </c>
      <c r="AE44" s="38">
        <v>0.104</v>
      </c>
      <c r="AF44" s="38">
        <v>0.10299999999999999</v>
      </c>
      <c r="AH44" s="37">
        <v>0.70826388888888892</v>
      </c>
      <c r="AI44" s="34">
        <v>2.0259999999999998</v>
      </c>
      <c r="AJ44" s="34">
        <v>2.105</v>
      </c>
      <c r="AK44" s="34">
        <v>2.0590000000000002</v>
      </c>
      <c r="AL44" s="35">
        <v>1.7569999999999999</v>
      </c>
      <c r="AM44" s="35">
        <v>1.7729999999999999</v>
      </c>
      <c r="AN44" s="35">
        <v>1.8129999999999999</v>
      </c>
    </row>
    <row r="45" spans="2:40" x14ac:dyDescent="0.25">
      <c r="B45" s="37">
        <v>0.72909722222222229</v>
      </c>
      <c r="C45" s="38">
        <v>24.3</v>
      </c>
      <c r="D45" s="38">
        <v>2.032</v>
      </c>
      <c r="E45" s="38">
        <v>2.1080000000000001</v>
      </c>
      <c r="F45" s="38">
        <v>2.06</v>
      </c>
      <c r="G45" s="38">
        <v>1.8280000000000001</v>
      </c>
      <c r="H45" s="38">
        <v>1.84</v>
      </c>
      <c r="I45" s="38">
        <v>1.8859999999999999</v>
      </c>
      <c r="J45" s="38">
        <v>0.104</v>
      </c>
      <c r="K45" s="38">
        <v>0.10299999999999999</v>
      </c>
      <c r="M45" s="37">
        <v>0.72909722222222229</v>
      </c>
      <c r="N45" s="38">
        <v>2.04</v>
      </c>
      <c r="O45" s="38">
        <v>2.0299999999999998</v>
      </c>
      <c r="P45" s="38">
        <v>2.0739999999999998</v>
      </c>
      <c r="Q45" s="38">
        <v>1.778</v>
      </c>
      <c r="R45" s="38">
        <v>1.821</v>
      </c>
      <c r="S45" s="38">
        <v>1.841</v>
      </c>
      <c r="T45" s="38">
        <v>0.10299999999999999</v>
      </c>
      <c r="U45" s="38">
        <v>0.10299999999999999</v>
      </c>
      <c r="X45" s="37">
        <v>0.72909722222222229</v>
      </c>
      <c r="Y45" s="38">
        <v>0.92300000000000004</v>
      </c>
      <c r="Z45" s="38">
        <v>0.92300000000000004</v>
      </c>
      <c r="AA45" s="38">
        <v>0.89400000000000002</v>
      </c>
      <c r="AB45" s="38">
        <v>0.54100000000000004</v>
      </c>
      <c r="AC45" s="38">
        <v>0.498</v>
      </c>
      <c r="AD45" s="38">
        <v>0.51400000000000001</v>
      </c>
      <c r="AE45" s="38">
        <v>0.10299999999999999</v>
      </c>
      <c r="AF45" s="38">
        <v>0.10299999999999999</v>
      </c>
      <c r="AH45" s="37">
        <v>0.72909722222222229</v>
      </c>
      <c r="AI45" s="34">
        <v>2.032</v>
      </c>
      <c r="AJ45" s="34">
        <v>2.1080000000000001</v>
      </c>
      <c r="AK45" s="34">
        <v>2.06</v>
      </c>
      <c r="AL45" s="35">
        <v>1.8280000000000001</v>
      </c>
      <c r="AM45" s="35">
        <v>1.84</v>
      </c>
      <c r="AN45" s="35">
        <v>1.8859999999999999</v>
      </c>
    </row>
    <row r="46" spans="2:40" x14ac:dyDescent="0.25">
      <c r="B46" s="37">
        <v>0.74993055555555566</v>
      </c>
      <c r="C46" s="38">
        <v>24.3</v>
      </c>
      <c r="D46" s="38">
        <v>2.0339999999999998</v>
      </c>
      <c r="E46" s="38">
        <v>2.1059999999999999</v>
      </c>
      <c r="F46" s="38">
        <v>2.0590000000000002</v>
      </c>
      <c r="G46" s="38">
        <v>1.8660000000000001</v>
      </c>
      <c r="H46" s="38">
        <v>1.877</v>
      </c>
      <c r="I46" s="38">
        <v>1.9239999999999999</v>
      </c>
      <c r="J46" s="38">
        <v>0.104</v>
      </c>
      <c r="K46" s="38">
        <v>0.10299999999999999</v>
      </c>
      <c r="M46" s="37">
        <v>0.74993055555555566</v>
      </c>
      <c r="N46" s="38">
        <v>2.0550000000000002</v>
      </c>
      <c r="O46" s="38">
        <v>2.0339999999999998</v>
      </c>
      <c r="P46" s="38">
        <v>2.0779999999999998</v>
      </c>
      <c r="Q46" s="38">
        <v>1.8009999999999999</v>
      </c>
      <c r="R46" s="38">
        <v>1.847</v>
      </c>
      <c r="S46" s="38">
        <v>1.865</v>
      </c>
      <c r="T46" s="38">
        <v>0.10299999999999999</v>
      </c>
      <c r="U46" s="38">
        <v>0.10299999999999999</v>
      </c>
      <c r="X46" s="37">
        <v>0.74993055555555566</v>
      </c>
      <c r="Y46" s="38">
        <v>0.94199999999999995</v>
      </c>
      <c r="Z46" s="38">
        <v>0.94699999999999995</v>
      </c>
      <c r="AA46" s="38">
        <v>0.92200000000000004</v>
      </c>
      <c r="AB46" s="38">
        <v>0.61399999999999999</v>
      </c>
      <c r="AC46" s="38">
        <v>0.57199999999999995</v>
      </c>
      <c r="AD46" s="38">
        <v>0.58499999999999996</v>
      </c>
      <c r="AE46" s="38">
        <v>0.10299999999999999</v>
      </c>
      <c r="AF46" s="38">
        <v>0.10299999999999999</v>
      </c>
      <c r="AH46" s="37">
        <v>0.74993055555555566</v>
      </c>
      <c r="AI46" s="34">
        <v>2.0339999999999998</v>
      </c>
      <c r="AJ46" s="34">
        <v>2.1059999999999999</v>
      </c>
      <c r="AK46" s="34">
        <v>2.0590000000000002</v>
      </c>
      <c r="AL46" s="35">
        <v>1.8660000000000001</v>
      </c>
      <c r="AM46" s="35">
        <v>1.877</v>
      </c>
      <c r="AN46" s="35">
        <v>1.9239999999999999</v>
      </c>
    </row>
    <row r="47" spans="2:40" x14ac:dyDescent="0.25">
      <c r="B47" s="37">
        <v>0.77076388888888892</v>
      </c>
      <c r="C47" s="38">
        <v>24.3</v>
      </c>
      <c r="D47" s="38">
        <v>2.0329999999999999</v>
      </c>
      <c r="E47" s="38">
        <v>2.1059999999999999</v>
      </c>
      <c r="F47" s="38">
        <v>2.056</v>
      </c>
      <c r="G47" s="38">
        <v>1.8919999999999999</v>
      </c>
      <c r="H47" s="38">
        <v>1.9019999999999999</v>
      </c>
      <c r="I47" s="38">
        <v>1.95</v>
      </c>
      <c r="J47" s="38">
        <v>0.105</v>
      </c>
      <c r="K47" s="38">
        <v>0.104</v>
      </c>
      <c r="M47" s="37">
        <v>0.77076388888888892</v>
      </c>
      <c r="N47" s="38">
        <v>2.0510000000000002</v>
      </c>
      <c r="O47" s="38">
        <v>2.0249999999999999</v>
      </c>
      <c r="P47" s="38">
        <v>2.0720000000000001</v>
      </c>
      <c r="Q47" s="38">
        <v>1.8109999999999999</v>
      </c>
      <c r="R47" s="38">
        <v>1.8560000000000001</v>
      </c>
      <c r="S47" s="38">
        <v>1.8660000000000001</v>
      </c>
      <c r="T47" s="38">
        <v>0.10299999999999999</v>
      </c>
      <c r="U47" s="38">
        <v>0.10299999999999999</v>
      </c>
      <c r="X47" s="37">
        <v>0.77076388888888892</v>
      </c>
      <c r="Y47" s="38">
        <v>0.96299999999999997</v>
      </c>
      <c r="Z47" s="38">
        <v>0.94799999999999995</v>
      </c>
      <c r="AA47" s="38">
        <v>0.93700000000000006</v>
      </c>
      <c r="AB47" s="38">
        <v>0.65900000000000003</v>
      </c>
      <c r="AC47" s="38">
        <v>0.61099999999999999</v>
      </c>
      <c r="AD47" s="38">
        <v>0.625</v>
      </c>
      <c r="AE47" s="38">
        <v>0.104</v>
      </c>
      <c r="AF47" s="38">
        <v>0.10299999999999999</v>
      </c>
      <c r="AH47" s="37">
        <v>0.77076388888888892</v>
      </c>
      <c r="AI47" s="34">
        <v>2.0329999999999999</v>
      </c>
      <c r="AJ47" s="34">
        <v>2.1059999999999999</v>
      </c>
      <c r="AK47" s="34">
        <v>2.056</v>
      </c>
      <c r="AL47" s="35">
        <v>1.8919999999999999</v>
      </c>
      <c r="AM47" s="35">
        <v>1.9019999999999999</v>
      </c>
      <c r="AN47" s="35">
        <v>1.95</v>
      </c>
    </row>
    <row r="48" spans="2:40" x14ac:dyDescent="0.25">
      <c r="B48" s="37">
        <v>0.79159722222222229</v>
      </c>
      <c r="C48" s="38">
        <v>24.4</v>
      </c>
      <c r="D48" s="38">
        <v>2.036</v>
      </c>
      <c r="E48" s="38">
        <v>2.1349999999999998</v>
      </c>
      <c r="F48" s="38">
        <v>2.052</v>
      </c>
      <c r="G48" s="38">
        <v>1.9059999999999999</v>
      </c>
      <c r="H48" s="38">
        <v>1.9179999999999999</v>
      </c>
      <c r="I48" s="38">
        <v>1.964</v>
      </c>
      <c r="J48" s="38">
        <v>0.105</v>
      </c>
      <c r="K48" s="38">
        <v>0.104</v>
      </c>
      <c r="M48" s="37">
        <v>0.79159722222222229</v>
      </c>
      <c r="N48" s="38">
        <v>2.0129999999999999</v>
      </c>
      <c r="O48" s="38">
        <v>2.0270000000000001</v>
      </c>
      <c r="P48" s="38">
        <v>2.085</v>
      </c>
      <c r="Q48" s="38">
        <v>1.8089999999999999</v>
      </c>
      <c r="R48" s="38">
        <v>1.875</v>
      </c>
      <c r="S48" s="38">
        <v>1.877</v>
      </c>
      <c r="T48" s="38">
        <v>0.10299999999999999</v>
      </c>
      <c r="U48" s="38">
        <v>0.10299999999999999</v>
      </c>
      <c r="X48" s="37">
        <v>0.79159722222222229</v>
      </c>
      <c r="Y48" s="38">
        <v>1.0149999999999999</v>
      </c>
      <c r="Z48" s="38">
        <v>0.95299999999999996</v>
      </c>
      <c r="AA48" s="38">
        <v>0.94699999999999995</v>
      </c>
      <c r="AB48" s="38">
        <v>0.70499999999999996</v>
      </c>
      <c r="AC48" s="38">
        <v>0.65300000000000002</v>
      </c>
      <c r="AD48" s="38">
        <v>0.66300000000000003</v>
      </c>
      <c r="AE48" s="38">
        <v>0.104</v>
      </c>
      <c r="AF48" s="38">
        <v>0.10299999999999999</v>
      </c>
      <c r="AH48" s="37">
        <v>0.79159722222222229</v>
      </c>
      <c r="AI48" s="34">
        <v>2.036</v>
      </c>
      <c r="AJ48" s="34">
        <v>2.1349999999999998</v>
      </c>
      <c r="AK48" s="34">
        <v>2.052</v>
      </c>
      <c r="AL48" s="35">
        <v>1.9059999999999999</v>
      </c>
      <c r="AM48" s="35">
        <v>1.9179999999999999</v>
      </c>
      <c r="AN48" s="35">
        <v>1.964</v>
      </c>
    </row>
    <row r="49" spans="2:40" x14ac:dyDescent="0.25">
      <c r="B49" s="37">
        <v>0.81243055555555566</v>
      </c>
      <c r="C49" s="38">
        <v>24.4</v>
      </c>
      <c r="D49" s="38">
        <v>2.0299999999999998</v>
      </c>
      <c r="E49" s="38">
        <v>2.0979999999999999</v>
      </c>
      <c r="F49" s="38">
        <v>2.0470000000000002</v>
      </c>
      <c r="G49" s="38">
        <v>1.915</v>
      </c>
      <c r="H49" s="38">
        <v>1.9279999999999999</v>
      </c>
      <c r="I49" s="38">
        <v>1.97</v>
      </c>
      <c r="J49" s="38">
        <v>0.105</v>
      </c>
      <c r="K49" s="38">
        <v>0.104</v>
      </c>
      <c r="M49" s="37">
        <v>0.81243055555555566</v>
      </c>
      <c r="N49" s="38">
        <v>2.0150000000000001</v>
      </c>
      <c r="O49" s="38">
        <v>2.0179999999999998</v>
      </c>
      <c r="P49" s="38">
        <v>2.1030000000000002</v>
      </c>
      <c r="Q49" s="38">
        <v>1.8080000000000001</v>
      </c>
      <c r="R49" s="38">
        <v>1.883</v>
      </c>
      <c r="S49" s="38">
        <v>1.8740000000000001</v>
      </c>
      <c r="T49" s="38">
        <v>0.10299999999999999</v>
      </c>
      <c r="U49" s="38">
        <v>0.10299999999999999</v>
      </c>
      <c r="X49" s="37">
        <v>0.81243055555555566</v>
      </c>
      <c r="Y49" s="38">
        <v>0.97599999999999998</v>
      </c>
      <c r="Z49" s="38">
        <v>0.96</v>
      </c>
      <c r="AA49" s="38">
        <v>0.95499999999999996</v>
      </c>
      <c r="AB49" s="38">
        <v>0.745</v>
      </c>
      <c r="AC49" s="38">
        <v>0.69499999999999995</v>
      </c>
      <c r="AD49" s="38">
        <v>0.69799999999999995</v>
      </c>
      <c r="AE49" s="38">
        <v>0.104</v>
      </c>
      <c r="AF49" s="38">
        <v>0.10299999999999999</v>
      </c>
      <c r="AH49" s="37">
        <v>0.81243055555555566</v>
      </c>
      <c r="AI49" s="34">
        <v>2.0299999999999998</v>
      </c>
      <c r="AJ49" s="34">
        <v>2.0979999999999999</v>
      </c>
      <c r="AK49" s="34">
        <v>2.0470000000000002</v>
      </c>
      <c r="AL49" s="35">
        <v>1.915</v>
      </c>
      <c r="AM49" s="35">
        <v>1.9279999999999999</v>
      </c>
      <c r="AN49" s="35">
        <v>1.97</v>
      </c>
    </row>
    <row r="50" spans="2:40" x14ac:dyDescent="0.25">
      <c r="B50" s="37">
        <v>0.83326388888888892</v>
      </c>
      <c r="C50" s="38">
        <v>24.3</v>
      </c>
      <c r="D50" s="38">
        <v>2.0289999999999999</v>
      </c>
      <c r="E50" s="38">
        <v>2.097</v>
      </c>
      <c r="F50" s="38">
        <v>2.052</v>
      </c>
      <c r="G50" s="38">
        <v>1.9219999999999999</v>
      </c>
      <c r="H50" s="38">
        <v>1.9339999999999999</v>
      </c>
      <c r="I50" s="38">
        <v>1.992</v>
      </c>
      <c r="J50" s="38">
        <v>0.105</v>
      </c>
      <c r="K50" s="38">
        <v>0.104</v>
      </c>
      <c r="M50" s="37">
        <v>0.83326388888888892</v>
      </c>
      <c r="N50" s="38">
        <v>2.016</v>
      </c>
      <c r="O50" s="38">
        <v>2.069</v>
      </c>
      <c r="P50" s="38">
        <v>2.0760000000000001</v>
      </c>
      <c r="Q50" s="38">
        <v>1.879</v>
      </c>
      <c r="R50" s="38">
        <v>1.8759999999999999</v>
      </c>
      <c r="S50" s="38">
        <v>1.877</v>
      </c>
      <c r="T50" s="38">
        <v>0.10299999999999999</v>
      </c>
      <c r="U50" s="38">
        <v>0.10299999999999999</v>
      </c>
      <c r="X50" s="37">
        <v>0.83326388888888892</v>
      </c>
      <c r="Y50" s="38">
        <v>1.004</v>
      </c>
      <c r="Z50" s="38">
        <v>0.96499999999999997</v>
      </c>
      <c r="AA50" s="38">
        <v>0.96</v>
      </c>
      <c r="AB50" s="38">
        <v>0.78300000000000003</v>
      </c>
      <c r="AC50" s="38">
        <v>0.73399999999999999</v>
      </c>
      <c r="AD50" s="38">
        <v>0.73</v>
      </c>
      <c r="AE50" s="38">
        <v>0.104</v>
      </c>
      <c r="AF50" s="38">
        <v>0.10299999999999999</v>
      </c>
      <c r="AH50" s="37">
        <v>0.83326388888888892</v>
      </c>
      <c r="AI50" s="34">
        <v>2.0289999999999999</v>
      </c>
      <c r="AJ50" s="34">
        <v>2.097</v>
      </c>
      <c r="AK50" s="34">
        <v>2.052</v>
      </c>
      <c r="AL50" s="35">
        <v>1.9219999999999999</v>
      </c>
      <c r="AM50" s="35">
        <v>1.9339999999999999</v>
      </c>
      <c r="AN50" s="35">
        <v>1.992</v>
      </c>
    </row>
    <row r="51" spans="2:40" x14ac:dyDescent="0.25">
      <c r="B51" s="37">
        <v>0.85409722222222229</v>
      </c>
      <c r="C51" s="38">
        <v>24.3</v>
      </c>
      <c r="D51" s="38">
        <v>2.02</v>
      </c>
      <c r="E51" s="38">
        <v>2.0939999999999999</v>
      </c>
      <c r="F51" s="38">
        <v>2.1190000000000002</v>
      </c>
      <c r="G51" s="38">
        <v>1.96</v>
      </c>
      <c r="H51" s="38">
        <v>1.9430000000000001</v>
      </c>
      <c r="I51" s="38">
        <v>2.0009999999999999</v>
      </c>
      <c r="J51" s="38">
        <v>0.105</v>
      </c>
      <c r="K51" s="38">
        <v>0.104</v>
      </c>
      <c r="M51" s="37">
        <v>0.85409722222222229</v>
      </c>
      <c r="N51" s="38">
        <v>2.0059999999999998</v>
      </c>
      <c r="O51" s="38">
        <v>2.0259999999999998</v>
      </c>
      <c r="P51" s="38">
        <v>2.069</v>
      </c>
      <c r="Q51" s="38">
        <v>1.9690000000000001</v>
      </c>
      <c r="R51" s="38">
        <v>1.8979999999999999</v>
      </c>
      <c r="S51" s="38">
        <v>1.889</v>
      </c>
      <c r="T51" s="38">
        <v>0.10299999999999999</v>
      </c>
      <c r="U51" s="38">
        <v>0.10299999999999999</v>
      </c>
      <c r="X51" s="37">
        <v>0.85409722222222229</v>
      </c>
      <c r="Y51" s="38">
        <v>1.2170000000000001</v>
      </c>
      <c r="Z51" s="38">
        <v>1.018</v>
      </c>
      <c r="AA51" s="38">
        <v>0.96299999999999997</v>
      </c>
      <c r="AB51" s="38">
        <v>0.81599999999999995</v>
      </c>
      <c r="AC51" s="38">
        <v>0.76900000000000002</v>
      </c>
      <c r="AD51" s="38">
        <v>0.76400000000000001</v>
      </c>
      <c r="AE51" s="38">
        <v>0.104</v>
      </c>
      <c r="AF51" s="38">
        <v>0.10299999999999999</v>
      </c>
      <c r="AH51" s="37">
        <v>0.85409722222222229</v>
      </c>
      <c r="AI51" s="34">
        <v>2.02</v>
      </c>
      <c r="AJ51" s="34">
        <v>2.0939999999999999</v>
      </c>
      <c r="AK51" s="34">
        <v>2.1190000000000002</v>
      </c>
      <c r="AL51" s="35">
        <v>1.96</v>
      </c>
      <c r="AM51" s="35">
        <v>1.9430000000000001</v>
      </c>
      <c r="AN51" s="35">
        <v>2.0009999999999999</v>
      </c>
    </row>
    <row r="52" spans="2:40" x14ac:dyDescent="0.25">
      <c r="B52" s="37">
        <v>0.87493055555555566</v>
      </c>
      <c r="C52" s="38">
        <v>24.2</v>
      </c>
      <c r="D52" s="38">
        <v>2.0139999999999998</v>
      </c>
      <c r="E52" s="38">
        <v>2.093</v>
      </c>
      <c r="F52" s="38">
        <v>2.044</v>
      </c>
      <c r="G52" s="38">
        <v>1.9339999999999999</v>
      </c>
      <c r="H52" s="38">
        <v>1.9410000000000001</v>
      </c>
      <c r="I52" s="38">
        <v>1.998</v>
      </c>
      <c r="J52" s="38">
        <v>0.105</v>
      </c>
      <c r="K52" s="38">
        <v>0.104</v>
      </c>
      <c r="M52" s="37">
        <v>0.87493055555555566</v>
      </c>
      <c r="N52" s="38">
        <v>2.0110000000000001</v>
      </c>
      <c r="O52" s="38">
        <v>2.0099999999999998</v>
      </c>
      <c r="P52" s="38">
        <v>2.069</v>
      </c>
      <c r="Q52" s="38">
        <v>1.821</v>
      </c>
      <c r="R52" s="38">
        <v>1.887</v>
      </c>
      <c r="S52" s="38">
        <v>1.89</v>
      </c>
      <c r="T52" s="38">
        <v>0.10299999999999999</v>
      </c>
      <c r="U52" s="38">
        <v>0.10299999999999999</v>
      </c>
      <c r="X52" s="37">
        <v>0.87493055555555566</v>
      </c>
      <c r="Y52" s="38">
        <v>1.028</v>
      </c>
      <c r="Z52" s="38">
        <v>0.97499999999999998</v>
      </c>
      <c r="AA52" s="38">
        <v>0.96599999999999997</v>
      </c>
      <c r="AB52" s="38">
        <v>0.84399999999999997</v>
      </c>
      <c r="AC52" s="38">
        <v>0.79800000000000004</v>
      </c>
      <c r="AD52" s="38">
        <v>0.79</v>
      </c>
      <c r="AE52" s="38">
        <v>0.104</v>
      </c>
      <c r="AF52" s="38">
        <v>0.10299999999999999</v>
      </c>
      <c r="AH52" s="37">
        <v>0.87493055555555566</v>
      </c>
      <c r="AI52" s="34">
        <v>2.0139999999999998</v>
      </c>
      <c r="AJ52" s="34">
        <v>2.093</v>
      </c>
      <c r="AK52" s="34">
        <v>2.044</v>
      </c>
      <c r="AL52" s="35">
        <v>1.9339999999999999</v>
      </c>
      <c r="AM52" s="35">
        <v>1.9410000000000001</v>
      </c>
      <c r="AN52" s="35">
        <v>1.998</v>
      </c>
    </row>
    <row r="53" spans="2:40" x14ac:dyDescent="0.25">
      <c r="B53" s="37">
        <v>0.89576388888888892</v>
      </c>
      <c r="C53" s="38">
        <v>24.2</v>
      </c>
      <c r="D53" s="38">
        <v>2.0139999999999998</v>
      </c>
      <c r="E53" s="38">
        <v>2.0870000000000002</v>
      </c>
      <c r="F53" s="38">
        <v>2.0379999999999998</v>
      </c>
      <c r="G53" s="38">
        <v>1.9259999999999999</v>
      </c>
      <c r="H53" s="38">
        <v>1.956</v>
      </c>
      <c r="I53" s="38">
        <v>2.0230000000000001</v>
      </c>
      <c r="J53" s="38">
        <v>0.105</v>
      </c>
      <c r="K53" s="38">
        <v>0.104</v>
      </c>
      <c r="M53" s="37">
        <v>0.89576388888888892</v>
      </c>
      <c r="N53" s="38">
        <v>2.008</v>
      </c>
      <c r="O53" s="38">
        <v>2.0209999999999999</v>
      </c>
      <c r="P53" s="38">
        <v>2.0670000000000002</v>
      </c>
      <c r="Q53" s="38">
        <v>1.82</v>
      </c>
      <c r="R53" s="38">
        <v>1.887</v>
      </c>
      <c r="S53" s="38">
        <v>1.897</v>
      </c>
      <c r="T53" s="38">
        <v>0.10299999999999999</v>
      </c>
      <c r="U53" s="38">
        <v>0.10299999999999999</v>
      </c>
      <c r="X53" s="37">
        <v>0.89576388888888892</v>
      </c>
      <c r="Y53" s="38">
        <v>0.98699999999999999</v>
      </c>
      <c r="Z53" s="38">
        <v>0.97399999999999998</v>
      </c>
      <c r="AA53" s="38">
        <v>0.96799999999999997</v>
      </c>
      <c r="AB53" s="38">
        <v>0.86299999999999999</v>
      </c>
      <c r="AC53" s="38">
        <v>0.81499999999999995</v>
      </c>
      <c r="AD53" s="38">
        <v>0.81899999999999995</v>
      </c>
      <c r="AE53" s="38">
        <v>0.104</v>
      </c>
      <c r="AF53" s="38">
        <v>0.10299999999999999</v>
      </c>
      <c r="AH53" s="37">
        <v>0.89576388888888892</v>
      </c>
      <c r="AI53" s="34">
        <v>2.0139999999999998</v>
      </c>
      <c r="AJ53" s="34">
        <v>2.0870000000000002</v>
      </c>
      <c r="AK53" s="34">
        <v>2.0379999999999998</v>
      </c>
      <c r="AL53" s="35">
        <v>1.9259999999999999</v>
      </c>
      <c r="AM53" s="35">
        <v>1.956</v>
      </c>
      <c r="AN53" s="35">
        <v>2.0230000000000001</v>
      </c>
    </row>
    <row r="54" spans="2:40" x14ac:dyDescent="0.25">
      <c r="B54" s="37">
        <v>0.91659722222222229</v>
      </c>
      <c r="C54" s="38">
        <v>24.2</v>
      </c>
      <c r="D54" s="38">
        <v>2.012</v>
      </c>
      <c r="E54" s="38">
        <v>2.0859999999999999</v>
      </c>
      <c r="F54" s="38">
        <v>2.0350000000000001</v>
      </c>
      <c r="G54" s="38">
        <v>1.9319999999999999</v>
      </c>
      <c r="H54" s="38">
        <v>1.9590000000000001</v>
      </c>
      <c r="I54" s="38">
        <v>2.0009999999999999</v>
      </c>
      <c r="J54" s="38">
        <v>0.105</v>
      </c>
      <c r="K54" s="38">
        <v>0.104</v>
      </c>
      <c r="M54" s="37">
        <v>0.91659722222222229</v>
      </c>
      <c r="N54" s="38">
        <v>2.036</v>
      </c>
      <c r="O54" s="38">
        <v>2.0609999999999999</v>
      </c>
      <c r="P54" s="38">
        <v>2.0670000000000002</v>
      </c>
      <c r="Q54" s="38">
        <v>1.899</v>
      </c>
      <c r="R54" s="38">
        <v>1.9219999999999999</v>
      </c>
      <c r="S54" s="38">
        <v>1.915</v>
      </c>
      <c r="T54" s="38">
        <v>0.10299999999999999</v>
      </c>
      <c r="U54" s="38">
        <v>0.10299999999999999</v>
      </c>
      <c r="X54" s="37">
        <v>0.91659722222222229</v>
      </c>
      <c r="Y54" s="38">
        <v>1.093</v>
      </c>
      <c r="Z54" s="38">
        <v>0.98599999999999999</v>
      </c>
      <c r="AA54" s="38">
        <v>0.96899999999999997</v>
      </c>
      <c r="AB54" s="38">
        <v>0.86299999999999999</v>
      </c>
      <c r="AC54" s="38">
        <v>0.81799999999999995</v>
      </c>
      <c r="AD54" s="38">
        <v>0.83299999999999996</v>
      </c>
      <c r="AE54" s="38">
        <v>0.104</v>
      </c>
      <c r="AF54" s="38">
        <v>0.10299999999999999</v>
      </c>
      <c r="AH54" s="37">
        <v>0.91659722222222229</v>
      </c>
      <c r="AI54" s="34">
        <v>2.012</v>
      </c>
      <c r="AJ54" s="34">
        <v>2.0859999999999999</v>
      </c>
      <c r="AK54" s="34">
        <v>2.0350000000000001</v>
      </c>
      <c r="AL54" s="35">
        <v>1.9319999999999999</v>
      </c>
      <c r="AM54" s="35">
        <v>1.9590000000000001</v>
      </c>
      <c r="AN54" s="35">
        <v>2.0009999999999999</v>
      </c>
    </row>
    <row r="55" spans="2:40" x14ac:dyDescent="0.25">
      <c r="B55" s="37">
        <v>0.93743055555555566</v>
      </c>
      <c r="C55" s="38">
        <v>24.2</v>
      </c>
      <c r="D55" s="38">
        <v>2.0049999999999999</v>
      </c>
      <c r="E55" s="38">
        <v>2.085</v>
      </c>
      <c r="F55" s="38">
        <v>2.0489999999999999</v>
      </c>
      <c r="G55" s="38">
        <v>1.9410000000000001</v>
      </c>
      <c r="H55" s="38">
        <v>1.9850000000000001</v>
      </c>
      <c r="I55" s="38">
        <v>2.044</v>
      </c>
      <c r="J55" s="38">
        <v>0.105</v>
      </c>
      <c r="K55" s="38">
        <v>0.104</v>
      </c>
      <c r="AH55" s="37">
        <v>0.93743055555555566</v>
      </c>
      <c r="AI55" s="34">
        <v>2.0049999999999999</v>
      </c>
      <c r="AJ55" s="34">
        <v>2.085</v>
      </c>
      <c r="AK55" s="34">
        <v>2.0489999999999999</v>
      </c>
      <c r="AL55" s="35">
        <v>1.9410000000000001</v>
      </c>
      <c r="AM55" s="35">
        <v>1.9850000000000001</v>
      </c>
      <c r="AN55" s="35">
        <v>2.044</v>
      </c>
    </row>
    <row r="56" spans="2:40" x14ac:dyDescent="0.25">
      <c r="B56" s="37">
        <v>0.95826388888888892</v>
      </c>
      <c r="C56" s="38">
        <v>24.3</v>
      </c>
      <c r="D56" s="38">
        <v>2</v>
      </c>
      <c r="E56" s="38">
        <v>2.0870000000000002</v>
      </c>
      <c r="F56" s="38">
        <v>2.0339999999999998</v>
      </c>
      <c r="G56" s="38">
        <v>1.9359999999999999</v>
      </c>
      <c r="H56" s="38">
        <v>1.954</v>
      </c>
      <c r="I56" s="38">
        <v>2.0049999999999999</v>
      </c>
      <c r="J56" s="38">
        <v>0.105</v>
      </c>
      <c r="K56" s="38">
        <v>0.104</v>
      </c>
      <c r="AH56" s="37">
        <v>0.95826388888888892</v>
      </c>
      <c r="AI56" s="34">
        <v>2</v>
      </c>
      <c r="AJ56" s="34">
        <v>2.0870000000000002</v>
      </c>
      <c r="AK56" s="34">
        <v>2.0339999999999998</v>
      </c>
      <c r="AL56" s="35">
        <v>1.9359999999999999</v>
      </c>
      <c r="AM56" s="35">
        <v>1.954</v>
      </c>
      <c r="AN56" s="35">
        <v>2.0049999999999999</v>
      </c>
    </row>
    <row r="57" spans="2:40" x14ac:dyDescent="0.25">
      <c r="B57" s="37">
        <v>0.97909722222222229</v>
      </c>
      <c r="C57" s="38">
        <v>24.4</v>
      </c>
      <c r="D57" s="38">
        <v>2</v>
      </c>
      <c r="E57" s="38">
        <v>2.08</v>
      </c>
      <c r="F57" s="38">
        <v>2.032</v>
      </c>
      <c r="G57" s="38">
        <v>1.9359999999999999</v>
      </c>
      <c r="H57" s="38">
        <v>2.0569999999999999</v>
      </c>
      <c r="I57" s="38">
        <v>2.0209999999999999</v>
      </c>
      <c r="J57" s="38">
        <v>0.105</v>
      </c>
      <c r="K57" s="38">
        <v>0.104</v>
      </c>
      <c r="AH57" s="37">
        <v>0.97909722222222229</v>
      </c>
      <c r="AI57" s="34">
        <v>2</v>
      </c>
      <c r="AJ57" s="34">
        <v>2.08</v>
      </c>
      <c r="AK57" s="34">
        <v>2.032</v>
      </c>
      <c r="AL57" s="35">
        <v>1.9359999999999999</v>
      </c>
      <c r="AM57" s="35">
        <v>2.0569999999999999</v>
      </c>
      <c r="AN57" s="35">
        <v>2.0209999999999999</v>
      </c>
    </row>
    <row r="58" spans="2:40" x14ac:dyDescent="0.25">
      <c r="B58" s="37">
        <v>0.99993055555555566</v>
      </c>
      <c r="C58" s="38">
        <v>24.5</v>
      </c>
      <c r="D58" s="38">
        <v>2.0030000000000001</v>
      </c>
      <c r="E58" s="38">
        <v>2.0859999999999999</v>
      </c>
      <c r="F58" s="38">
        <v>2.0299999999999998</v>
      </c>
      <c r="G58" s="38">
        <v>1.948</v>
      </c>
      <c r="H58" s="38">
        <v>1.9590000000000001</v>
      </c>
      <c r="I58" s="38">
        <v>2.032</v>
      </c>
      <c r="J58" s="38">
        <v>0.105</v>
      </c>
      <c r="K58" s="38">
        <v>0.104</v>
      </c>
      <c r="AH58" s="37">
        <v>0.99993055555555566</v>
      </c>
      <c r="AI58" s="34">
        <v>2.0030000000000001</v>
      </c>
      <c r="AJ58" s="34">
        <v>2.0859999999999999</v>
      </c>
      <c r="AK58" s="34">
        <v>2.0299999999999998</v>
      </c>
      <c r="AL58" s="35">
        <v>1.948</v>
      </c>
      <c r="AM58" s="35">
        <v>1.9590000000000001</v>
      </c>
      <c r="AN58" s="35">
        <v>2.032</v>
      </c>
    </row>
    <row r="59" spans="2:40" x14ac:dyDescent="0.25">
      <c r="B59" s="39">
        <v>1.020763888888889</v>
      </c>
      <c r="C59" s="38">
        <v>24.6</v>
      </c>
      <c r="D59" s="38">
        <v>1.9990000000000001</v>
      </c>
      <c r="E59" s="38">
        <v>2.093</v>
      </c>
      <c r="F59" s="38">
        <v>2.0379999999999998</v>
      </c>
      <c r="G59" s="38">
        <v>1.94</v>
      </c>
      <c r="H59" s="38">
        <v>1.9670000000000001</v>
      </c>
      <c r="I59" s="38">
        <v>2.0099999999999998</v>
      </c>
      <c r="J59" s="38">
        <v>0.107</v>
      </c>
      <c r="K59" s="38">
        <v>0.104</v>
      </c>
      <c r="AH59" s="39">
        <v>1.020763888888889</v>
      </c>
      <c r="AI59" s="34">
        <v>1.9990000000000001</v>
      </c>
      <c r="AJ59" s="34">
        <v>2.093</v>
      </c>
      <c r="AK59" s="34">
        <v>2.0379999999999998</v>
      </c>
      <c r="AL59" s="35">
        <v>1.94</v>
      </c>
      <c r="AM59" s="35">
        <v>1.9670000000000001</v>
      </c>
      <c r="AN59" s="35">
        <v>2.0099999999999998</v>
      </c>
    </row>
  </sheetData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D4DB2-010C-4B75-9AFE-4A5F34B596B5}">
  <dimension ref="A1:AO174"/>
  <sheetViews>
    <sheetView zoomScale="60" zoomScaleNormal="60" workbookViewId="0">
      <selection sqref="A1:B2"/>
    </sheetView>
  </sheetViews>
  <sheetFormatPr baseColWidth="10" defaultRowHeight="15" x14ac:dyDescent="0.25"/>
  <sheetData>
    <row r="1" spans="1:41" x14ac:dyDescent="0.25">
      <c r="A1" s="1" t="s">
        <v>0</v>
      </c>
      <c r="B1" s="1" t="s">
        <v>1</v>
      </c>
      <c r="C1" s="1"/>
    </row>
    <row r="2" spans="1:41" x14ac:dyDescent="0.25">
      <c r="A2" s="1"/>
      <c r="B2" s="1" t="s">
        <v>2</v>
      </c>
      <c r="C2" s="1"/>
    </row>
    <row r="3" spans="1:41" x14ac:dyDescent="0.25">
      <c r="A3" s="1"/>
      <c r="B3" s="1"/>
      <c r="C3" s="1"/>
    </row>
    <row r="4" spans="1:41" x14ac:dyDescent="0.25">
      <c r="A4" s="1"/>
      <c r="B4" s="1"/>
      <c r="C4" s="1"/>
    </row>
    <row r="7" spans="1:41" x14ac:dyDescent="0.25">
      <c r="A7" s="40" t="s">
        <v>133</v>
      </c>
      <c r="C7" s="34"/>
      <c r="D7" s="34" t="s">
        <v>134</v>
      </c>
      <c r="E7" s="34"/>
      <c r="F7" s="35"/>
      <c r="G7" s="35" t="s">
        <v>136</v>
      </c>
      <c r="H7" s="35"/>
      <c r="J7" s="40" t="s">
        <v>133</v>
      </c>
      <c r="L7" s="34"/>
      <c r="M7" s="34" t="s">
        <v>134</v>
      </c>
      <c r="N7" s="34"/>
      <c r="O7" s="35"/>
      <c r="P7" s="35" t="s">
        <v>136</v>
      </c>
      <c r="Q7" s="35"/>
      <c r="S7" s="40" t="s">
        <v>133</v>
      </c>
      <c r="T7" s="46"/>
      <c r="U7" s="46" t="s">
        <v>137</v>
      </c>
      <c r="V7" s="46"/>
      <c r="W7" s="47"/>
      <c r="X7" s="47" t="s">
        <v>138</v>
      </c>
      <c r="Y7" s="47"/>
      <c r="AA7" s="40" t="s">
        <v>133</v>
      </c>
      <c r="AB7" s="46"/>
      <c r="AC7" s="46" t="s">
        <v>137</v>
      </c>
      <c r="AD7" s="46"/>
      <c r="AE7" s="47"/>
      <c r="AF7" s="47" t="s">
        <v>138</v>
      </c>
      <c r="AG7" s="47"/>
      <c r="AI7" s="40" t="s">
        <v>133</v>
      </c>
      <c r="AJ7" s="46"/>
      <c r="AK7" s="46" t="s">
        <v>137</v>
      </c>
      <c r="AL7" s="46"/>
      <c r="AM7" s="47"/>
      <c r="AN7" s="47" t="s">
        <v>138</v>
      </c>
      <c r="AO7" s="47"/>
    </row>
    <row r="8" spans="1:41" x14ac:dyDescent="0.25">
      <c r="A8" s="41" t="s">
        <v>135</v>
      </c>
      <c r="B8" s="41" t="s">
        <v>105</v>
      </c>
      <c r="C8" s="41" t="s">
        <v>106</v>
      </c>
      <c r="D8" s="41" t="s">
        <v>107</v>
      </c>
      <c r="E8" s="41" t="s">
        <v>108</v>
      </c>
      <c r="F8" s="41" t="s">
        <v>109</v>
      </c>
      <c r="G8" s="41" t="s">
        <v>110</v>
      </c>
      <c r="H8" s="41" t="s">
        <v>111</v>
      </c>
      <c r="J8" s="41" t="s">
        <v>135</v>
      </c>
      <c r="K8" s="41" t="s">
        <v>105</v>
      </c>
      <c r="L8" s="41" t="s">
        <v>106</v>
      </c>
      <c r="M8" s="41" t="s">
        <v>107</v>
      </c>
      <c r="N8" s="41" t="s">
        <v>108</v>
      </c>
      <c r="O8" s="41" t="s">
        <v>109</v>
      </c>
      <c r="P8" s="41" t="s">
        <v>110</v>
      </c>
      <c r="Q8" s="41" t="s">
        <v>111</v>
      </c>
      <c r="S8" s="41" t="s">
        <v>135</v>
      </c>
      <c r="T8" s="41" t="s">
        <v>114</v>
      </c>
      <c r="U8" s="41" t="s">
        <v>115</v>
      </c>
      <c r="V8" s="41" t="s">
        <v>116</v>
      </c>
      <c r="W8" s="41" t="s">
        <v>117</v>
      </c>
      <c r="X8" s="41" t="s">
        <v>118</v>
      </c>
      <c r="Y8" s="41" t="s">
        <v>119</v>
      </c>
      <c r="AA8" s="41" t="s">
        <v>135</v>
      </c>
      <c r="AB8" s="6" t="s">
        <v>106</v>
      </c>
      <c r="AC8" s="6" t="s">
        <v>107</v>
      </c>
      <c r="AD8" s="6" t="s">
        <v>108</v>
      </c>
      <c r="AE8" s="6" t="s">
        <v>108</v>
      </c>
      <c r="AF8" s="6" t="s">
        <v>131</v>
      </c>
      <c r="AG8" s="6" t="s">
        <v>130</v>
      </c>
      <c r="AI8" s="41" t="s">
        <v>135</v>
      </c>
      <c r="AJ8" s="6" t="s">
        <v>106</v>
      </c>
      <c r="AK8" s="6" t="s">
        <v>114</v>
      </c>
      <c r="AL8" s="6" t="s">
        <v>139</v>
      </c>
      <c r="AM8" s="6" t="s">
        <v>109</v>
      </c>
      <c r="AN8" s="6" t="s">
        <v>117</v>
      </c>
      <c r="AO8" s="6" t="s">
        <v>140</v>
      </c>
    </row>
    <row r="9" spans="1:41" x14ac:dyDescent="0.25">
      <c r="A9" s="42">
        <v>0</v>
      </c>
      <c r="B9" s="43">
        <v>8.4000000000000005E-2</v>
      </c>
      <c r="C9" s="44">
        <v>8.1000000000000003E-2</v>
      </c>
      <c r="D9" s="44">
        <v>8.2000000000000003E-2</v>
      </c>
      <c r="E9" s="44">
        <v>8.3000000000000004E-2</v>
      </c>
      <c r="F9" s="45">
        <v>8.3000000000000004E-2</v>
      </c>
      <c r="G9" s="45">
        <v>8.2000000000000003E-2</v>
      </c>
      <c r="H9" s="45">
        <v>8.3000000000000004E-2</v>
      </c>
      <c r="J9" s="42">
        <v>0</v>
      </c>
      <c r="K9" s="43">
        <v>8.3000000000000004E-2</v>
      </c>
      <c r="L9" s="44">
        <v>0.08</v>
      </c>
      <c r="M9" s="44">
        <v>8.1000000000000003E-2</v>
      </c>
      <c r="N9" s="44">
        <v>8.3000000000000004E-2</v>
      </c>
      <c r="O9" s="45">
        <v>8.3000000000000004E-2</v>
      </c>
      <c r="P9" s="45">
        <v>8.2000000000000003E-2</v>
      </c>
      <c r="Q9" s="45">
        <v>8.2000000000000003E-2</v>
      </c>
      <c r="S9" s="42">
        <v>0</v>
      </c>
      <c r="T9" s="48">
        <v>8.3000000000000004E-2</v>
      </c>
      <c r="U9" s="48">
        <v>8.3000000000000004E-2</v>
      </c>
      <c r="V9" s="48">
        <v>8.2000000000000003E-2</v>
      </c>
      <c r="W9" s="49">
        <v>8.2000000000000003E-2</v>
      </c>
      <c r="X9" s="49">
        <v>8.2000000000000003E-2</v>
      </c>
      <c r="Y9" s="49">
        <v>8.3000000000000004E-2</v>
      </c>
      <c r="AA9" s="42">
        <v>0</v>
      </c>
      <c r="AB9" s="51">
        <v>8.7999999999999995E-2</v>
      </c>
      <c r="AC9" s="51">
        <v>8.4000000000000005E-2</v>
      </c>
      <c r="AD9" s="51">
        <v>8.7999999999999995E-2</v>
      </c>
      <c r="AE9" s="52">
        <v>8.5999999999999993E-2</v>
      </c>
      <c r="AF9" s="52">
        <v>8.5999999999999993E-2</v>
      </c>
      <c r="AG9" s="52">
        <v>8.5999999999999993E-2</v>
      </c>
      <c r="AI9" s="42">
        <v>0</v>
      </c>
      <c r="AJ9" s="51">
        <v>8.5999999999999993E-2</v>
      </c>
      <c r="AK9" s="51">
        <v>8.4000000000000005E-2</v>
      </c>
      <c r="AL9" s="51">
        <v>8.4000000000000005E-2</v>
      </c>
      <c r="AM9" s="52">
        <v>8.5999999999999993E-2</v>
      </c>
      <c r="AN9" s="52">
        <v>8.4000000000000005E-2</v>
      </c>
      <c r="AO9" s="52">
        <v>8.5000000000000006E-2</v>
      </c>
    </row>
    <row r="10" spans="1:41" x14ac:dyDescent="0.25">
      <c r="A10" s="42">
        <v>1.3888888888888888E-2</v>
      </c>
      <c r="B10" s="43">
        <v>8.3000000000000004E-2</v>
      </c>
      <c r="C10" s="44">
        <v>8.1000000000000003E-2</v>
      </c>
      <c r="D10" s="44">
        <v>8.3000000000000004E-2</v>
      </c>
      <c r="E10" s="44">
        <v>8.4000000000000005E-2</v>
      </c>
      <c r="F10" s="45">
        <v>8.3000000000000004E-2</v>
      </c>
      <c r="G10" s="45">
        <v>8.2000000000000003E-2</v>
      </c>
      <c r="H10" s="45">
        <v>8.3000000000000004E-2</v>
      </c>
      <c r="J10" s="42">
        <v>1.3888888888888888E-2</v>
      </c>
      <c r="K10" s="43">
        <v>8.3000000000000004E-2</v>
      </c>
      <c r="L10" s="44">
        <v>0.08</v>
      </c>
      <c r="M10" s="44">
        <v>8.1000000000000003E-2</v>
      </c>
      <c r="N10" s="44">
        <v>8.3000000000000004E-2</v>
      </c>
      <c r="O10" s="45">
        <v>8.2000000000000003E-2</v>
      </c>
      <c r="P10" s="45">
        <v>8.2000000000000003E-2</v>
      </c>
      <c r="Q10" s="45">
        <v>8.2000000000000003E-2</v>
      </c>
      <c r="S10" s="42">
        <v>1.3888888888888888E-2</v>
      </c>
      <c r="T10" s="48">
        <v>8.2000000000000003E-2</v>
      </c>
      <c r="U10" s="48">
        <v>8.2000000000000003E-2</v>
      </c>
      <c r="V10" s="48">
        <v>8.2000000000000003E-2</v>
      </c>
      <c r="W10" s="49">
        <v>8.3000000000000004E-2</v>
      </c>
      <c r="X10" s="49">
        <v>8.2000000000000003E-2</v>
      </c>
      <c r="Y10" s="49">
        <v>8.3000000000000004E-2</v>
      </c>
      <c r="AA10" s="42">
        <v>1.3888888888888888E-2</v>
      </c>
      <c r="AB10" s="51">
        <v>8.6999999999999994E-2</v>
      </c>
      <c r="AC10" s="51">
        <v>8.5000000000000006E-2</v>
      </c>
      <c r="AD10" s="51">
        <v>8.7999999999999995E-2</v>
      </c>
      <c r="AE10" s="52">
        <v>8.5999999999999993E-2</v>
      </c>
      <c r="AF10" s="52">
        <v>8.5999999999999993E-2</v>
      </c>
      <c r="AG10" s="52">
        <v>8.5999999999999993E-2</v>
      </c>
      <c r="AI10" s="42">
        <v>1.3888888888888888E-2</v>
      </c>
      <c r="AJ10" s="51">
        <v>8.5999999999999993E-2</v>
      </c>
      <c r="AK10" s="51">
        <v>8.4000000000000005E-2</v>
      </c>
      <c r="AL10" s="51">
        <v>8.4000000000000005E-2</v>
      </c>
      <c r="AM10" s="52">
        <v>8.5000000000000006E-2</v>
      </c>
      <c r="AN10" s="52">
        <v>8.4000000000000005E-2</v>
      </c>
      <c r="AO10" s="52">
        <v>8.6999999999999994E-2</v>
      </c>
    </row>
    <row r="11" spans="1:41" x14ac:dyDescent="0.25">
      <c r="A11" s="42">
        <v>2.7777777777777776E-2</v>
      </c>
      <c r="B11" s="43">
        <v>8.3000000000000004E-2</v>
      </c>
      <c r="C11" s="44">
        <v>8.1000000000000003E-2</v>
      </c>
      <c r="D11" s="44">
        <v>8.3000000000000004E-2</v>
      </c>
      <c r="E11" s="44">
        <v>8.4000000000000005E-2</v>
      </c>
      <c r="F11" s="45">
        <v>8.3000000000000004E-2</v>
      </c>
      <c r="G11" s="45">
        <v>8.2000000000000003E-2</v>
      </c>
      <c r="H11" s="45">
        <v>8.3000000000000004E-2</v>
      </c>
      <c r="J11" s="42">
        <v>2.7777777777777776E-2</v>
      </c>
      <c r="K11" s="43">
        <v>8.4000000000000005E-2</v>
      </c>
      <c r="L11" s="44">
        <v>0.08</v>
      </c>
      <c r="M11" s="44">
        <v>8.1000000000000003E-2</v>
      </c>
      <c r="N11" s="44">
        <v>8.4000000000000005E-2</v>
      </c>
      <c r="O11" s="45">
        <v>8.3000000000000004E-2</v>
      </c>
      <c r="P11" s="45">
        <v>8.1000000000000003E-2</v>
      </c>
      <c r="Q11" s="45">
        <v>8.2000000000000003E-2</v>
      </c>
      <c r="S11" s="42">
        <v>2.7777777777777776E-2</v>
      </c>
      <c r="T11" s="48">
        <v>8.3000000000000004E-2</v>
      </c>
      <c r="U11" s="48">
        <v>8.2000000000000003E-2</v>
      </c>
      <c r="V11" s="48">
        <v>8.1000000000000003E-2</v>
      </c>
      <c r="W11" s="49">
        <v>8.3000000000000004E-2</v>
      </c>
      <c r="X11" s="49">
        <v>8.2000000000000003E-2</v>
      </c>
      <c r="Y11" s="49">
        <v>8.3000000000000004E-2</v>
      </c>
      <c r="AA11" s="42">
        <v>2.7777777777777776E-2</v>
      </c>
      <c r="AB11" s="51">
        <v>8.5999999999999993E-2</v>
      </c>
      <c r="AC11" s="51">
        <v>8.4000000000000005E-2</v>
      </c>
      <c r="AD11" s="51">
        <v>8.7999999999999995E-2</v>
      </c>
      <c r="AE11" s="52">
        <v>8.5999999999999993E-2</v>
      </c>
      <c r="AF11" s="52">
        <v>8.5999999999999993E-2</v>
      </c>
      <c r="AG11" s="52">
        <v>8.5999999999999993E-2</v>
      </c>
      <c r="AI11" s="42">
        <v>2.7777777777777776E-2</v>
      </c>
      <c r="AJ11" s="51">
        <v>8.5999999999999993E-2</v>
      </c>
      <c r="AK11" s="51">
        <v>8.4000000000000005E-2</v>
      </c>
      <c r="AL11" s="51">
        <v>8.4000000000000005E-2</v>
      </c>
      <c r="AM11" s="52">
        <v>8.5000000000000006E-2</v>
      </c>
      <c r="AN11" s="52">
        <v>8.4000000000000005E-2</v>
      </c>
      <c r="AO11" s="52">
        <v>8.6999999999999994E-2</v>
      </c>
    </row>
    <row r="12" spans="1:41" x14ac:dyDescent="0.25">
      <c r="A12" s="42">
        <v>4.1666666666666664E-2</v>
      </c>
      <c r="B12" s="43">
        <v>8.3000000000000004E-2</v>
      </c>
      <c r="C12" s="44">
        <v>8.1000000000000003E-2</v>
      </c>
      <c r="D12" s="44">
        <v>8.3000000000000004E-2</v>
      </c>
      <c r="E12" s="44">
        <v>8.3000000000000004E-2</v>
      </c>
      <c r="F12" s="45">
        <v>8.3000000000000004E-2</v>
      </c>
      <c r="G12" s="45">
        <v>8.2000000000000003E-2</v>
      </c>
      <c r="H12" s="45">
        <v>8.3000000000000004E-2</v>
      </c>
      <c r="J12" s="42">
        <v>4.1666666666666664E-2</v>
      </c>
      <c r="K12" s="43">
        <v>8.3000000000000004E-2</v>
      </c>
      <c r="L12" s="44">
        <v>0.08</v>
      </c>
      <c r="M12" s="44">
        <v>8.1000000000000003E-2</v>
      </c>
      <c r="N12" s="44">
        <v>8.3000000000000004E-2</v>
      </c>
      <c r="O12" s="45">
        <v>8.2000000000000003E-2</v>
      </c>
      <c r="P12" s="45">
        <v>8.1000000000000003E-2</v>
      </c>
      <c r="Q12" s="45">
        <v>8.2000000000000003E-2</v>
      </c>
      <c r="S12" s="42">
        <v>4.1666666666666664E-2</v>
      </c>
      <c r="T12" s="48">
        <v>8.2000000000000003E-2</v>
      </c>
      <c r="U12" s="48">
        <v>8.2000000000000003E-2</v>
      </c>
      <c r="V12" s="48">
        <v>8.1000000000000003E-2</v>
      </c>
      <c r="W12" s="49">
        <v>8.2000000000000003E-2</v>
      </c>
      <c r="X12" s="49">
        <v>8.2000000000000003E-2</v>
      </c>
      <c r="Y12" s="49">
        <v>8.3000000000000004E-2</v>
      </c>
      <c r="AA12" s="42">
        <v>4.1666666666666664E-2</v>
      </c>
      <c r="AB12" s="51">
        <v>8.6999999999999994E-2</v>
      </c>
      <c r="AC12" s="51">
        <v>8.4000000000000005E-2</v>
      </c>
      <c r="AD12" s="51">
        <v>8.7999999999999995E-2</v>
      </c>
      <c r="AE12" s="52">
        <v>8.5999999999999993E-2</v>
      </c>
      <c r="AF12" s="52">
        <v>8.5999999999999993E-2</v>
      </c>
      <c r="AG12" s="52">
        <v>8.5999999999999993E-2</v>
      </c>
      <c r="AI12" s="42">
        <v>4.1666666666666664E-2</v>
      </c>
      <c r="AJ12" s="51">
        <v>8.5999999999999993E-2</v>
      </c>
      <c r="AK12" s="51">
        <v>8.4000000000000005E-2</v>
      </c>
      <c r="AL12" s="51">
        <v>8.4000000000000005E-2</v>
      </c>
      <c r="AM12" s="52">
        <v>8.5000000000000006E-2</v>
      </c>
      <c r="AN12" s="52">
        <v>8.4000000000000005E-2</v>
      </c>
      <c r="AO12" s="52">
        <v>8.6999999999999994E-2</v>
      </c>
    </row>
    <row r="13" spans="1:41" x14ac:dyDescent="0.25">
      <c r="A13" s="42">
        <v>5.5555555555555552E-2</v>
      </c>
      <c r="B13" s="43">
        <v>8.3000000000000004E-2</v>
      </c>
      <c r="C13" s="44">
        <v>8.1000000000000003E-2</v>
      </c>
      <c r="D13" s="44">
        <v>8.3000000000000004E-2</v>
      </c>
      <c r="E13" s="44">
        <v>8.3000000000000004E-2</v>
      </c>
      <c r="F13" s="45">
        <v>8.3000000000000004E-2</v>
      </c>
      <c r="G13" s="45">
        <v>8.2000000000000003E-2</v>
      </c>
      <c r="H13" s="45">
        <v>8.3000000000000004E-2</v>
      </c>
      <c r="J13" s="42">
        <v>5.5555555555555552E-2</v>
      </c>
      <c r="K13" s="43">
        <v>8.3000000000000004E-2</v>
      </c>
      <c r="L13" s="44">
        <v>0.08</v>
      </c>
      <c r="M13" s="44">
        <v>8.1000000000000003E-2</v>
      </c>
      <c r="N13" s="44">
        <v>8.3000000000000004E-2</v>
      </c>
      <c r="O13" s="45">
        <v>8.3000000000000004E-2</v>
      </c>
      <c r="P13" s="45">
        <v>8.1000000000000003E-2</v>
      </c>
      <c r="Q13" s="45">
        <v>8.2000000000000003E-2</v>
      </c>
      <c r="S13" s="42">
        <v>5.5555555555555552E-2</v>
      </c>
      <c r="T13" s="48">
        <v>8.2000000000000003E-2</v>
      </c>
      <c r="U13" s="48">
        <v>8.2000000000000003E-2</v>
      </c>
      <c r="V13" s="48">
        <v>8.1000000000000003E-2</v>
      </c>
      <c r="W13" s="49">
        <v>8.2000000000000003E-2</v>
      </c>
      <c r="X13" s="49">
        <v>8.2000000000000003E-2</v>
      </c>
      <c r="Y13" s="49">
        <v>8.2000000000000003E-2</v>
      </c>
      <c r="AA13" s="42">
        <v>5.5555555555555552E-2</v>
      </c>
      <c r="AB13" s="51">
        <v>8.6999999999999994E-2</v>
      </c>
      <c r="AC13" s="51">
        <v>8.4000000000000005E-2</v>
      </c>
      <c r="AD13" s="51">
        <v>8.7999999999999995E-2</v>
      </c>
      <c r="AE13" s="52">
        <v>8.5999999999999993E-2</v>
      </c>
      <c r="AF13" s="52">
        <v>8.5999999999999993E-2</v>
      </c>
      <c r="AG13" s="52">
        <v>8.5999999999999993E-2</v>
      </c>
      <c r="AI13" s="42">
        <v>5.5555555555555552E-2</v>
      </c>
      <c r="AJ13" s="51">
        <v>8.5999999999999993E-2</v>
      </c>
      <c r="AK13" s="51">
        <v>8.4000000000000005E-2</v>
      </c>
      <c r="AL13" s="51">
        <v>8.4000000000000005E-2</v>
      </c>
      <c r="AM13" s="52">
        <v>8.5000000000000006E-2</v>
      </c>
      <c r="AN13" s="52">
        <v>8.4000000000000005E-2</v>
      </c>
      <c r="AO13" s="52">
        <v>8.5999999999999993E-2</v>
      </c>
    </row>
    <row r="14" spans="1:41" x14ac:dyDescent="0.25">
      <c r="A14" s="42">
        <v>6.9444444444444434E-2</v>
      </c>
      <c r="B14" s="43">
        <v>8.3000000000000004E-2</v>
      </c>
      <c r="C14" s="44">
        <v>8.1000000000000003E-2</v>
      </c>
      <c r="D14" s="44">
        <v>8.2000000000000003E-2</v>
      </c>
      <c r="E14" s="44">
        <v>8.3000000000000004E-2</v>
      </c>
      <c r="F14" s="45">
        <v>8.3000000000000004E-2</v>
      </c>
      <c r="G14" s="45">
        <v>8.2000000000000003E-2</v>
      </c>
      <c r="H14" s="45">
        <v>8.3000000000000004E-2</v>
      </c>
      <c r="J14" s="42">
        <v>6.9444444444444434E-2</v>
      </c>
      <c r="K14" s="43">
        <v>8.3000000000000004E-2</v>
      </c>
      <c r="L14" s="44">
        <v>0.08</v>
      </c>
      <c r="M14" s="44">
        <v>8.1000000000000003E-2</v>
      </c>
      <c r="N14" s="44">
        <v>8.3000000000000004E-2</v>
      </c>
      <c r="O14" s="45">
        <v>8.3000000000000004E-2</v>
      </c>
      <c r="P14" s="45">
        <v>8.1000000000000003E-2</v>
      </c>
      <c r="Q14" s="45">
        <v>8.2000000000000003E-2</v>
      </c>
      <c r="S14" s="42">
        <v>6.9444444444444434E-2</v>
      </c>
      <c r="T14" s="48">
        <v>8.2000000000000003E-2</v>
      </c>
      <c r="U14" s="48">
        <v>8.2000000000000003E-2</v>
      </c>
      <c r="V14" s="48">
        <v>8.1000000000000003E-2</v>
      </c>
      <c r="W14" s="49">
        <v>8.2000000000000003E-2</v>
      </c>
      <c r="X14" s="49">
        <v>8.2000000000000003E-2</v>
      </c>
      <c r="Y14" s="49">
        <v>8.2000000000000003E-2</v>
      </c>
      <c r="AA14" s="42">
        <v>6.9444444444444434E-2</v>
      </c>
      <c r="AB14" s="51">
        <v>8.6999999999999994E-2</v>
      </c>
      <c r="AC14" s="51">
        <v>8.4000000000000005E-2</v>
      </c>
      <c r="AD14" s="51">
        <v>8.7999999999999995E-2</v>
      </c>
      <c r="AE14" s="52">
        <v>8.5999999999999993E-2</v>
      </c>
      <c r="AF14" s="52">
        <v>8.5999999999999993E-2</v>
      </c>
      <c r="AG14" s="52">
        <v>8.5999999999999993E-2</v>
      </c>
      <c r="AI14" s="42">
        <v>6.9444444444444434E-2</v>
      </c>
      <c r="AJ14" s="51">
        <v>8.5999999999999993E-2</v>
      </c>
      <c r="AK14" s="51">
        <v>8.4000000000000005E-2</v>
      </c>
      <c r="AL14" s="51">
        <v>8.4000000000000005E-2</v>
      </c>
      <c r="AM14" s="52">
        <v>8.5000000000000006E-2</v>
      </c>
      <c r="AN14" s="52">
        <v>8.4000000000000005E-2</v>
      </c>
      <c r="AO14" s="52">
        <v>8.6999999999999994E-2</v>
      </c>
    </row>
    <row r="15" spans="1:41" x14ac:dyDescent="0.25">
      <c r="A15" s="42">
        <v>8.3333333333333329E-2</v>
      </c>
      <c r="B15" s="43">
        <v>8.3000000000000004E-2</v>
      </c>
      <c r="C15" s="44">
        <v>8.1000000000000003E-2</v>
      </c>
      <c r="D15" s="44">
        <v>8.3000000000000004E-2</v>
      </c>
      <c r="E15" s="44">
        <v>8.4000000000000005E-2</v>
      </c>
      <c r="F15" s="45">
        <v>8.3000000000000004E-2</v>
      </c>
      <c r="G15" s="45">
        <v>8.2000000000000003E-2</v>
      </c>
      <c r="H15" s="45">
        <v>8.3000000000000004E-2</v>
      </c>
      <c r="J15" s="42">
        <v>8.3333333333333329E-2</v>
      </c>
      <c r="K15" s="43">
        <v>8.3000000000000004E-2</v>
      </c>
      <c r="L15" s="44">
        <v>0.08</v>
      </c>
      <c r="M15" s="44">
        <v>8.1000000000000003E-2</v>
      </c>
      <c r="N15" s="44">
        <v>8.3000000000000004E-2</v>
      </c>
      <c r="O15" s="45">
        <v>8.2000000000000003E-2</v>
      </c>
      <c r="P15" s="45">
        <v>8.1000000000000003E-2</v>
      </c>
      <c r="Q15" s="45">
        <v>8.2000000000000003E-2</v>
      </c>
      <c r="S15" s="42">
        <v>8.3333333333333329E-2</v>
      </c>
      <c r="T15" s="48">
        <v>8.2000000000000003E-2</v>
      </c>
      <c r="U15" s="48">
        <v>8.2000000000000003E-2</v>
      </c>
      <c r="V15" s="48">
        <v>8.2000000000000003E-2</v>
      </c>
      <c r="W15" s="49">
        <v>8.2000000000000003E-2</v>
      </c>
      <c r="X15" s="49">
        <v>8.2000000000000003E-2</v>
      </c>
      <c r="Y15" s="49">
        <v>8.3000000000000004E-2</v>
      </c>
      <c r="AA15" s="42">
        <v>8.3333333333333329E-2</v>
      </c>
      <c r="AB15" s="51">
        <v>8.6999999999999994E-2</v>
      </c>
      <c r="AC15" s="51">
        <v>8.4000000000000005E-2</v>
      </c>
      <c r="AD15" s="51">
        <v>8.8999999999999996E-2</v>
      </c>
      <c r="AE15" s="52">
        <v>8.5999999999999993E-2</v>
      </c>
      <c r="AF15" s="52">
        <v>8.5999999999999993E-2</v>
      </c>
      <c r="AG15" s="52">
        <v>8.5999999999999993E-2</v>
      </c>
      <c r="AI15" s="42">
        <v>8.3333333333333329E-2</v>
      </c>
      <c r="AJ15" s="51">
        <v>8.5999999999999993E-2</v>
      </c>
      <c r="AK15" s="51">
        <v>8.4000000000000005E-2</v>
      </c>
      <c r="AL15" s="51">
        <v>8.4000000000000005E-2</v>
      </c>
      <c r="AM15" s="52">
        <v>8.5000000000000006E-2</v>
      </c>
      <c r="AN15" s="52">
        <v>8.4000000000000005E-2</v>
      </c>
      <c r="AO15" s="52">
        <v>8.5999999999999993E-2</v>
      </c>
    </row>
    <row r="16" spans="1:41" x14ac:dyDescent="0.25">
      <c r="A16" s="42">
        <v>9.7222222222222224E-2</v>
      </c>
      <c r="B16" s="43">
        <v>8.3000000000000004E-2</v>
      </c>
      <c r="C16" s="44">
        <v>8.1000000000000003E-2</v>
      </c>
      <c r="D16" s="44">
        <v>8.3000000000000004E-2</v>
      </c>
      <c r="E16" s="44">
        <v>8.3000000000000004E-2</v>
      </c>
      <c r="F16" s="45">
        <v>8.3000000000000004E-2</v>
      </c>
      <c r="G16" s="45">
        <v>8.2000000000000003E-2</v>
      </c>
      <c r="H16" s="45">
        <v>8.3000000000000004E-2</v>
      </c>
      <c r="J16" s="42">
        <v>9.7222222222222224E-2</v>
      </c>
      <c r="K16" s="43">
        <v>8.3000000000000004E-2</v>
      </c>
      <c r="L16" s="44">
        <v>0.08</v>
      </c>
      <c r="M16" s="44">
        <v>8.1000000000000003E-2</v>
      </c>
      <c r="N16" s="44">
        <v>8.3000000000000004E-2</v>
      </c>
      <c r="O16" s="45">
        <v>8.2000000000000003E-2</v>
      </c>
      <c r="P16" s="45">
        <v>8.1000000000000003E-2</v>
      </c>
      <c r="Q16" s="45">
        <v>8.2000000000000003E-2</v>
      </c>
      <c r="S16" s="42">
        <v>9.7222222222222224E-2</v>
      </c>
      <c r="T16" s="48">
        <v>8.3000000000000004E-2</v>
      </c>
      <c r="U16" s="48">
        <v>8.2000000000000003E-2</v>
      </c>
      <c r="V16" s="48">
        <v>8.1000000000000003E-2</v>
      </c>
      <c r="W16" s="49">
        <v>8.2000000000000003E-2</v>
      </c>
      <c r="X16" s="49">
        <v>8.2000000000000003E-2</v>
      </c>
      <c r="Y16" s="49">
        <v>8.3000000000000004E-2</v>
      </c>
      <c r="AA16" s="42">
        <v>9.7222222222222224E-2</v>
      </c>
      <c r="AB16" s="51">
        <v>8.6999999999999994E-2</v>
      </c>
      <c r="AC16" s="51">
        <v>8.4000000000000005E-2</v>
      </c>
      <c r="AD16" s="51">
        <v>8.7999999999999995E-2</v>
      </c>
      <c r="AE16" s="52">
        <v>8.5999999999999993E-2</v>
      </c>
      <c r="AF16" s="52">
        <v>8.5999999999999993E-2</v>
      </c>
      <c r="AG16" s="52">
        <v>8.5999999999999993E-2</v>
      </c>
      <c r="AI16" s="42">
        <v>9.7222222222222224E-2</v>
      </c>
      <c r="AJ16" s="51">
        <v>8.5999999999999993E-2</v>
      </c>
      <c r="AK16" s="51">
        <v>8.4000000000000005E-2</v>
      </c>
      <c r="AL16" s="51">
        <v>8.5000000000000006E-2</v>
      </c>
      <c r="AM16" s="52">
        <v>8.5000000000000006E-2</v>
      </c>
      <c r="AN16" s="52">
        <v>8.4000000000000005E-2</v>
      </c>
      <c r="AO16" s="52">
        <v>8.6999999999999994E-2</v>
      </c>
    </row>
    <row r="17" spans="1:41" x14ac:dyDescent="0.25">
      <c r="A17" s="42">
        <v>0.1111111111111111</v>
      </c>
      <c r="B17" s="43">
        <v>8.3000000000000004E-2</v>
      </c>
      <c r="C17" s="44">
        <v>8.1000000000000003E-2</v>
      </c>
      <c r="D17" s="44">
        <v>8.3000000000000004E-2</v>
      </c>
      <c r="E17" s="44">
        <v>8.3000000000000004E-2</v>
      </c>
      <c r="F17" s="45">
        <v>8.3000000000000004E-2</v>
      </c>
      <c r="G17" s="45">
        <v>8.2000000000000003E-2</v>
      </c>
      <c r="H17" s="45">
        <v>8.3000000000000004E-2</v>
      </c>
      <c r="J17" s="42">
        <v>0.1111111111111111</v>
      </c>
      <c r="K17" s="43">
        <v>8.3000000000000004E-2</v>
      </c>
      <c r="L17" s="44">
        <v>0.08</v>
      </c>
      <c r="M17" s="44">
        <v>8.1000000000000003E-2</v>
      </c>
      <c r="N17" s="44">
        <v>8.3000000000000004E-2</v>
      </c>
      <c r="O17" s="45">
        <v>8.2000000000000003E-2</v>
      </c>
      <c r="P17" s="45">
        <v>8.1000000000000003E-2</v>
      </c>
      <c r="Q17" s="45">
        <v>8.2000000000000003E-2</v>
      </c>
      <c r="S17" s="42">
        <v>0.1111111111111111</v>
      </c>
      <c r="T17" s="48">
        <v>8.2000000000000003E-2</v>
      </c>
      <c r="U17" s="48">
        <v>8.3000000000000004E-2</v>
      </c>
      <c r="V17" s="48">
        <v>8.2000000000000003E-2</v>
      </c>
      <c r="W17" s="49">
        <v>8.3000000000000004E-2</v>
      </c>
      <c r="X17" s="49">
        <v>8.2000000000000003E-2</v>
      </c>
      <c r="Y17" s="49">
        <v>8.2000000000000003E-2</v>
      </c>
      <c r="AA17" s="42">
        <v>0.1111111111111111</v>
      </c>
      <c r="AB17" s="51">
        <v>8.6999999999999994E-2</v>
      </c>
      <c r="AC17" s="51">
        <v>8.5000000000000006E-2</v>
      </c>
      <c r="AD17" s="51">
        <v>8.7999999999999995E-2</v>
      </c>
      <c r="AE17" s="52">
        <v>8.6999999999999994E-2</v>
      </c>
      <c r="AF17" s="52">
        <v>8.5999999999999993E-2</v>
      </c>
      <c r="AG17" s="52">
        <v>8.5999999999999993E-2</v>
      </c>
      <c r="AI17" s="42">
        <v>0.1111111111111111</v>
      </c>
      <c r="AJ17" s="51">
        <v>8.5999999999999993E-2</v>
      </c>
      <c r="AK17" s="51">
        <v>8.4000000000000005E-2</v>
      </c>
      <c r="AL17" s="51">
        <v>8.4000000000000005E-2</v>
      </c>
      <c r="AM17" s="52">
        <v>8.5999999999999993E-2</v>
      </c>
      <c r="AN17" s="52">
        <v>8.5000000000000006E-2</v>
      </c>
      <c r="AO17" s="52">
        <v>8.6999999999999994E-2</v>
      </c>
    </row>
    <row r="18" spans="1:41" x14ac:dyDescent="0.25">
      <c r="A18" s="42">
        <v>0.125</v>
      </c>
      <c r="B18" s="43">
        <v>8.3000000000000004E-2</v>
      </c>
      <c r="C18" s="44">
        <v>8.1000000000000003E-2</v>
      </c>
      <c r="D18" s="44">
        <v>8.3000000000000004E-2</v>
      </c>
      <c r="E18" s="44">
        <v>8.4000000000000005E-2</v>
      </c>
      <c r="F18" s="45">
        <v>8.3000000000000004E-2</v>
      </c>
      <c r="G18" s="45">
        <v>8.2000000000000003E-2</v>
      </c>
      <c r="H18" s="45">
        <v>8.3000000000000004E-2</v>
      </c>
      <c r="J18" s="42">
        <v>0.125</v>
      </c>
      <c r="K18" s="43">
        <v>8.3000000000000004E-2</v>
      </c>
      <c r="L18" s="44">
        <v>0.08</v>
      </c>
      <c r="M18" s="44">
        <v>8.1000000000000003E-2</v>
      </c>
      <c r="N18" s="44">
        <v>8.4000000000000005E-2</v>
      </c>
      <c r="O18" s="45">
        <v>8.2000000000000003E-2</v>
      </c>
      <c r="P18" s="45">
        <v>8.1000000000000003E-2</v>
      </c>
      <c r="Q18" s="45">
        <v>8.2000000000000003E-2</v>
      </c>
      <c r="S18" s="42">
        <v>0.125</v>
      </c>
      <c r="T18" s="48">
        <v>8.3000000000000004E-2</v>
      </c>
      <c r="U18" s="48">
        <v>8.2000000000000003E-2</v>
      </c>
      <c r="V18" s="48">
        <v>8.2000000000000003E-2</v>
      </c>
      <c r="W18" s="49">
        <v>8.2000000000000003E-2</v>
      </c>
      <c r="X18" s="49">
        <v>8.2000000000000003E-2</v>
      </c>
      <c r="Y18" s="49">
        <v>8.2000000000000003E-2</v>
      </c>
      <c r="AA18" s="42">
        <v>0.125</v>
      </c>
      <c r="AB18" s="51">
        <v>8.6999999999999994E-2</v>
      </c>
      <c r="AC18" s="51">
        <v>8.5000000000000006E-2</v>
      </c>
      <c r="AD18" s="51">
        <v>8.7999999999999995E-2</v>
      </c>
      <c r="AE18" s="52">
        <v>8.6999999999999994E-2</v>
      </c>
      <c r="AF18" s="52">
        <v>8.5999999999999993E-2</v>
      </c>
      <c r="AG18" s="52">
        <v>8.6999999999999994E-2</v>
      </c>
      <c r="AI18" s="42">
        <v>0.125</v>
      </c>
      <c r="AJ18" s="51">
        <v>8.5999999999999993E-2</v>
      </c>
      <c r="AK18" s="51">
        <v>8.4000000000000005E-2</v>
      </c>
      <c r="AL18" s="51">
        <v>8.4000000000000005E-2</v>
      </c>
      <c r="AM18" s="52">
        <v>8.5999999999999993E-2</v>
      </c>
      <c r="AN18" s="52">
        <v>8.4000000000000005E-2</v>
      </c>
      <c r="AO18" s="52">
        <v>8.6999999999999994E-2</v>
      </c>
    </row>
    <row r="19" spans="1:41" x14ac:dyDescent="0.25">
      <c r="A19" s="42">
        <v>0.1388888888888889</v>
      </c>
      <c r="B19" s="43">
        <v>8.3000000000000004E-2</v>
      </c>
      <c r="C19" s="44">
        <v>8.1000000000000003E-2</v>
      </c>
      <c r="D19" s="44">
        <v>8.3000000000000004E-2</v>
      </c>
      <c r="E19" s="44">
        <v>8.4000000000000005E-2</v>
      </c>
      <c r="F19" s="45">
        <v>8.3000000000000004E-2</v>
      </c>
      <c r="G19" s="45">
        <v>8.2000000000000003E-2</v>
      </c>
      <c r="H19" s="45">
        <v>8.3000000000000004E-2</v>
      </c>
      <c r="J19" s="42">
        <v>0.1388888888888889</v>
      </c>
      <c r="K19" s="43">
        <v>8.3000000000000004E-2</v>
      </c>
      <c r="L19" s="44">
        <v>8.1000000000000003E-2</v>
      </c>
      <c r="M19" s="44">
        <v>8.1000000000000003E-2</v>
      </c>
      <c r="N19" s="44">
        <v>8.4000000000000005E-2</v>
      </c>
      <c r="O19" s="45">
        <v>8.2000000000000003E-2</v>
      </c>
      <c r="P19" s="45">
        <v>8.2000000000000003E-2</v>
      </c>
      <c r="Q19" s="45">
        <v>8.2000000000000003E-2</v>
      </c>
      <c r="S19" s="42">
        <v>0.1388888888888889</v>
      </c>
      <c r="T19" s="48">
        <v>8.2000000000000003E-2</v>
      </c>
      <c r="U19" s="48">
        <v>8.2000000000000003E-2</v>
      </c>
      <c r="V19" s="48">
        <v>8.2000000000000003E-2</v>
      </c>
      <c r="W19" s="49">
        <v>8.2000000000000003E-2</v>
      </c>
      <c r="X19" s="49">
        <v>8.2000000000000003E-2</v>
      </c>
      <c r="Y19" s="49">
        <v>8.3000000000000004E-2</v>
      </c>
      <c r="AA19" s="42">
        <v>0.1388888888888889</v>
      </c>
      <c r="AB19" s="51">
        <v>8.6999999999999994E-2</v>
      </c>
      <c r="AC19" s="51">
        <v>8.4000000000000005E-2</v>
      </c>
      <c r="AD19" s="51">
        <v>8.8999999999999996E-2</v>
      </c>
      <c r="AE19" s="52">
        <v>8.5999999999999993E-2</v>
      </c>
      <c r="AF19" s="52">
        <v>8.5999999999999993E-2</v>
      </c>
      <c r="AG19" s="52">
        <v>8.5999999999999993E-2</v>
      </c>
      <c r="AI19" s="42">
        <v>0.1388888888888889</v>
      </c>
      <c r="AJ19" s="51">
        <v>8.5999999999999993E-2</v>
      </c>
      <c r="AK19" s="51">
        <v>8.4000000000000005E-2</v>
      </c>
      <c r="AL19" s="51">
        <v>8.4000000000000005E-2</v>
      </c>
      <c r="AM19" s="52">
        <v>8.5000000000000006E-2</v>
      </c>
      <c r="AN19" s="52">
        <v>8.5000000000000006E-2</v>
      </c>
      <c r="AO19" s="52">
        <v>8.6999999999999994E-2</v>
      </c>
    </row>
    <row r="20" spans="1:41" x14ac:dyDescent="0.25">
      <c r="A20" s="42">
        <v>0.15277777777777776</v>
      </c>
      <c r="B20" s="43">
        <v>8.3000000000000004E-2</v>
      </c>
      <c r="C20" s="44">
        <v>8.1000000000000003E-2</v>
      </c>
      <c r="D20" s="44">
        <v>8.3000000000000004E-2</v>
      </c>
      <c r="E20" s="44">
        <v>8.4000000000000005E-2</v>
      </c>
      <c r="F20" s="45">
        <v>8.3000000000000004E-2</v>
      </c>
      <c r="G20" s="45">
        <v>8.2000000000000003E-2</v>
      </c>
      <c r="H20" s="45">
        <v>8.3000000000000004E-2</v>
      </c>
      <c r="J20" s="42">
        <v>0.15277777777777776</v>
      </c>
      <c r="K20" s="43">
        <v>8.3000000000000004E-2</v>
      </c>
      <c r="L20" s="44">
        <v>0.08</v>
      </c>
      <c r="M20" s="44">
        <v>8.2000000000000003E-2</v>
      </c>
      <c r="N20" s="44">
        <v>8.4000000000000005E-2</v>
      </c>
      <c r="O20" s="45">
        <v>8.3000000000000004E-2</v>
      </c>
      <c r="P20" s="45">
        <v>8.2000000000000003E-2</v>
      </c>
      <c r="Q20" s="45">
        <v>8.2000000000000003E-2</v>
      </c>
      <c r="S20" s="42">
        <v>0.15277777777777776</v>
      </c>
      <c r="T20" s="48">
        <v>8.3000000000000004E-2</v>
      </c>
      <c r="U20" s="48">
        <v>8.2000000000000003E-2</v>
      </c>
      <c r="V20" s="48">
        <v>8.2000000000000003E-2</v>
      </c>
      <c r="W20" s="49">
        <v>8.2000000000000003E-2</v>
      </c>
      <c r="X20" s="49">
        <v>8.2000000000000003E-2</v>
      </c>
      <c r="Y20" s="49">
        <v>8.2000000000000003E-2</v>
      </c>
      <c r="AA20" s="42">
        <v>0.15277777777777776</v>
      </c>
      <c r="AB20" s="51">
        <v>8.6999999999999994E-2</v>
      </c>
      <c r="AC20" s="51">
        <v>8.5000000000000006E-2</v>
      </c>
      <c r="AD20" s="51">
        <v>8.8999999999999996E-2</v>
      </c>
      <c r="AE20" s="52">
        <v>8.6999999999999994E-2</v>
      </c>
      <c r="AF20" s="52">
        <v>8.6999999999999994E-2</v>
      </c>
      <c r="AG20" s="52">
        <v>8.6999999999999994E-2</v>
      </c>
      <c r="AI20" s="42">
        <v>0.15277777777777776</v>
      </c>
      <c r="AJ20" s="51">
        <v>8.5999999999999993E-2</v>
      </c>
      <c r="AK20" s="51">
        <v>8.5000000000000006E-2</v>
      </c>
      <c r="AL20" s="51">
        <v>8.4000000000000005E-2</v>
      </c>
      <c r="AM20" s="52">
        <v>8.5999999999999993E-2</v>
      </c>
      <c r="AN20" s="52">
        <v>8.5000000000000006E-2</v>
      </c>
      <c r="AO20" s="52">
        <v>8.6999999999999994E-2</v>
      </c>
    </row>
    <row r="21" spans="1:41" x14ac:dyDescent="0.25">
      <c r="A21" s="42">
        <v>0.16666666666666666</v>
      </c>
      <c r="B21" s="43">
        <v>8.3000000000000004E-2</v>
      </c>
      <c r="C21" s="44">
        <v>8.1000000000000003E-2</v>
      </c>
      <c r="D21" s="44">
        <v>8.3000000000000004E-2</v>
      </c>
      <c r="E21" s="44">
        <v>8.4000000000000005E-2</v>
      </c>
      <c r="F21" s="45">
        <v>8.3000000000000004E-2</v>
      </c>
      <c r="G21" s="45">
        <v>8.2000000000000003E-2</v>
      </c>
      <c r="H21" s="45">
        <v>8.3000000000000004E-2</v>
      </c>
      <c r="J21" s="42">
        <v>0.16666666666666666</v>
      </c>
      <c r="K21" s="43">
        <v>8.3000000000000004E-2</v>
      </c>
      <c r="L21" s="44">
        <v>8.1000000000000003E-2</v>
      </c>
      <c r="M21" s="44">
        <v>8.2000000000000003E-2</v>
      </c>
      <c r="N21" s="44">
        <v>8.4000000000000005E-2</v>
      </c>
      <c r="O21" s="45">
        <v>8.3000000000000004E-2</v>
      </c>
      <c r="P21" s="45">
        <v>8.1000000000000003E-2</v>
      </c>
      <c r="Q21" s="45">
        <v>8.2000000000000003E-2</v>
      </c>
      <c r="S21" s="42">
        <v>0.16666666666666666</v>
      </c>
      <c r="T21" s="48">
        <v>8.3000000000000004E-2</v>
      </c>
      <c r="U21" s="48">
        <v>8.2000000000000003E-2</v>
      </c>
      <c r="V21" s="48">
        <v>8.2000000000000003E-2</v>
      </c>
      <c r="W21" s="49">
        <v>8.3000000000000004E-2</v>
      </c>
      <c r="X21" s="49">
        <v>8.2000000000000003E-2</v>
      </c>
      <c r="Y21" s="49">
        <v>8.3000000000000004E-2</v>
      </c>
      <c r="AA21" s="42">
        <v>0.16666666666666666</v>
      </c>
      <c r="AB21" s="51">
        <v>8.6999999999999994E-2</v>
      </c>
      <c r="AC21" s="51">
        <v>8.5000000000000006E-2</v>
      </c>
      <c r="AD21" s="51">
        <v>8.8999999999999996E-2</v>
      </c>
      <c r="AE21" s="52">
        <v>8.6999999999999994E-2</v>
      </c>
      <c r="AF21" s="52">
        <v>8.6999999999999994E-2</v>
      </c>
      <c r="AG21" s="52">
        <v>8.6999999999999994E-2</v>
      </c>
      <c r="AI21" s="42">
        <v>0.16666666666666666</v>
      </c>
      <c r="AJ21" s="51">
        <v>8.5999999999999993E-2</v>
      </c>
      <c r="AK21" s="51">
        <v>8.5000000000000006E-2</v>
      </c>
      <c r="AL21" s="51">
        <v>8.5000000000000006E-2</v>
      </c>
      <c r="AM21" s="52">
        <v>8.5999999999999993E-2</v>
      </c>
      <c r="AN21" s="52">
        <v>8.5000000000000006E-2</v>
      </c>
      <c r="AO21" s="52">
        <v>8.6999999999999994E-2</v>
      </c>
    </row>
    <row r="22" spans="1:41" x14ac:dyDescent="0.25">
      <c r="A22" s="42">
        <v>0.18055555555555555</v>
      </c>
      <c r="B22" s="43">
        <v>8.3000000000000004E-2</v>
      </c>
      <c r="C22" s="44">
        <v>8.1000000000000003E-2</v>
      </c>
      <c r="D22" s="44">
        <v>8.3000000000000004E-2</v>
      </c>
      <c r="E22" s="44">
        <v>8.4000000000000005E-2</v>
      </c>
      <c r="F22" s="45">
        <v>8.3000000000000004E-2</v>
      </c>
      <c r="G22" s="45">
        <v>8.2000000000000003E-2</v>
      </c>
      <c r="H22" s="45">
        <v>8.3000000000000004E-2</v>
      </c>
      <c r="J22" s="42">
        <v>0.18055555555555555</v>
      </c>
      <c r="K22" s="43">
        <v>8.3000000000000004E-2</v>
      </c>
      <c r="L22" s="44">
        <v>8.1000000000000003E-2</v>
      </c>
      <c r="M22" s="44">
        <v>8.2000000000000003E-2</v>
      </c>
      <c r="N22" s="44">
        <v>8.5000000000000006E-2</v>
      </c>
      <c r="O22" s="45">
        <v>8.3000000000000004E-2</v>
      </c>
      <c r="P22" s="45">
        <v>8.2000000000000003E-2</v>
      </c>
      <c r="Q22" s="45">
        <v>8.2000000000000003E-2</v>
      </c>
      <c r="S22" s="42">
        <v>0.18055555555555555</v>
      </c>
      <c r="T22" s="48">
        <v>8.3000000000000004E-2</v>
      </c>
      <c r="U22" s="48">
        <v>8.3000000000000004E-2</v>
      </c>
      <c r="V22" s="48">
        <v>8.2000000000000003E-2</v>
      </c>
      <c r="W22" s="49">
        <v>8.3000000000000004E-2</v>
      </c>
      <c r="X22" s="49">
        <v>8.2000000000000003E-2</v>
      </c>
      <c r="Y22" s="49">
        <v>8.3000000000000004E-2</v>
      </c>
      <c r="AA22" s="42">
        <v>0.18055555555555555</v>
      </c>
      <c r="AB22" s="51">
        <v>8.6999999999999994E-2</v>
      </c>
      <c r="AC22" s="51">
        <v>8.5000000000000006E-2</v>
      </c>
      <c r="AD22" s="51">
        <v>8.8999999999999996E-2</v>
      </c>
      <c r="AE22" s="52">
        <v>8.6999999999999994E-2</v>
      </c>
      <c r="AF22" s="52">
        <v>8.6999999999999994E-2</v>
      </c>
      <c r="AG22" s="52">
        <v>8.6999999999999994E-2</v>
      </c>
      <c r="AI22" s="42">
        <v>0.18055555555555555</v>
      </c>
      <c r="AJ22" s="51">
        <v>8.6999999999999994E-2</v>
      </c>
      <c r="AK22" s="51">
        <v>8.5000000000000006E-2</v>
      </c>
      <c r="AL22" s="51">
        <v>8.5000000000000006E-2</v>
      </c>
      <c r="AM22" s="52">
        <v>8.5999999999999993E-2</v>
      </c>
      <c r="AN22" s="52">
        <v>8.5000000000000006E-2</v>
      </c>
      <c r="AO22" s="52">
        <v>8.5999999999999993E-2</v>
      </c>
    </row>
    <row r="23" spans="1:41" x14ac:dyDescent="0.25">
      <c r="A23" s="42">
        <v>0.19444444444444445</v>
      </c>
      <c r="B23" s="43">
        <v>8.3000000000000004E-2</v>
      </c>
      <c r="C23" s="44">
        <v>8.1000000000000003E-2</v>
      </c>
      <c r="D23" s="44">
        <v>8.3000000000000004E-2</v>
      </c>
      <c r="E23" s="44">
        <v>8.4000000000000005E-2</v>
      </c>
      <c r="F23" s="45">
        <v>8.4000000000000005E-2</v>
      </c>
      <c r="G23" s="45">
        <v>8.2000000000000003E-2</v>
      </c>
      <c r="H23" s="45">
        <v>8.4000000000000005E-2</v>
      </c>
      <c r="J23" s="42">
        <v>0.19444444444444445</v>
      </c>
      <c r="K23" s="43">
        <v>8.4000000000000005E-2</v>
      </c>
      <c r="L23" s="44">
        <v>8.2000000000000003E-2</v>
      </c>
      <c r="M23" s="44">
        <v>8.3000000000000004E-2</v>
      </c>
      <c r="N23" s="44">
        <v>8.5000000000000006E-2</v>
      </c>
      <c r="O23" s="45">
        <v>8.3000000000000004E-2</v>
      </c>
      <c r="P23" s="45">
        <v>8.2000000000000003E-2</v>
      </c>
      <c r="Q23" s="45">
        <v>8.3000000000000004E-2</v>
      </c>
      <c r="S23" s="42">
        <v>0.19444444444444445</v>
      </c>
      <c r="T23" s="48">
        <v>8.3000000000000004E-2</v>
      </c>
      <c r="U23" s="48">
        <v>8.3000000000000004E-2</v>
      </c>
      <c r="V23" s="48">
        <v>8.2000000000000003E-2</v>
      </c>
      <c r="W23" s="49">
        <v>8.3000000000000004E-2</v>
      </c>
      <c r="X23" s="49">
        <v>8.2000000000000003E-2</v>
      </c>
      <c r="Y23" s="49">
        <v>8.3000000000000004E-2</v>
      </c>
      <c r="AA23" s="42">
        <v>0.19444444444444445</v>
      </c>
      <c r="AB23" s="51">
        <v>8.6999999999999994E-2</v>
      </c>
      <c r="AC23" s="51">
        <v>8.5000000000000006E-2</v>
      </c>
      <c r="AD23" s="51">
        <v>8.8999999999999996E-2</v>
      </c>
      <c r="AE23" s="52">
        <v>8.6999999999999994E-2</v>
      </c>
      <c r="AF23" s="52">
        <v>8.6999999999999994E-2</v>
      </c>
      <c r="AG23" s="52">
        <v>8.6999999999999994E-2</v>
      </c>
      <c r="AI23" s="42">
        <v>0.19444444444444445</v>
      </c>
      <c r="AJ23" s="51">
        <v>8.6999999999999994E-2</v>
      </c>
      <c r="AK23" s="51">
        <v>8.5000000000000006E-2</v>
      </c>
      <c r="AL23" s="51">
        <v>8.5000000000000006E-2</v>
      </c>
      <c r="AM23" s="52">
        <v>8.5999999999999993E-2</v>
      </c>
      <c r="AN23" s="52">
        <v>8.5000000000000006E-2</v>
      </c>
      <c r="AO23" s="52">
        <v>8.6999999999999994E-2</v>
      </c>
    </row>
    <row r="24" spans="1:41" x14ac:dyDescent="0.25">
      <c r="A24" s="42">
        <v>0.20833333333333334</v>
      </c>
      <c r="B24" s="43">
        <v>8.3000000000000004E-2</v>
      </c>
      <c r="C24" s="44">
        <v>8.2000000000000003E-2</v>
      </c>
      <c r="D24" s="44">
        <v>8.4000000000000005E-2</v>
      </c>
      <c r="E24" s="44">
        <v>8.4000000000000005E-2</v>
      </c>
      <c r="F24" s="45">
        <v>8.4000000000000005E-2</v>
      </c>
      <c r="G24" s="45">
        <v>8.2000000000000003E-2</v>
      </c>
      <c r="H24" s="45">
        <v>8.4000000000000005E-2</v>
      </c>
      <c r="J24" s="42">
        <v>0.20833333333333334</v>
      </c>
      <c r="K24" s="43">
        <v>8.4000000000000005E-2</v>
      </c>
      <c r="L24" s="44">
        <v>8.2000000000000003E-2</v>
      </c>
      <c r="M24" s="44">
        <v>8.3000000000000004E-2</v>
      </c>
      <c r="N24" s="44">
        <v>8.5999999999999993E-2</v>
      </c>
      <c r="O24" s="45">
        <v>8.3000000000000004E-2</v>
      </c>
      <c r="P24" s="45">
        <v>8.2000000000000003E-2</v>
      </c>
      <c r="Q24" s="45">
        <v>8.3000000000000004E-2</v>
      </c>
      <c r="S24" s="42">
        <v>0.20833333333333334</v>
      </c>
      <c r="T24" s="48">
        <v>8.3000000000000004E-2</v>
      </c>
      <c r="U24" s="48">
        <v>8.3000000000000004E-2</v>
      </c>
      <c r="V24" s="48">
        <v>8.2000000000000003E-2</v>
      </c>
      <c r="W24" s="49">
        <v>8.3000000000000004E-2</v>
      </c>
      <c r="X24" s="49">
        <v>8.2000000000000003E-2</v>
      </c>
      <c r="Y24" s="49">
        <v>8.3000000000000004E-2</v>
      </c>
      <c r="AA24" s="42">
        <v>0.20833333333333334</v>
      </c>
      <c r="AB24" s="51">
        <v>8.7999999999999995E-2</v>
      </c>
      <c r="AC24" s="51">
        <v>8.5000000000000006E-2</v>
      </c>
      <c r="AD24" s="51">
        <v>8.8999999999999996E-2</v>
      </c>
      <c r="AE24" s="52">
        <v>8.6999999999999994E-2</v>
      </c>
      <c r="AF24" s="52">
        <v>8.6999999999999994E-2</v>
      </c>
      <c r="AG24" s="52">
        <v>8.6999999999999994E-2</v>
      </c>
      <c r="AI24" s="42">
        <v>0.20833333333333334</v>
      </c>
      <c r="AJ24" s="51">
        <v>8.6999999999999994E-2</v>
      </c>
      <c r="AK24" s="51">
        <v>8.5000000000000006E-2</v>
      </c>
      <c r="AL24" s="51">
        <v>8.5000000000000006E-2</v>
      </c>
      <c r="AM24" s="52">
        <v>8.5999999999999993E-2</v>
      </c>
      <c r="AN24" s="52">
        <v>8.5000000000000006E-2</v>
      </c>
      <c r="AO24" s="52">
        <v>8.6999999999999994E-2</v>
      </c>
    </row>
    <row r="25" spans="1:41" x14ac:dyDescent="0.25">
      <c r="A25" s="42">
        <v>0.22222222222222221</v>
      </c>
      <c r="B25" s="43">
        <v>8.3000000000000004E-2</v>
      </c>
      <c r="C25" s="44">
        <v>8.2000000000000003E-2</v>
      </c>
      <c r="D25" s="44">
        <v>8.4000000000000005E-2</v>
      </c>
      <c r="E25" s="44">
        <v>8.5000000000000006E-2</v>
      </c>
      <c r="F25" s="45">
        <v>8.4000000000000005E-2</v>
      </c>
      <c r="G25" s="45">
        <v>8.3000000000000004E-2</v>
      </c>
      <c r="H25" s="45">
        <v>8.4000000000000005E-2</v>
      </c>
      <c r="J25" s="42">
        <v>0.22222222222222221</v>
      </c>
      <c r="K25" s="43">
        <v>8.3000000000000004E-2</v>
      </c>
      <c r="L25" s="44">
        <v>8.2000000000000003E-2</v>
      </c>
      <c r="M25" s="44">
        <v>8.4000000000000005E-2</v>
      </c>
      <c r="N25" s="44">
        <v>8.5999999999999993E-2</v>
      </c>
      <c r="O25" s="45">
        <v>8.3000000000000004E-2</v>
      </c>
      <c r="P25" s="45">
        <v>8.2000000000000003E-2</v>
      </c>
      <c r="Q25" s="45">
        <v>8.2000000000000003E-2</v>
      </c>
      <c r="S25" s="42">
        <v>0.22222222222222221</v>
      </c>
      <c r="T25" s="48">
        <v>8.3000000000000004E-2</v>
      </c>
      <c r="U25" s="48">
        <v>8.3000000000000004E-2</v>
      </c>
      <c r="V25" s="48">
        <v>8.3000000000000004E-2</v>
      </c>
      <c r="W25" s="49">
        <v>8.3000000000000004E-2</v>
      </c>
      <c r="X25" s="49">
        <v>8.2000000000000003E-2</v>
      </c>
      <c r="Y25" s="49">
        <v>8.3000000000000004E-2</v>
      </c>
      <c r="AA25" s="42">
        <v>0.22222222222222221</v>
      </c>
      <c r="AB25" s="51">
        <v>8.7999999999999995E-2</v>
      </c>
      <c r="AC25" s="51">
        <v>8.5999999999999993E-2</v>
      </c>
      <c r="AD25" s="51">
        <v>0.09</v>
      </c>
      <c r="AE25" s="52">
        <v>8.6999999999999994E-2</v>
      </c>
      <c r="AF25" s="52">
        <v>8.6999999999999994E-2</v>
      </c>
      <c r="AG25" s="52">
        <v>8.6999999999999994E-2</v>
      </c>
      <c r="AI25" s="42">
        <v>0.22222222222222221</v>
      </c>
      <c r="AJ25" s="51">
        <v>8.6999999999999994E-2</v>
      </c>
      <c r="AK25" s="51">
        <v>8.5000000000000006E-2</v>
      </c>
      <c r="AL25" s="51">
        <v>8.5000000000000006E-2</v>
      </c>
      <c r="AM25" s="52">
        <v>8.5999999999999993E-2</v>
      </c>
      <c r="AN25" s="52">
        <v>8.5000000000000006E-2</v>
      </c>
      <c r="AO25" s="52">
        <v>8.6999999999999994E-2</v>
      </c>
    </row>
    <row r="26" spans="1:41" x14ac:dyDescent="0.25">
      <c r="A26" s="42">
        <v>0.23611111111111113</v>
      </c>
      <c r="B26" s="43">
        <v>8.3000000000000004E-2</v>
      </c>
      <c r="C26" s="44">
        <v>8.3000000000000004E-2</v>
      </c>
      <c r="D26" s="44">
        <v>8.4000000000000005E-2</v>
      </c>
      <c r="E26" s="44">
        <v>8.5000000000000006E-2</v>
      </c>
      <c r="F26" s="45">
        <v>8.4000000000000005E-2</v>
      </c>
      <c r="G26" s="45">
        <v>8.3000000000000004E-2</v>
      </c>
      <c r="H26" s="45">
        <v>8.4000000000000005E-2</v>
      </c>
      <c r="J26" s="42">
        <v>0.23611111111111113</v>
      </c>
      <c r="K26" s="43">
        <v>8.4000000000000005E-2</v>
      </c>
      <c r="L26" s="44">
        <v>8.4000000000000005E-2</v>
      </c>
      <c r="M26" s="44">
        <v>8.5000000000000006E-2</v>
      </c>
      <c r="N26" s="44">
        <v>8.6999999999999994E-2</v>
      </c>
      <c r="O26" s="45">
        <v>8.4000000000000005E-2</v>
      </c>
      <c r="P26" s="45">
        <v>8.2000000000000003E-2</v>
      </c>
      <c r="Q26" s="45">
        <v>8.3000000000000004E-2</v>
      </c>
      <c r="S26" s="42">
        <v>0.23611111111111113</v>
      </c>
      <c r="T26" s="48">
        <v>8.4000000000000005E-2</v>
      </c>
      <c r="U26" s="48">
        <v>8.4000000000000005E-2</v>
      </c>
      <c r="V26" s="48">
        <v>8.3000000000000004E-2</v>
      </c>
      <c r="W26" s="49">
        <v>8.3000000000000004E-2</v>
      </c>
      <c r="X26" s="49">
        <v>8.3000000000000004E-2</v>
      </c>
      <c r="Y26" s="49">
        <v>8.3000000000000004E-2</v>
      </c>
      <c r="AA26" s="42">
        <v>0.23611111111111113</v>
      </c>
      <c r="AB26" s="51">
        <v>8.7999999999999995E-2</v>
      </c>
      <c r="AC26" s="51">
        <v>8.5999999999999993E-2</v>
      </c>
      <c r="AD26" s="51">
        <v>0.09</v>
      </c>
      <c r="AE26" s="52">
        <v>8.6999999999999994E-2</v>
      </c>
      <c r="AF26" s="52">
        <v>8.6999999999999994E-2</v>
      </c>
      <c r="AG26" s="52">
        <v>8.6999999999999994E-2</v>
      </c>
      <c r="AI26" s="42">
        <v>0.23611111111111113</v>
      </c>
      <c r="AJ26" s="51">
        <v>8.6999999999999994E-2</v>
      </c>
      <c r="AK26" s="51">
        <v>8.5999999999999993E-2</v>
      </c>
      <c r="AL26" s="51">
        <v>8.5999999999999993E-2</v>
      </c>
      <c r="AM26" s="52">
        <v>8.6999999999999994E-2</v>
      </c>
      <c r="AN26" s="52">
        <v>8.5999999999999993E-2</v>
      </c>
      <c r="AO26" s="52">
        <v>8.7999999999999995E-2</v>
      </c>
    </row>
    <row r="27" spans="1:41" x14ac:dyDescent="0.25">
      <c r="A27" s="42">
        <v>0.25</v>
      </c>
      <c r="B27" s="43">
        <v>8.3000000000000004E-2</v>
      </c>
      <c r="C27" s="44">
        <v>8.3000000000000004E-2</v>
      </c>
      <c r="D27" s="44">
        <v>8.5000000000000006E-2</v>
      </c>
      <c r="E27" s="44">
        <v>8.5999999999999993E-2</v>
      </c>
      <c r="F27" s="45">
        <v>8.5000000000000006E-2</v>
      </c>
      <c r="G27" s="45">
        <v>8.4000000000000005E-2</v>
      </c>
      <c r="H27" s="45">
        <v>8.5000000000000006E-2</v>
      </c>
      <c r="J27" s="42">
        <v>0.25</v>
      </c>
      <c r="K27" s="43">
        <v>8.3000000000000004E-2</v>
      </c>
      <c r="L27" s="44">
        <v>8.5000000000000006E-2</v>
      </c>
      <c r="M27" s="44">
        <v>8.7999999999999995E-2</v>
      </c>
      <c r="N27" s="44">
        <v>8.7999999999999995E-2</v>
      </c>
      <c r="O27" s="45">
        <v>8.4000000000000005E-2</v>
      </c>
      <c r="P27" s="45">
        <v>8.3000000000000004E-2</v>
      </c>
      <c r="Q27" s="45">
        <v>8.3000000000000004E-2</v>
      </c>
      <c r="S27" s="42">
        <v>0.25</v>
      </c>
      <c r="T27" s="48">
        <v>8.4000000000000005E-2</v>
      </c>
      <c r="U27" s="48">
        <v>8.4000000000000005E-2</v>
      </c>
      <c r="V27" s="48">
        <v>8.3000000000000004E-2</v>
      </c>
      <c r="W27" s="49">
        <v>8.3000000000000004E-2</v>
      </c>
      <c r="X27" s="49">
        <v>8.3000000000000004E-2</v>
      </c>
      <c r="Y27" s="49">
        <v>8.3000000000000004E-2</v>
      </c>
      <c r="AA27" s="42">
        <v>0.25</v>
      </c>
      <c r="AB27" s="51">
        <v>8.7999999999999995E-2</v>
      </c>
      <c r="AC27" s="51">
        <v>8.5999999999999993E-2</v>
      </c>
      <c r="AD27" s="51">
        <v>0.09</v>
      </c>
      <c r="AE27" s="52">
        <v>8.6999999999999994E-2</v>
      </c>
      <c r="AF27" s="52">
        <v>8.7999999999999995E-2</v>
      </c>
      <c r="AG27" s="52">
        <v>8.6999999999999994E-2</v>
      </c>
      <c r="AI27" s="42">
        <v>0.25</v>
      </c>
      <c r="AJ27" s="51">
        <v>8.7999999999999995E-2</v>
      </c>
      <c r="AK27" s="51">
        <v>8.5999999999999993E-2</v>
      </c>
      <c r="AL27" s="51">
        <v>8.5999999999999993E-2</v>
      </c>
      <c r="AM27" s="52">
        <v>8.6999999999999994E-2</v>
      </c>
      <c r="AN27" s="52">
        <v>8.5999999999999993E-2</v>
      </c>
      <c r="AO27" s="52">
        <v>8.7999999999999995E-2</v>
      </c>
    </row>
    <row r="28" spans="1:41" x14ac:dyDescent="0.25">
      <c r="A28" s="42">
        <v>0.2638888888888889</v>
      </c>
      <c r="B28" s="43">
        <v>8.3000000000000004E-2</v>
      </c>
      <c r="C28" s="44">
        <v>8.4000000000000005E-2</v>
      </c>
      <c r="D28" s="44">
        <v>8.5999999999999993E-2</v>
      </c>
      <c r="E28" s="44">
        <v>8.6999999999999994E-2</v>
      </c>
      <c r="F28" s="45">
        <v>8.5000000000000006E-2</v>
      </c>
      <c r="G28" s="45">
        <v>8.4000000000000005E-2</v>
      </c>
      <c r="H28" s="45">
        <v>8.5000000000000006E-2</v>
      </c>
      <c r="J28" s="42">
        <v>0.2638888888888889</v>
      </c>
      <c r="K28" s="43">
        <v>8.3000000000000004E-2</v>
      </c>
      <c r="L28" s="44">
        <v>8.6999999999999994E-2</v>
      </c>
      <c r="M28" s="44">
        <v>0.09</v>
      </c>
      <c r="N28" s="44">
        <v>9.0999999999999998E-2</v>
      </c>
      <c r="O28" s="45">
        <v>8.4000000000000005E-2</v>
      </c>
      <c r="P28" s="45">
        <v>8.3000000000000004E-2</v>
      </c>
      <c r="Q28" s="45">
        <v>8.4000000000000005E-2</v>
      </c>
      <c r="S28" s="42">
        <v>0.2638888888888889</v>
      </c>
      <c r="T28" s="48">
        <v>8.4000000000000005E-2</v>
      </c>
      <c r="U28" s="48">
        <v>8.4000000000000005E-2</v>
      </c>
      <c r="V28" s="48">
        <v>8.3000000000000004E-2</v>
      </c>
      <c r="W28" s="49">
        <v>8.3000000000000004E-2</v>
      </c>
      <c r="X28" s="49">
        <v>8.3000000000000004E-2</v>
      </c>
      <c r="Y28" s="49">
        <v>8.4000000000000005E-2</v>
      </c>
      <c r="AA28" s="42">
        <v>0.2638888888888889</v>
      </c>
      <c r="AB28" s="51">
        <v>8.7999999999999995E-2</v>
      </c>
      <c r="AC28" s="51">
        <v>8.5999999999999993E-2</v>
      </c>
      <c r="AD28" s="51">
        <v>0.09</v>
      </c>
      <c r="AE28" s="52">
        <v>8.7999999999999995E-2</v>
      </c>
      <c r="AF28" s="52">
        <v>8.7999999999999995E-2</v>
      </c>
      <c r="AG28" s="52">
        <v>8.7999999999999995E-2</v>
      </c>
      <c r="AI28" s="42">
        <v>0.2638888888888889</v>
      </c>
      <c r="AJ28" s="51">
        <v>8.7999999999999995E-2</v>
      </c>
      <c r="AK28" s="51">
        <v>8.5999999999999993E-2</v>
      </c>
      <c r="AL28" s="51">
        <v>8.5999999999999993E-2</v>
      </c>
      <c r="AM28" s="52">
        <v>8.6999999999999994E-2</v>
      </c>
      <c r="AN28" s="52">
        <v>8.5999999999999993E-2</v>
      </c>
      <c r="AO28" s="52">
        <v>8.7999999999999995E-2</v>
      </c>
    </row>
    <row r="29" spans="1:41" x14ac:dyDescent="0.25">
      <c r="A29" s="42">
        <v>0.27777777777777779</v>
      </c>
      <c r="B29" s="43">
        <v>8.3000000000000004E-2</v>
      </c>
      <c r="C29" s="44">
        <v>8.5000000000000006E-2</v>
      </c>
      <c r="D29" s="44">
        <v>8.6999999999999994E-2</v>
      </c>
      <c r="E29" s="44">
        <v>8.6999999999999994E-2</v>
      </c>
      <c r="F29" s="45">
        <v>8.5999999999999993E-2</v>
      </c>
      <c r="G29" s="45">
        <v>8.5000000000000006E-2</v>
      </c>
      <c r="H29" s="45">
        <v>8.5999999999999993E-2</v>
      </c>
      <c r="J29" s="42">
        <v>0.27777777777777779</v>
      </c>
      <c r="K29" s="43">
        <v>8.3000000000000004E-2</v>
      </c>
      <c r="L29" s="44">
        <v>8.8999999999999996E-2</v>
      </c>
      <c r="M29" s="44">
        <v>9.2999999999999999E-2</v>
      </c>
      <c r="N29" s="44">
        <v>9.2999999999999999E-2</v>
      </c>
      <c r="O29" s="45">
        <v>8.5000000000000006E-2</v>
      </c>
      <c r="P29" s="45">
        <v>8.4000000000000005E-2</v>
      </c>
      <c r="Q29" s="45">
        <v>8.5000000000000006E-2</v>
      </c>
      <c r="S29" s="42">
        <v>0.27777777777777779</v>
      </c>
      <c r="T29" s="48">
        <v>8.4000000000000005E-2</v>
      </c>
      <c r="U29" s="48">
        <v>8.4000000000000005E-2</v>
      </c>
      <c r="V29" s="48">
        <v>8.4000000000000005E-2</v>
      </c>
      <c r="W29" s="49">
        <v>8.4000000000000005E-2</v>
      </c>
      <c r="X29" s="49">
        <v>8.3000000000000004E-2</v>
      </c>
      <c r="Y29" s="49">
        <v>8.4000000000000005E-2</v>
      </c>
      <c r="AA29" s="42">
        <v>0.27777777777777779</v>
      </c>
      <c r="AB29" s="51">
        <v>8.8999999999999996E-2</v>
      </c>
      <c r="AC29" s="51">
        <v>8.5999999999999993E-2</v>
      </c>
      <c r="AD29" s="51">
        <v>0.09</v>
      </c>
      <c r="AE29" s="52">
        <v>8.7999999999999995E-2</v>
      </c>
      <c r="AF29" s="52">
        <v>8.7999999999999995E-2</v>
      </c>
      <c r="AG29" s="52">
        <v>8.7999999999999995E-2</v>
      </c>
      <c r="AI29" s="42">
        <v>0.27777777777777779</v>
      </c>
      <c r="AJ29" s="51">
        <v>8.7999999999999995E-2</v>
      </c>
      <c r="AK29" s="51">
        <v>8.5999999999999993E-2</v>
      </c>
      <c r="AL29" s="51">
        <v>8.6999999999999994E-2</v>
      </c>
      <c r="AM29" s="52">
        <v>8.6999999999999994E-2</v>
      </c>
      <c r="AN29" s="52">
        <v>8.5999999999999993E-2</v>
      </c>
      <c r="AO29" s="52">
        <v>8.8999999999999996E-2</v>
      </c>
    </row>
    <row r="30" spans="1:41" x14ac:dyDescent="0.25">
      <c r="A30" s="42">
        <v>0.29166666666666669</v>
      </c>
      <c r="B30" s="43">
        <v>8.3000000000000004E-2</v>
      </c>
      <c r="C30" s="44">
        <v>8.6999999999999994E-2</v>
      </c>
      <c r="D30" s="44">
        <v>8.8999999999999996E-2</v>
      </c>
      <c r="E30" s="44">
        <v>8.8999999999999996E-2</v>
      </c>
      <c r="F30" s="45">
        <v>8.6999999999999994E-2</v>
      </c>
      <c r="G30" s="45">
        <v>8.6999999999999994E-2</v>
      </c>
      <c r="H30" s="45">
        <v>8.5999999999999993E-2</v>
      </c>
      <c r="J30" s="42">
        <v>0.29166666666666669</v>
      </c>
      <c r="K30" s="43">
        <v>8.3000000000000004E-2</v>
      </c>
      <c r="L30" s="44">
        <v>9.2999999999999999E-2</v>
      </c>
      <c r="M30" s="44">
        <v>9.7000000000000003E-2</v>
      </c>
      <c r="N30" s="44">
        <v>9.6000000000000002E-2</v>
      </c>
      <c r="O30" s="45">
        <v>8.5999999999999993E-2</v>
      </c>
      <c r="P30" s="45">
        <v>8.4000000000000005E-2</v>
      </c>
      <c r="Q30" s="45">
        <v>8.5000000000000006E-2</v>
      </c>
      <c r="S30" s="42">
        <v>0.29166666666666669</v>
      </c>
      <c r="T30" s="48">
        <v>8.5000000000000006E-2</v>
      </c>
      <c r="U30" s="48">
        <v>8.5000000000000006E-2</v>
      </c>
      <c r="V30" s="48">
        <v>8.4000000000000005E-2</v>
      </c>
      <c r="W30" s="49">
        <v>8.4000000000000005E-2</v>
      </c>
      <c r="X30" s="49">
        <v>8.3000000000000004E-2</v>
      </c>
      <c r="Y30" s="49">
        <v>8.4000000000000005E-2</v>
      </c>
      <c r="AA30" s="42">
        <v>0.29166666666666669</v>
      </c>
      <c r="AB30" s="51">
        <v>8.8999999999999996E-2</v>
      </c>
      <c r="AC30" s="51">
        <v>8.6999999999999994E-2</v>
      </c>
      <c r="AD30" s="51">
        <v>0.09</v>
      </c>
      <c r="AE30" s="52">
        <v>8.7999999999999995E-2</v>
      </c>
      <c r="AF30" s="52">
        <v>8.8999999999999996E-2</v>
      </c>
      <c r="AG30" s="52">
        <v>8.7999999999999995E-2</v>
      </c>
      <c r="AI30" s="42">
        <v>0.29166666666666669</v>
      </c>
      <c r="AJ30" s="51">
        <v>8.7999999999999995E-2</v>
      </c>
      <c r="AK30" s="51">
        <v>8.6999999999999994E-2</v>
      </c>
      <c r="AL30" s="51">
        <v>8.6999999999999994E-2</v>
      </c>
      <c r="AM30" s="52">
        <v>8.7999999999999995E-2</v>
      </c>
      <c r="AN30" s="52">
        <v>8.6999999999999994E-2</v>
      </c>
      <c r="AO30" s="52">
        <v>8.7999999999999995E-2</v>
      </c>
    </row>
    <row r="31" spans="1:41" x14ac:dyDescent="0.25">
      <c r="A31" s="42">
        <v>0.30555555555555552</v>
      </c>
      <c r="B31" s="43">
        <v>8.3000000000000004E-2</v>
      </c>
      <c r="C31" s="44">
        <v>8.7999999999999995E-2</v>
      </c>
      <c r="D31" s="44">
        <v>9.0999999999999998E-2</v>
      </c>
      <c r="E31" s="44">
        <v>9.0999999999999998E-2</v>
      </c>
      <c r="F31" s="45">
        <v>8.8999999999999996E-2</v>
      </c>
      <c r="G31" s="45">
        <v>8.7999999999999995E-2</v>
      </c>
      <c r="H31" s="45">
        <v>8.6999999999999994E-2</v>
      </c>
      <c r="J31" s="42">
        <v>0.30555555555555552</v>
      </c>
      <c r="K31" s="43">
        <v>8.3000000000000004E-2</v>
      </c>
      <c r="L31" s="44">
        <v>9.7000000000000003E-2</v>
      </c>
      <c r="M31" s="44">
        <v>0.1</v>
      </c>
      <c r="N31" s="44">
        <v>0.10100000000000001</v>
      </c>
      <c r="O31" s="45">
        <v>8.6999999999999994E-2</v>
      </c>
      <c r="P31" s="45">
        <v>8.5000000000000006E-2</v>
      </c>
      <c r="Q31" s="45">
        <v>8.5999999999999993E-2</v>
      </c>
      <c r="S31" s="42">
        <v>0.30555555555555552</v>
      </c>
      <c r="T31" s="48">
        <v>8.5000000000000006E-2</v>
      </c>
      <c r="U31" s="48">
        <v>8.5000000000000006E-2</v>
      </c>
      <c r="V31" s="48">
        <v>8.5000000000000006E-2</v>
      </c>
      <c r="W31" s="49">
        <v>8.4000000000000005E-2</v>
      </c>
      <c r="X31" s="49">
        <v>8.4000000000000005E-2</v>
      </c>
      <c r="Y31" s="49">
        <v>8.5000000000000006E-2</v>
      </c>
      <c r="AA31" s="42">
        <v>0.30555555555555552</v>
      </c>
      <c r="AB31" s="51">
        <v>8.8999999999999996E-2</v>
      </c>
      <c r="AC31" s="51">
        <v>8.6999999999999994E-2</v>
      </c>
      <c r="AD31" s="51">
        <v>9.0999999999999998E-2</v>
      </c>
      <c r="AE31" s="52">
        <v>8.8999999999999996E-2</v>
      </c>
      <c r="AF31" s="52">
        <v>8.8999999999999996E-2</v>
      </c>
      <c r="AG31" s="52">
        <v>8.8999999999999996E-2</v>
      </c>
      <c r="AI31" s="42">
        <v>0.30555555555555552</v>
      </c>
      <c r="AJ31" s="51">
        <v>8.8999999999999996E-2</v>
      </c>
      <c r="AK31" s="51">
        <v>8.7999999999999995E-2</v>
      </c>
      <c r="AL31" s="51">
        <v>8.7999999999999995E-2</v>
      </c>
      <c r="AM31" s="52">
        <v>8.7999999999999995E-2</v>
      </c>
      <c r="AN31" s="52">
        <v>8.6999999999999994E-2</v>
      </c>
      <c r="AO31" s="52">
        <v>0.09</v>
      </c>
    </row>
    <row r="32" spans="1:41" x14ac:dyDescent="0.25">
      <c r="A32" s="42">
        <v>0.31944444444444448</v>
      </c>
      <c r="B32" s="43">
        <v>8.3000000000000004E-2</v>
      </c>
      <c r="C32" s="44">
        <v>9.0999999999999998E-2</v>
      </c>
      <c r="D32" s="44">
        <v>9.4E-2</v>
      </c>
      <c r="E32" s="44">
        <v>9.4E-2</v>
      </c>
      <c r="F32" s="45">
        <v>0.09</v>
      </c>
      <c r="G32" s="45">
        <v>9.0999999999999998E-2</v>
      </c>
      <c r="H32" s="45">
        <v>8.8999999999999996E-2</v>
      </c>
      <c r="J32" s="42">
        <v>0.31944444444444448</v>
      </c>
      <c r="K32" s="43">
        <v>8.3000000000000004E-2</v>
      </c>
      <c r="L32" s="44">
        <v>0.10299999999999999</v>
      </c>
      <c r="M32" s="44">
        <v>0.106</v>
      </c>
      <c r="N32" s="44">
        <v>0.106</v>
      </c>
      <c r="O32" s="45">
        <v>8.7999999999999995E-2</v>
      </c>
      <c r="P32" s="45">
        <v>8.5999999999999993E-2</v>
      </c>
      <c r="Q32" s="45">
        <v>8.6999999999999994E-2</v>
      </c>
      <c r="S32" s="42">
        <v>0.31944444444444448</v>
      </c>
      <c r="T32" s="48">
        <v>8.5999999999999993E-2</v>
      </c>
      <c r="U32" s="48">
        <v>8.5999999999999993E-2</v>
      </c>
      <c r="V32" s="48">
        <v>8.5000000000000006E-2</v>
      </c>
      <c r="W32" s="49">
        <v>8.5000000000000006E-2</v>
      </c>
      <c r="X32" s="49">
        <v>8.4000000000000005E-2</v>
      </c>
      <c r="Y32" s="49">
        <v>8.6999999999999994E-2</v>
      </c>
      <c r="AA32" s="42">
        <v>0.31944444444444448</v>
      </c>
      <c r="AB32" s="51">
        <v>0.09</v>
      </c>
      <c r="AC32" s="51">
        <v>8.6999999999999994E-2</v>
      </c>
      <c r="AD32" s="51">
        <v>9.0999999999999998E-2</v>
      </c>
      <c r="AE32" s="52">
        <v>8.8999999999999996E-2</v>
      </c>
      <c r="AF32" s="52">
        <v>8.8999999999999996E-2</v>
      </c>
      <c r="AG32" s="52">
        <v>8.8999999999999996E-2</v>
      </c>
      <c r="AI32" s="42">
        <v>0.31944444444444448</v>
      </c>
      <c r="AJ32" s="51">
        <v>8.8999999999999996E-2</v>
      </c>
      <c r="AK32" s="51">
        <v>8.7999999999999995E-2</v>
      </c>
      <c r="AL32" s="51">
        <v>8.7999999999999995E-2</v>
      </c>
      <c r="AM32" s="52">
        <v>8.8999999999999996E-2</v>
      </c>
      <c r="AN32" s="52">
        <v>8.7999999999999995E-2</v>
      </c>
      <c r="AO32" s="52">
        <v>0.09</v>
      </c>
    </row>
    <row r="33" spans="1:41" x14ac:dyDescent="0.25">
      <c r="A33" s="42">
        <v>0.33333333333333331</v>
      </c>
      <c r="B33" s="43">
        <v>8.3000000000000004E-2</v>
      </c>
      <c r="C33" s="44">
        <v>9.5000000000000001E-2</v>
      </c>
      <c r="D33" s="44">
        <v>9.8000000000000004E-2</v>
      </c>
      <c r="E33" s="44">
        <v>9.7000000000000003E-2</v>
      </c>
      <c r="F33" s="45">
        <v>9.2999999999999999E-2</v>
      </c>
      <c r="G33" s="45">
        <v>9.2999999999999999E-2</v>
      </c>
      <c r="H33" s="45">
        <v>9.0999999999999998E-2</v>
      </c>
      <c r="J33" s="42">
        <v>0.33333333333333331</v>
      </c>
      <c r="K33" s="43">
        <v>8.3000000000000004E-2</v>
      </c>
      <c r="L33" s="44">
        <v>0.11</v>
      </c>
      <c r="M33" s="44">
        <v>0.111</v>
      </c>
      <c r="N33" s="44">
        <v>0.115</v>
      </c>
      <c r="O33" s="45">
        <v>8.8999999999999996E-2</v>
      </c>
      <c r="P33" s="45">
        <v>8.7999999999999995E-2</v>
      </c>
      <c r="Q33" s="45">
        <v>8.8999999999999996E-2</v>
      </c>
      <c r="S33" s="42">
        <v>0.33333333333333331</v>
      </c>
      <c r="T33" s="48">
        <v>8.6999999999999994E-2</v>
      </c>
      <c r="U33" s="48">
        <v>8.6999999999999994E-2</v>
      </c>
      <c r="V33" s="48">
        <v>8.5999999999999993E-2</v>
      </c>
      <c r="W33" s="49">
        <v>8.5999999999999993E-2</v>
      </c>
      <c r="X33" s="49">
        <v>8.5000000000000006E-2</v>
      </c>
      <c r="Y33" s="49">
        <v>8.6999999999999994E-2</v>
      </c>
      <c r="AA33" s="42">
        <v>0.33333333333333331</v>
      </c>
      <c r="AB33" s="51">
        <v>0.09</v>
      </c>
      <c r="AC33" s="51">
        <v>8.7999999999999995E-2</v>
      </c>
      <c r="AD33" s="51">
        <v>9.0999999999999998E-2</v>
      </c>
      <c r="AE33" s="52">
        <v>8.8999999999999996E-2</v>
      </c>
      <c r="AF33" s="52">
        <v>0.09</v>
      </c>
      <c r="AG33" s="52">
        <v>8.8999999999999996E-2</v>
      </c>
      <c r="AI33" s="42">
        <v>0.33333333333333331</v>
      </c>
      <c r="AJ33" s="51">
        <v>0.09</v>
      </c>
      <c r="AK33" s="51">
        <v>8.7999999999999995E-2</v>
      </c>
      <c r="AL33" s="51">
        <v>8.8999999999999996E-2</v>
      </c>
      <c r="AM33" s="52">
        <v>8.8999999999999996E-2</v>
      </c>
      <c r="AN33" s="52">
        <v>8.7999999999999995E-2</v>
      </c>
      <c r="AO33" s="52">
        <v>0.09</v>
      </c>
    </row>
    <row r="34" spans="1:41" x14ac:dyDescent="0.25">
      <c r="A34" s="42">
        <v>0.34722222222222227</v>
      </c>
      <c r="B34" s="43">
        <v>8.3000000000000004E-2</v>
      </c>
      <c r="C34" s="44">
        <v>9.9000000000000005E-2</v>
      </c>
      <c r="D34" s="44">
        <v>0.10299999999999999</v>
      </c>
      <c r="E34" s="44">
        <v>0.10199999999999999</v>
      </c>
      <c r="F34" s="45">
        <v>9.6000000000000002E-2</v>
      </c>
      <c r="G34" s="45">
        <v>9.7000000000000003E-2</v>
      </c>
      <c r="H34" s="45">
        <v>9.1999999999999998E-2</v>
      </c>
      <c r="J34" s="42">
        <v>0.34722222222222227</v>
      </c>
      <c r="K34" s="43">
        <v>8.3000000000000004E-2</v>
      </c>
      <c r="L34" s="44">
        <v>0.12</v>
      </c>
      <c r="M34" s="44">
        <v>0.121</v>
      </c>
      <c r="N34" s="44">
        <v>0.126</v>
      </c>
      <c r="O34" s="45">
        <v>9.0999999999999998E-2</v>
      </c>
      <c r="P34" s="45">
        <v>8.8999999999999996E-2</v>
      </c>
      <c r="Q34" s="45">
        <v>9.0999999999999998E-2</v>
      </c>
      <c r="S34" s="42">
        <v>0.34722222222222227</v>
      </c>
      <c r="T34" s="48">
        <v>8.6999999999999994E-2</v>
      </c>
      <c r="U34" s="48">
        <v>8.6999999999999994E-2</v>
      </c>
      <c r="V34" s="48">
        <v>8.6999999999999994E-2</v>
      </c>
      <c r="W34" s="49">
        <v>8.5999999999999993E-2</v>
      </c>
      <c r="X34" s="49">
        <v>8.5999999999999993E-2</v>
      </c>
      <c r="Y34" s="49">
        <v>0.09</v>
      </c>
      <c r="AA34" s="42">
        <v>0.34722222222222227</v>
      </c>
      <c r="AB34" s="51">
        <v>9.0999999999999998E-2</v>
      </c>
      <c r="AC34" s="51">
        <v>8.7999999999999995E-2</v>
      </c>
      <c r="AD34" s="51">
        <v>9.1999999999999998E-2</v>
      </c>
      <c r="AE34" s="52">
        <v>0.09</v>
      </c>
      <c r="AF34" s="52">
        <v>0.09</v>
      </c>
      <c r="AG34" s="52">
        <v>0.09</v>
      </c>
      <c r="AI34" s="42">
        <v>0.34722222222222227</v>
      </c>
      <c r="AJ34" s="51">
        <v>0.09</v>
      </c>
      <c r="AK34" s="51">
        <v>8.8999999999999996E-2</v>
      </c>
      <c r="AL34" s="51">
        <v>8.8999999999999996E-2</v>
      </c>
      <c r="AM34" s="52">
        <v>0.09</v>
      </c>
      <c r="AN34" s="52">
        <v>8.8999999999999996E-2</v>
      </c>
      <c r="AO34" s="52">
        <v>0.09</v>
      </c>
    </row>
    <row r="35" spans="1:41" x14ac:dyDescent="0.25">
      <c r="A35" s="42">
        <v>0.3611111111111111</v>
      </c>
      <c r="B35" s="43">
        <v>8.3000000000000004E-2</v>
      </c>
      <c r="C35" s="44">
        <v>0.105</v>
      </c>
      <c r="D35" s="44">
        <v>0.11</v>
      </c>
      <c r="E35" s="44">
        <v>0.109</v>
      </c>
      <c r="F35" s="45">
        <v>0.1</v>
      </c>
      <c r="G35" s="45">
        <v>0.10199999999999999</v>
      </c>
      <c r="H35" s="45">
        <v>9.5000000000000001E-2</v>
      </c>
      <c r="J35" s="42">
        <v>0.3611111111111111</v>
      </c>
      <c r="K35" s="43">
        <v>8.4000000000000005E-2</v>
      </c>
      <c r="L35" s="44">
        <v>0.14099999999999999</v>
      </c>
      <c r="M35" s="44">
        <v>0.13600000000000001</v>
      </c>
      <c r="N35" s="44">
        <v>0.14099999999999999</v>
      </c>
      <c r="O35" s="45">
        <v>9.4E-2</v>
      </c>
      <c r="P35" s="45">
        <v>9.1999999999999998E-2</v>
      </c>
      <c r="Q35" s="45">
        <v>9.4E-2</v>
      </c>
      <c r="S35" s="42">
        <v>0.3611111111111111</v>
      </c>
      <c r="T35" s="48">
        <v>8.7999999999999995E-2</v>
      </c>
      <c r="U35" s="48">
        <v>8.7999999999999995E-2</v>
      </c>
      <c r="V35" s="48">
        <v>8.7999999999999995E-2</v>
      </c>
      <c r="W35" s="49">
        <v>8.6999999999999994E-2</v>
      </c>
      <c r="X35" s="49">
        <v>8.5999999999999993E-2</v>
      </c>
      <c r="Y35" s="49">
        <v>0.09</v>
      </c>
      <c r="AA35" s="42">
        <v>0.3611111111111111</v>
      </c>
      <c r="AB35" s="51">
        <v>9.0999999999999998E-2</v>
      </c>
      <c r="AC35" s="51">
        <v>8.8999999999999996E-2</v>
      </c>
      <c r="AD35" s="51">
        <v>9.2999999999999999E-2</v>
      </c>
      <c r="AE35" s="52">
        <v>9.0999999999999998E-2</v>
      </c>
      <c r="AF35" s="52">
        <v>9.0999999999999998E-2</v>
      </c>
      <c r="AG35" s="52">
        <v>9.0999999999999998E-2</v>
      </c>
      <c r="AI35" s="42">
        <v>0.3611111111111111</v>
      </c>
      <c r="AJ35" s="51">
        <v>9.1999999999999998E-2</v>
      </c>
      <c r="AK35" s="51">
        <v>0.09</v>
      </c>
      <c r="AL35" s="51">
        <v>0.09</v>
      </c>
      <c r="AM35" s="52">
        <v>0.09</v>
      </c>
      <c r="AN35" s="52">
        <v>0.09</v>
      </c>
      <c r="AO35" s="52">
        <v>0.09</v>
      </c>
    </row>
    <row r="36" spans="1:41" x14ac:dyDescent="0.25">
      <c r="A36" s="42">
        <v>0.375</v>
      </c>
      <c r="B36" s="43">
        <v>8.3000000000000004E-2</v>
      </c>
      <c r="C36" s="44">
        <v>0.114</v>
      </c>
      <c r="D36" s="44">
        <v>0.11799999999999999</v>
      </c>
      <c r="E36" s="44">
        <v>0.11700000000000001</v>
      </c>
      <c r="F36" s="45">
        <v>0.104</v>
      </c>
      <c r="G36" s="45">
        <v>0.107</v>
      </c>
      <c r="H36" s="45">
        <v>9.9000000000000005E-2</v>
      </c>
      <c r="J36" s="42">
        <v>0.375</v>
      </c>
      <c r="K36" s="43">
        <v>8.3000000000000004E-2</v>
      </c>
      <c r="L36" s="44">
        <v>0.155</v>
      </c>
      <c r="M36" s="44">
        <v>0.156</v>
      </c>
      <c r="N36" s="44">
        <v>0.16200000000000001</v>
      </c>
      <c r="O36" s="45">
        <v>9.7000000000000003E-2</v>
      </c>
      <c r="P36" s="45">
        <v>9.5000000000000001E-2</v>
      </c>
      <c r="Q36" s="45">
        <v>9.8000000000000004E-2</v>
      </c>
      <c r="S36" s="42">
        <v>0.375</v>
      </c>
      <c r="T36" s="48">
        <v>0.09</v>
      </c>
      <c r="U36" s="48">
        <v>8.8999999999999996E-2</v>
      </c>
      <c r="V36" s="48">
        <v>8.8999999999999996E-2</v>
      </c>
      <c r="W36" s="49">
        <v>8.6999999999999994E-2</v>
      </c>
      <c r="X36" s="49">
        <v>8.6999999999999994E-2</v>
      </c>
      <c r="Y36" s="49">
        <v>9.0999999999999998E-2</v>
      </c>
      <c r="AA36" s="42">
        <v>0.375</v>
      </c>
      <c r="AB36" s="51">
        <v>9.1999999999999998E-2</v>
      </c>
      <c r="AC36" s="51">
        <v>0.09</v>
      </c>
      <c r="AD36" s="51">
        <v>9.4E-2</v>
      </c>
      <c r="AE36" s="52">
        <v>9.0999999999999998E-2</v>
      </c>
      <c r="AF36" s="52">
        <v>9.1999999999999998E-2</v>
      </c>
      <c r="AG36" s="52">
        <v>9.0999999999999998E-2</v>
      </c>
      <c r="AI36" s="42">
        <v>0.375</v>
      </c>
      <c r="AJ36" s="51">
        <v>9.2999999999999999E-2</v>
      </c>
      <c r="AK36" s="51">
        <v>9.0999999999999998E-2</v>
      </c>
      <c r="AL36" s="51">
        <v>9.1999999999999998E-2</v>
      </c>
      <c r="AM36" s="52">
        <v>9.0999999999999998E-2</v>
      </c>
      <c r="AN36" s="52">
        <v>9.0999999999999998E-2</v>
      </c>
      <c r="AO36" s="52">
        <v>9.0999999999999998E-2</v>
      </c>
    </row>
    <row r="37" spans="1:41" x14ac:dyDescent="0.25">
      <c r="A37" s="42">
        <v>0.3888888888888889</v>
      </c>
      <c r="B37" s="43">
        <v>8.3000000000000004E-2</v>
      </c>
      <c r="C37" s="44">
        <v>0.125</v>
      </c>
      <c r="D37" s="44">
        <v>0.13</v>
      </c>
      <c r="E37" s="44">
        <v>0.13</v>
      </c>
      <c r="F37" s="45">
        <v>0.11</v>
      </c>
      <c r="G37" s="45">
        <v>0.115</v>
      </c>
      <c r="H37" s="45">
        <v>0.104</v>
      </c>
      <c r="J37" s="42">
        <v>0.3888888888888889</v>
      </c>
      <c r="K37" s="43">
        <v>8.4000000000000005E-2</v>
      </c>
      <c r="L37" s="44">
        <v>0.189</v>
      </c>
      <c r="M37" s="44">
        <v>0.18099999999999999</v>
      </c>
      <c r="N37" s="44">
        <v>0.19</v>
      </c>
      <c r="O37" s="45">
        <v>0.10199999999999999</v>
      </c>
      <c r="P37" s="45">
        <v>9.9000000000000005E-2</v>
      </c>
      <c r="Q37" s="45">
        <v>0.10299999999999999</v>
      </c>
      <c r="S37" s="42">
        <v>0.3888888888888889</v>
      </c>
      <c r="T37" s="48">
        <v>9.2999999999999999E-2</v>
      </c>
      <c r="U37" s="48">
        <v>9.0999999999999998E-2</v>
      </c>
      <c r="V37" s="48">
        <v>0.09</v>
      </c>
      <c r="W37" s="49">
        <v>8.7999999999999995E-2</v>
      </c>
      <c r="X37" s="49">
        <v>8.7999999999999995E-2</v>
      </c>
      <c r="Y37" s="49">
        <v>9.1999999999999998E-2</v>
      </c>
      <c r="AA37" s="42">
        <v>0.3888888888888889</v>
      </c>
      <c r="AB37" s="51">
        <v>9.2999999999999999E-2</v>
      </c>
      <c r="AC37" s="51">
        <v>9.0999999999999998E-2</v>
      </c>
      <c r="AD37" s="51">
        <v>9.5000000000000001E-2</v>
      </c>
      <c r="AE37" s="52">
        <v>9.1999999999999998E-2</v>
      </c>
      <c r="AF37" s="52">
        <v>9.2999999999999999E-2</v>
      </c>
      <c r="AG37" s="52">
        <v>9.1999999999999998E-2</v>
      </c>
      <c r="AI37" s="42">
        <v>0.3888888888888889</v>
      </c>
      <c r="AJ37" s="51">
        <v>9.4E-2</v>
      </c>
      <c r="AK37" s="51">
        <v>9.1999999999999998E-2</v>
      </c>
      <c r="AL37" s="51">
        <v>9.1999999999999998E-2</v>
      </c>
      <c r="AM37" s="52">
        <v>9.1999999999999998E-2</v>
      </c>
      <c r="AN37" s="52">
        <v>9.1999999999999998E-2</v>
      </c>
      <c r="AO37" s="52">
        <v>9.1999999999999998E-2</v>
      </c>
    </row>
    <row r="38" spans="1:41" x14ac:dyDescent="0.25">
      <c r="A38" s="42">
        <v>0.40277777777777773</v>
      </c>
      <c r="B38" s="43">
        <v>8.4000000000000005E-2</v>
      </c>
      <c r="C38" s="44">
        <v>0.14099999999999999</v>
      </c>
      <c r="D38" s="44">
        <v>0.14599999999999999</v>
      </c>
      <c r="E38" s="44">
        <v>0.14699999999999999</v>
      </c>
      <c r="F38" s="45">
        <v>0.11799999999999999</v>
      </c>
      <c r="G38" s="45">
        <v>0.123</v>
      </c>
      <c r="H38" s="45">
        <v>0.11</v>
      </c>
      <c r="J38" s="42">
        <v>0.40277777777777773</v>
      </c>
      <c r="K38" s="43">
        <v>8.3000000000000004E-2</v>
      </c>
      <c r="L38" s="44">
        <v>0.217</v>
      </c>
      <c r="M38" s="44">
        <v>0.215</v>
      </c>
      <c r="N38" s="44">
        <v>0.224</v>
      </c>
      <c r="O38" s="45">
        <v>0.107</v>
      </c>
      <c r="P38" s="45">
        <v>0.104</v>
      </c>
      <c r="Q38" s="45">
        <v>0.11</v>
      </c>
      <c r="S38" s="42">
        <v>0.40277777777777773</v>
      </c>
      <c r="T38" s="48">
        <v>9.2999999999999999E-2</v>
      </c>
      <c r="U38" s="48">
        <v>9.1999999999999998E-2</v>
      </c>
      <c r="V38" s="48">
        <v>9.1999999999999998E-2</v>
      </c>
      <c r="W38" s="49">
        <v>8.8999999999999996E-2</v>
      </c>
      <c r="X38" s="49">
        <v>9.0999999999999998E-2</v>
      </c>
      <c r="Y38" s="49">
        <v>9.4E-2</v>
      </c>
      <c r="AA38" s="42">
        <v>0.40277777777777773</v>
      </c>
      <c r="AB38" s="51">
        <v>9.4E-2</v>
      </c>
      <c r="AC38" s="51">
        <v>9.2999999999999999E-2</v>
      </c>
      <c r="AD38" s="51">
        <v>9.6000000000000002E-2</v>
      </c>
      <c r="AE38" s="52">
        <v>9.2999999999999999E-2</v>
      </c>
      <c r="AF38" s="52">
        <v>9.4E-2</v>
      </c>
      <c r="AG38" s="52">
        <v>9.4E-2</v>
      </c>
      <c r="AI38" s="42">
        <v>0.40277777777777773</v>
      </c>
      <c r="AJ38" s="51">
        <v>9.5000000000000001E-2</v>
      </c>
      <c r="AK38" s="51">
        <v>9.4E-2</v>
      </c>
      <c r="AL38" s="51">
        <v>9.4E-2</v>
      </c>
      <c r="AM38" s="52">
        <v>9.2999999999999999E-2</v>
      </c>
      <c r="AN38" s="52">
        <v>9.2999999999999999E-2</v>
      </c>
      <c r="AO38" s="52">
        <v>9.2999999999999999E-2</v>
      </c>
    </row>
    <row r="39" spans="1:41" x14ac:dyDescent="0.25">
      <c r="A39" s="42">
        <v>0.41666666666666669</v>
      </c>
      <c r="B39" s="43">
        <v>8.3000000000000004E-2</v>
      </c>
      <c r="C39" s="44">
        <v>0.16200000000000001</v>
      </c>
      <c r="D39" s="44">
        <v>0.17</v>
      </c>
      <c r="E39" s="44">
        <v>0.16900000000000001</v>
      </c>
      <c r="F39" s="45">
        <v>0.129</v>
      </c>
      <c r="G39" s="45">
        <v>0.13300000000000001</v>
      </c>
      <c r="H39" s="45">
        <v>0.11899999999999999</v>
      </c>
      <c r="J39" s="42">
        <v>0.41666666666666669</v>
      </c>
      <c r="K39" s="43">
        <v>8.3000000000000004E-2</v>
      </c>
      <c r="L39" s="44">
        <v>0.25700000000000001</v>
      </c>
      <c r="M39" s="44">
        <v>0.252</v>
      </c>
      <c r="N39" s="44">
        <v>0.26300000000000001</v>
      </c>
      <c r="O39" s="45">
        <v>0.115</v>
      </c>
      <c r="P39" s="45">
        <v>0.111</v>
      </c>
      <c r="Q39" s="45">
        <v>0.11899999999999999</v>
      </c>
      <c r="S39" s="42">
        <v>0.41666666666666669</v>
      </c>
      <c r="T39" s="48">
        <v>9.6000000000000002E-2</v>
      </c>
      <c r="U39" s="48">
        <v>9.4E-2</v>
      </c>
      <c r="V39" s="48">
        <v>9.4E-2</v>
      </c>
      <c r="W39" s="49">
        <v>0.09</v>
      </c>
      <c r="X39" s="49">
        <v>9.0999999999999998E-2</v>
      </c>
      <c r="Y39" s="49">
        <v>9.6000000000000002E-2</v>
      </c>
      <c r="AA39" s="42">
        <v>0.41666666666666669</v>
      </c>
      <c r="AB39" s="51">
        <v>9.6000000000000002E-2</v>
      </c>
      <c r="AC39" s="51">
        <v>9.5000000000000001E-2</v>
      </c>
      <c r="AD39" s="51">
        <v>9.8000000000000004E-2</v>
      </c>
      <c r="AE39" s="52">
        <v>9.4E-2</v>
      </c>
      <c r="AF39" s="52">
        <v>9.6000000000000002E-2</v>
      </c>
      <c r="AG39" s="52">
        <v>9.5000000000000001E-2</v>
      </c>
      <c r="AI39" s="42">
        <v>0.41666666666666669</v>
      </c>
      <c r="AJ39" s="51">
        <v>9.7000000000000003E-2</v>
      </c>
      <c r="AK39" s="51">
        <v>9.6000000000000002E-2</v>
      </c>
      <c r="AL39" s="51">
        <v>9.6000000000000002E-2</v>
      </c>
      <c r="AM39" s="52">
        <v>9.5000000000000001E-2</v>
      </c>
      <c r="AN39" s="52">
        <v>9.4E-2</v>
      </c>
      <c r="AO39" s="52">
        <v>9.4E-2</v>
      </c>
    </row>
    <row r="40" spans="1:41" x14ac:dyDescent="0.25">
      <c r="A40" s="42">
        <v>0.43055555555555558</v>
      </c>
      <c r="B40" s="43">
        <v>8.3000000000000004E-2</v>
      </c>
      <c r="C40" s="44">
        <v>0.191</v>
      </c>
      <c r="D40" s="44">
        <v>0.20399999999999999</v>
      </c>
      <c r="E40" s="44">
        <v>0.19800000000000001</v>
      </c>
      <c r="F40" s="45">
        <v>0.14299999999999999</v>
      </c>
      <c r="G40" s="45">
        <v>0.14399999999999999</v>
      </c>
      <c r="H40" s="45">
        <v>0.13</v>
      </c>
      <c r="J40" s="42">
        <v>0.43055555555555558</v>
      </c>
      <c r="K40" s="43">
        <v>8.4000000000000005E-2</v>
      </c>
      <c r="L40" s="44">
        <v>0.29499999999999998</v>
      </c>
      <c r="M40" s="44">
        <v>0.29199999999999998</v>
      </c>
      <c r="N40" s="44">
        <v>0.30599999999999999</v>
      </c>
      <c r="O40" s="45">
        <v>0.126</v>
      </c>
      <c r="P40" s="45">
        <v>0.121</v>
      </c>
      <c r="Q40" s="45">
        <v>0.128</v>
      </c>
      <c r="S40" s="42">
        <v>0.43055555555555558</v>
      </c>
      <c r="T40" s="48">
        <v>9.8000000000000004E-2</v>
      </c>
      <c r="U40" s="48">
        <v>9.7000000000000003E-2</v>
      </c>
      <c r="V40" s="48">
        <v>9.6000000000000002E-2</v>
      </c>
      <c r="W40" s="49">
        <v>9.2999999999999999E-2</v>
      </c>
      <c r="X40" s="49">
        <v>9.4E-2</v>
      </c>
      <c r="Y40" s="49">
        <v>9.9000000000000005E-2</v>
      </c>
      <c r="AA40" s="42">
        <v>0.43055555555555558</v>
      </c>
      <c r="AB40" s="51">
        <v>9.8000000000000004E-2</v>
      </c>
      <c r="AC40" s="51">
        <v>9.7000000000000003E-2</v>
      </c>
      <c r="AD40" s="51">
        <v>0.1</v>
      </c>
      <c r="AE40" s="52">
        <v>9.6000000000000002E-2</v>
      </c>
      <c r="AF40" s="52">
        <v>9.7000000000000003E-2</v>
      </c>
      <c r="AG40" s="52">
        <v>9.6000000000000002E-2</v>
      </c>
      <c r="AI40" s="42">
        <v>0.43055555555555558</v>
      </c>
      <c r="AJ40" s="51">
        <v>9.9000000000000005E-2</v>
      </c>
      <c r="AK40" s="51">
        <v>9.8000000000000004E-2</v>
      </c>
      <c r="AL40" s="51">
        <v>9.8000000000000004E-2</v>
      </c>
      <c r="AM40" s="52">
        <v>9.6000000000000002E-2</v>
      </c>
      <c r="AN40" s="52">
        <v>9.6000000000000002E-2</v>
      </c>
      <c r="AO40" s="52">
        <v>9.7000000000000003E-2</v>
      </c>
    </row>
    <row r="41" spans="1:41" x14ac:dyDescent="0.25">
      <c r="A41" s="42">
        <v>0.44444444444444442</v>
      </c>
      <c r="B41" s="43">
        <v>8.3000000000000004E-2</v>
      </c>
      <c r="C41" s="44">
        <v>0.22900000000000001</v>
      </c>
      <c r="D41" s="44">
        <v>0.253</v>
      </c>
      <c r="E41" s="44">
        <v>0.23699999999999999</v>
      </c>
      <c r="F41" s="45">
        <v>0.16</v>
      </c>
      <c r="G41" s="45">
        <v>0.159</v>
      </c>
      <c r="H41" s="45">
        <v>0.14399999999999999</v>
      </c>
      <c r="J41" s="42">
        <v>0.44444444444444442</v>
      </c>
      <c r="K41" s="43">
        <v>8.3000000000000004E-2</v>
      </c>
      <c r="L41" s="44">
        <v>0.33700000000000002</v>
      </c>
      <c r="M41" s="44">
        <v>0.33200000000000002</v>
      </c>
      <c r="N41" s="44">
        <v>0.35</v>
      </c>
      <c r="O41" s="45">
        <v>0.13800000000000001</v>
      </c>
      <c r="P41" s="45">
        <v>0.13200000000000001</v>
      </c>
      <c r="Q41" s="45">
        <v>0.14199999999999999</v>
      </c>
      <c r="S41" s="42">
        <v>0.44444444444444442</v>
      </c>
      <c r="T41" s="48">
        <v>0.10100000000000001</v>
      </c>
      <c r="U41" s="48">
        <v>0.1</v>
      </c>
      <c r="V41" s="48">
        <v>9.9000000000000005E-2</v>
      </c>
      <c r="W41" s="49">
        <v>9.2999999999999999E-2</v>
      </c>
      <c r="X41" s="49">
        <v>9.6000000000000002E-2</v>
      </c>
      <c r="Y41" s="49">
        <v>0.1</v>
      </c>
      <c r="AA41" s="42">
        <v>0.44444444444444442</v>
      </c>
      <c r="AB41" s="51">
        <v>0.1</v>
      </c>
      <c r="AC41" s="51">
        <v>0.1</v>
      </c>
      <c r="AD41" s="51">
        <v>0.10199999999999999</v>
      </c>
      <c r="AE41" s="52">
        <v>9.8000000000000004E-2</v>
      </c>
      <c r="AF41" s="52">
        <v>0.1</v>
      </c>
      <c r="AG41" s="52">
        <v>9.8000000000000004E-2</v>
      </c>
      <c r="AI41" s="42">
        <v>0.44444444444444442</v>
      </c>
      <c r="AJ41" s="51">
        <v>0.10199999999999999</v>
      </c>
      <c r="AK41" s="51">
        <v>0.10100000000000001</v>
      </c>
      <c r="AL41" s="51">
        <v>0.10100000000000001</v>
      </c>
      <c r="AM41" s="52">
        <v>9.8000000000000004E-2</v>
      </c>
      <c r="AN41" s="52">
        <v>9.8000000000000004E-2</v>
      </c>
      <c r="AO41" s="52">
        <v>9.9000000000000005E-2</v>
      </c>
    </row>
    <row r="42" spans="1:41" x14ac:dyDescent="0.25">
      <c r="A42" s="42">
        <v>0.45833333333333331</v>
      </c>
      <c r="B42" s="43">
        <v>8.3000000000000004E-2</v>
      </c>
      <c r="C42" s="44">
        <v>0.27700000000000002</v>
      </c>
      <c r="D42" s="44">
        <v>0.29099999999999998</v>
      </c>
      <c r="E42" s="44">
        <v>0.27900000000000003</v>
      </c>
      <c r="F42" s="45">
        <v>0.18099999999999999</v>
      </c>
      <c r="G42" s="45">
        <v>0.18099999999999999</v>
      </c>
      <c r="H42" s="45">
        <v>0.16300000000000001</v>
      </c>
      <c r="J42" s="42">
        <v>0.45833333333333331</v>
      </c>
      <c r="K42" s="43">
        <v>8.3000000000000004E-2</v>
      </c>
      <c r="L42" s="44">
        <v>0.43</v>
      </c>
      <c r="M42" s="44">
        <v>0.41699999999999998</v>
      </c>
      <c r="N42" s="44">
        <v>0.436</v>
      </c>
      <c r="O42" s="45">
        <v>0.156</v>
      </c>
      <c r="P42" s="45">
        <v>0.14799999999999999</v>
      </c>
      <c r="Q42" s="45">
        <v>0.161</v>
      </c>
      <c r="S42" s="42">
        <v>0.45833333333333331</v>
      </c>
      <c r="T42" s="48">
        <v>0.107</v>
      </c>
      <c r="U42" s="48">
        <v>0.104</v>
      </c>
      <c r="V42" s="48">
        <v>0.10299999999999999</v>
      </c>
      <c r="W42" s="49">
        <v>9.6000000000000002E-2</v>
      </c>
      <c r="X42" s="49">
        <v>9.8000000000000004E-2</v>
      </c>
      <c r="Y42" s="49">
        <v>0.105</v>
      </c>
      <c r="AA42" s="42">
        <v>0.45833333333333331</v>
      </c>
      <c r="AB42" s="51">
        <v>0.10299999999999999</v>
      </c>
      <c r="AC42" s="51">
        <v>0.10299999999999999</v>
      </c>
      <c r="AD42" s="51">
        <v>0.105</v>
      </c>
      <c r="AE42" s="52">
        <v>0.1</v>
      </c>
      <c r="AF42" s="52">
        <v>0.10199999999999999</v>
      </c>
      <c r="AG42" s="52">
        <v>0.1</v>
      </c>
      <c r="AI42" s="42">
        <v>0.45833333333333331</v>
      </c>
      <c r="AJ42" s="51">
        <v>0.105</v>
      </c>
      <c r="AK42" s="51">
        <v>0.104</v>
      </c>
      <c r="AL42" s="51">
        <v>0.104</v>
      </c>
      <c r="AM42" s="52">
        <v>0.1</v>
      </c>
      <c r="AN42" s="52">
        <v>0.1</v>
      </c>
      <c r="AO42" s="52">
        <v>0.10100000000000001</v>
      </c>
    </row>
    <row r="43" spans="1:41" x14ac:dyDescent="0.25">
      <c r="A43" s="42">
        <v>0.47222222222222227</v>
      </c>
      <c r="B43" s="43">
        <v>8.3000000000000004E-2</v>
      </c>
      <c r="C43" s="44">
        <v>0.34200000000000003</v>
      </c>
      <c r="D43" s="44">
        <v>0.32</v>
      </c>
      <c r="E43" s="44">
        <v>0.32400000000000001</v>
      </c>
      <c r="F43" s="45">
        <v>0.21099999999999999</v>
      </c>
      <c r="G43" s="45">
        <v>0.21</v>
      </c>
      <c r="H43" s="45">
        <v>0.187</v>
      </c>
      <c r="J43" s="42">
        <v>0.47222222222222227</v>
      </c>
      <c r="K43" s="43">
        <v>8.3000000000000004E-2</v>
      </c>
      <c r="L43" s="44">
        <v>0.40899999999999997</v>
      </c>
      <c r="M43" s="44">
        <v>0.41899999999999998</v>
      </c>
      <c r="N43" s="44">
        <v>0.41399999999999998</v>
      </c>
      <c r="O43" s="45">
        <v>0.18</v>
      </c>
      <c r="P43" s="45">
        <v>0.17</v>
      </c>
      <c r="Q43" s="45">
        <v>0.189</v>
      </c>
      <c r="S43" s="42">
        <v>0.47222222222222227</v>
      </c>
      <c r="T43" s="48">
        <v>0.111</v>
      </c>
      <c r="U43" s="48">
        <v>0.108</v>
      </c>
      <c r="V43" s="48">
        <v>0.108</v>
      </c>
      <c r="W43" s="49">
        <v>0.1</v>
      </c>
      <c r="X43" s="49">
        <v>0.104</v>
      </c>
      <c r="Y43" s="49">
        <v>0.107</v>
      </c>
      <c r="AA43" s="42">
        <v>0.47222222222222227</v>
      </c>
      <c r="AB43" s="51">
        <v>0.106</v>
      </c>
      <c r="AC43" s="51">
        <v>0.107</v>
      </c>
      <c r="AD43" s="51">
        <v>0.109</v>
      </c>
      <c r="AE43" s="52">
        <v>0.10199999999999999</v>
      </c>
      <c r="AF43" s="52">
        <v>0.105</v>
      </c>
      <c r="AG43" s="52">
        <v>0.10299999999999999</v>
      </c>
      <c r="AI43" s="42">
        <v>0.47222222222222227</v>
      </c>
      <c r="AJ43" s="51">
        <v>0.109</v>
      </c>
      <c r="AK43" s="51">
        <v>0.109</v>
      </c>
      <c r="AL43" s="51">
        <v>0.109</v>
      </c>
      <c r="AM43" s="52">
        <v>0.10299999999999999</v>
      </c>
      <c r="AN43" s="52">
        <v>0.10299999999999999</v>
      </c>
      <c r="AO43" s="52">
        <v>0.104</v>
      </c>
    </row>
    <row r="44" spans="1:41" x14ac:dyDescent="0.25">
      <c r="A44" s="42">
        <v>0.4861111111111111</v>
      </c>
      <c r="B44" s="43">
        <v>8.3000000000000004E-2</v>
      </c>
      <c r="C44" s="44">
        <v>0.36099999999999999</v>
      </c>
      <c r="D44" s="44">
        <v>0.36599999999999999</v>
      </c>
      <c r="E44" s="44">
        <v>0.36899999999999999</v>
      </c>
      <c r="F44" s="45">
        <v>0.26100000000000001</v>
      </c>
      <c r="G44" s="45">
        <v>0.26700000000000002</v>
      </c>
      <c r="H44" s="45">
        <v>0.22</v>
      </c>
      <c r="J44" s="42">
        <v>0.4861111111111111</v>
      </c>
      <c r="K44" s="43">
        <v>8.3000000000000004E-2</v>
      </c>
      <c r="L44" s="44">
        <v>0.44700000000000001</v>
      </c>
      <c r="M44" s="44">
        <v>0.44800000000000001</v>
      </c>
      <c r="N44" s="44">
        <v>0.45200000000000001</v>
      </c>
      <c r="O44" s="45">
        <v>0.21099999999999999</v>
      </c>
      <c r="P44" s="45">
        <v>0.19600000000000001</v>
      </c>
      <c r="Q44" s="45">
        <v>0.217</v>
      </c>
      <c r="S44" s="42">
        <v>0.4861111111111111</v>
      </c>
      <c r="T44" s="48">
        <v>0.11799999999999999</v>
      </c>
      <c r="U44" s="48">
        <v>0.114</v>
      </c>
      <c r="V44" s="48">
        <v>0.114</v>
      </c>
      <c r="W44" s="49">
        <v>0.10199999999999999</v>
      </c>
      <c r="X44" s="49">
        <v>0.106</v>
      </c>
      <c r="Y44" s="49">
        <v>0.109</v>
      </c>
      <c r="AA44" s="42">
        <v>0.4861111111111111</v>
      </c>
      <c r="AB44" s="51">
        <v>0.111</v>
      </c>
      <c r="AC44" s="51">
        <v>0.113</v>
      </c>
      <c r="AD44" s="51">
        <v>0.113</v>
      </c>
      <c r="AE44" s="52">
        <v>0.105</v>
      </c>
      <c r="AF44" s="52">
        <v>0.108</v>
      </c>
      <c r="AG44" s="52">
        <v>0.106</v>
      </c>
      <c r="AI44" s="42">
        <v>0.4861111111111111</v>
      </c>
      <c r="AJ44" s="51">
        <v>0.114</v>
      </c>
      <c r="AK44" s="51">
        <v>0.114</v>
      </c>
      <c r="AL44" s="51">
        <v>0.114</v>
      </c>
      <c r="AM44" s="52">
        <v>0.106</v>
      </c>
      <c r="AN44" s="52">
        <v>0.107</v>
      </c>
      <c r="AO44" s="52">
        <v>0.106</v>
      </c>
    </row>
    <row r="45" spans="1:41" x14ac:dyDescent="0.25">
      <c r="A45" s="42">
        <v>0.5</v>
      </c>
      <c r="B45" s="43">
        <v>8.3000000000000004E-2</v>
      </c>
      <c r="C45" s="44">
        <v>0.41299999999999998</v>
      </c>
      <c r="D45" s="44">
        <v>0.43</v>
      </c>
      <c r="E45" s="44">
        <v>0.41499999999999998</v>
      </c>
      <c r="F45" s="45">
        <v>0.28499999999999998</v>
      </c>
      <c r="G45" s="45">
        <v>0.29299999999999998</v>
      </c>
      <c r="H45" s="45">
        <v>0.27700000000000002</v>
      </c>
      <c r="J45" s="42">
        <v>0.5</v>
      </c>
      <c r="K45" s="43">
        <v>8.3000000000000004E-2</v>
      </c>
      <c r="L45" s="44">
        <v>0.48299999999999998</v>
      </c>
      <c r="M45" s="44">
        <v>0.48599999999999999</v>
      </c>
      <c r="N45" s="44">
        <v>0.48799999999999999</v>
      </c>
      <c r="O45" s="45">
        <v>0.245</v>
      </c>
      <c r="P45" s="45">
        <v>0.23</v>
      </c>
      <c r="Q45" s="45">
        <v>0.252</v>
      </c>
      <c r="S45" s="42">
        <v>0.5</v>
      </c>
      <c r="T45" s="48">
        <v>0.126</v>
      </c>
      <c r="U45" s="48">
        <v>0.122</v>
      </c>
      <c r="V45" s="48">
        <v>0.121</v>
      </c>
      <c r="W45" s="49">
        <v>0.105</v>
      </c>
      <c r="X45" s="49">
        <v>0.11</v>
      </c>
      <c r="Y45" s="49">
        <v>0.114</v>
      </c>
      <c r="AA45" s="42">
        <v>0.5</v>
      </c>
      <c r="AB45" s="51">
        <v>0.11600000000000001</v>
      </c>
      <c r="AC45" s="51">
        <v>0.12</v>
      </c>
      <c r="AD45" s="51">
        <v>0.11899999999999999</v>
      </c>
      <c r="AE45" s="52">
        <v>0.109</v>
      </c>
      <c r="AF45" s="52">
        <v>0.113</v>
      </c>
      <c r="AG45" s="52">
        <v>0.11</v>
      </c>
      <c r="AI45" s="42">
        <v>0.5</v>
      </c>
      <c r="AJ45" s="51">
        <v>0.11899999999999999</v>
      </c>
      <c r="AK45" s="51">
        <v>0.123</v>
      </c>
      <c r="AL45" s="51">
        <v>0.12</v>
      </c>
      <c r="AM45" s="52">
        <v>0.11</v>
      </c>
      <c r="AN45" s="52">
        <v>0.11</v>
      </c>
      <c r="AO45" s="52">
        <v>0.11</v>
      </c>
    </row>
    <row r="46" spans="1:41" x14ac:dyDescent="0.25">
      <c r="A46" s="42">
        <v>0.51388888888888895</v>
      </c>
      <c r="B46" s="43">
        <v>8.3000000000000004E-2</v>
      </c>
      <c r="C46" s="44">
        <v>0.46100000000000002</v>
      </c>
      <c r="D46" s="44">
        <v>0.46600000000000003</v>
      </c>
      <c r="E46" s="44">
        <v>0.46100000000000002</v>
      </c>
      <c r="F46" s="45">
        <v>0.30099999999999999</v>
      </c>
      <c r="G46" s="45">
        <v>0.30299999999999999</v>
      </c>
      <c r="H46" s="45">
        <v>0.315</v>
      </c>
      <c r="J46" s="42">
        <v>0.51388888888888895</v>
      </c>
      <c r="K46" s="43">
        <v>8.3000000000000004E-2</v>
      </c>
      <c r="L46" s="44">
        <v>0.51800000000000002</v>
      </c>
      <c r="M46" s="44">
        <v>0.52600000000000002</v>
      </c>
      <c r="N46" s="44">
        <v>0.52500000000000002</v>
      </c>
      <c r="O46" s="45">
        <v>0.28399999999999997</v>
      </c>
      <c r="P46" s="45">
        <v>0.26600000000000001</v>
      </c>
      <c r="Q46" s="45">
        <v>0.28999999999999998</v>
      </c>
      <c r="S46" s="42">
        <v>0.51388888888888895</v>
      </c>
      <c r="T46" s="48">
        <v>0.13500000000000001</v>
      </c>
      <c r="U46" s="48">
        <v>0.13100000000000001</v>
      </c>
      <c r="V46" s="48">
        <v>0.13</v>
      </c>
      <c r="W46" s="49">
        <v>0.11</v>
      </c>
      <c r="X46" s="49">
        <v>0.115</v>
      </c>
      <c r="Y46" s="49">
        <v>0.11799999999999999</v>
      </c>
      <c r="AA46" s="42">
        <v>0.51388888888888895</v>
      </c>
      <c r="AB46" s="51">
        <v>0.123</v>
      </c>
      <c r="AC46" s="51">
        <v>0.129</v>
      </c>
      <c r="AD46" s="51">
        <v>0.127</v>
      </c>
      <c r="AE46" s="52">
        <v>0.113</v>
      </c>
      <c r="AF46" s="52">
        <v>0.11799999999999999</v>
      </c>
      <c r="AG46" s="52">
        <v>0.114</v>
      </c>
      <c r="AI46" s="42">
        <v>0.51388888888888895</v>
      </c>
      <c r="AJ46" s="51">
        <v>0.127</v>
      </c>
      <c r="AK46" s="51">
        <v>0.128</v>
      </c>
      <c r="AL46" s="51">
        <v>0.128</v>
      </c>
      <c r="AM46" s="52">
        <v>0.115</v>
      </c>
      <c r="AN46" s="52">
        <v>0.115</v>
      </c>
      <c r="AO46" s="52">
        <v>0.114</v>
      </c>
    </row>
    <row r="47" spans="1:41" x14ac:dyDescent="0.25">
      <c r="A47" s="42">
        <v>0.52777777777777779</v>
      </c>
      <c r="B47" s="43">
        <v>8.3000000000000004E-2</v>
      </c>
      <c r="C47" s="44">
        <v>0.52800000000000002</v>
      </c>
      <c r="D47" s="44">
        <v>0.505</v>
      </c>
      <c r="E47" s="44">
        <v>0.504</v>
      </c>
      <c r="F47" s="45">
        <v>0.33300000000000002</v>
      </c>
      <c r="G47" s="45">
        <v>0.33500000000000002</v>
      </c>
      <c r="H47" s="45">
        <v>0.34</v>
      </c>
      <c r="J47" s="42">
        <v>0.52777777777777779</v>
      </c>
      <c r="K47" s="43">
        <v>8.3000000000000004E-2</v>
      </c>
      <c r="L47" s="44">
        <v>0.55600000000000005</v>
      </c>
      <c r="M47" s="44">
        <v>0.57099999999999995</v>
      </c>
      <c r="N47" s="44">
        <v>0.56000000000000005</v>
      </c>
      <c r="O47" s="45">
        <v>0.32900000000000001</v>
      </c>
      <c r="P47" s="45">
        <v>0.309</v>
      </c>
      <c r="Q47" s="45">
        <v>0.34300000000000003</v>
      </c>
      <c r="S47" s="42">
        <v>0.52777777777777779</v>
      </c>
      <c r="T47" s="48">
        <v>0.15</v>
      </c>
      <c r="U47" s="48">
        <v>0.14299999999999999</v>
      </c>
      <c r="V47" s="48">
        <v>0.14299999999999999</v>
      </c>
      <c r="W47" s="49">
        <v>0.11600000000000001</v>
      </c>
      <c r="X47" s="49">
        <v>0.123</v>
      </c>
      <c r="Y47" s="49">
        <v>0.123</v>
      </c>
      <c r="AA47" s="42">
        <v>0.52777777777777779</v>
      </c>
      <c r="AB47" s="51">
        <v>0.13300000000000001</v>
      </c>
      <c r="AC47" s="51">
        <v>0.14000000000000001</v>
      </c>
      <c r="AD47" s="51">
        <v>0.13600000000000001</v>
      </c>
      <c r="AE47" s="52">
        <v>0.11899999999999999</v>
      </c>
      <c r="AF47" s="52">
        <v>0.124</v>
      </c>
      <c r="AG47" s="52">
        <v>0.12</v>
      </c>
      <c r="AI47" s="42">
        <v>0.52777777777777779</v>
      </c>
      <c r="AJ47" s="51">
        <v>0.13600000000000001</v>
      </c>
      <c r="AK47" s="51">
        <v>0.13800000000000001</v>
      </c>
      <c r="AL47" s="51">
        <v>0.13800000000000001</v>
      </c>
      <c r="AM47" s="52">
        <v>0.12</v>
      </c>
      <c r="AN47" s="52">
        <v>0.121</v>
      </c>
      <c r="AO47" s="52">
        <v>0.11899999999999999</v>
      </c>
    </row>
    <row r="48" spans="1:41" x14ac:dyDescent="0.25">
      <c r="A48" s="42">
        <v>0.54166666666666663</v>
      </c>
      <c r="B48" s="43">
        <v>8.3000000000000004E-2</v>
      </c>
      <c r="C48" s="44">
        <v>0.57099999999999995</v>
      </c>
      <c r="D48" s="44">
        <v>0.55100000000000005</v>
      </c>
      <c r="E48" s="44">
        <v>0.54800000000000004</v>
      </c>
      <c r="F48" s="45">
        <v>0.374</v>
      </c>
      <c r="G48" s="45">
        <v>0.373</v>
      </c>
      <c r="H48" s="45">
        <v>0.38200000000000001</v>
      </c>
      <c r="J48" s="42">
        <v>0.54166666666666663</v>
      </c>
      <c r="K48" s="43">
        <v>8.3000000000000004E-2</v>
      </c>
      <c r="L48" s="44">
        <v>0.58599999999999997</v>
      </c>
      <c r="M48" s="44">
        <v>0.60799999999999998</v>
      </c>
      <c r="N48" s="44">
        <v>0.58799999999999997</v>
      </c>
      <c r="O48" s="45">
        <v>0.38900000000000001</v>
      </c>
      <c r="P48" s="45">
        <v>0.36299999999999999</v>
      </c>
      <c r="Q48" s="45">
        <v>0.37</v>
      </c>
      <c r="S48" s="42">
        <v>0.54166666666666663</v>
      </c>
      <c r="T48" s="48">
        <v>0.16400000000000001</v>
      </c>
      <c r="U48" s="48">
        <v>0.159</v>
      </c>
      <c r="V48" s="48">
        <v>0.157</v>
      </c>
      <c r="W48" s="49">
        <v>0.121</v>
      </c>
      <c r="X48" s="49">
        <v>0.126</v>
      </c>
      <c r="Y48" s="49">
        <v>0.13</v>
      </c>
      <c r="AA48" s="42">
        <v>0.54166666666666663</v>
      </c>
      <c r="AB48" s="51">
        <v>0.14499999999999999</v>
      </c>
      <c r="AC48" s="51">
        <v>0.155</v>
      </c>
      <c r="AD48" s="51">
        <v>0.14899999999999999</v>
      </c>
      <c r="AE48" s="52">
        <v>0.125</v>
      </c>
      <c r="AF48" s="52">
        <v>0.13200000000000001</v>
      </c>
      <c r="AG48" s="52">
        <v>0.127</v>
      </c>
      <c r="AI48" s="42">
        <v>0.54166666666666663</v>
      </c>
      <c r="AJ48" s="51">
        <v>0.14899999999999999</v>
      </c>
      <c r="AK48" s="51">
        <v>0.151</v>
      </c>
      <c r="AL48" s="51">
        <v>0.151</v>
      </c>
      <c r="AM48" s="52">
        <v>0.127</v>
      </c>
      <c r="AN48" s="52">
        <v>0.127</v>
      </c>
      <c r="AO48" s="52">
        <v>0.125</v>
      </c>
    </row>
    <row r="49" spans="1:41" x14ac:dyDescent="0.25">
      <c r="A49" s="42">
        <v>0.55555555555555558</v>
      </c>
      <c r="B49" s="43">
        <v>8.3000000000000004E-2</v>
      </c>
      <c r="C49" s="44">
        <v>0.61</v>
      </c>
      <c r="D49" s="44">
        <v>0.59099999999999997</v>
      </c>
      <c r="E49" s="44">
        <v>0.58799999999999997</v>
      </c>
      <c r="F49" s="45">
        <v>0.41799999999999998</v>
      </c>
      <c r="G49" s="45">
        <v>0.41499999999999998</v>
      </c>
      <c r="H49" s="45">
        <v>0.42499999999999999</v>
      </c>
      <c r="J49" s="42">
        <v>0.55555555555555558</v>
      </c>
      <c r="K49" s="43">
        <v>8.3000000000000004E-2</v>
      </c>
      <c r="L49" s="44">
        <v>0.622</v>
      </c>
      <c r="M49" s="44">
        <v>0.63800000000000001</v>
      </c>
      <c r="N49" s="44">
        <v>0.621</v>
      </c>
      <c r="O49" s="45">
        <v>0.39</v>
      </c>
      <c r="P49" s="45">
        <v>0.374</v>
      </c>
      <c r="Q49" s="45">
        <v>0.39800000000000002</v>
      </c>
      <c r="S49" s="42">
        <v>0.55555555555555558</v>
      </c>
      <c r="T49" s="48">
        <v>0.184</v>
      </c>
      <c r="U49" s="48">
        <v>0.17499999999999999</v>
      </c>
      <c r="V49" s="48">
        <v>0.17699999999999999</v>
      </c>
      <c r="W49" s="49">
        <v>0.13200000000000001</v>
      </c>
      <c r="X49" s="49">
        <v>0.13900000000000001</v>
      </c>
      <c r="Y49" s="49">
        <v>0.13800000000000001</v>
      </c>
      <c r="AA49" s="42">
        <v>0.55555555555555558</v>
      </c>
      <c r="AB49" s="51">
        <v>0.161</v>
      </c>
      <c r="AC49" s="51">
        <v>0.17399999999999999</v>
      </c>
      <c r="AD49" s="51">
        <v>0.16500000000000001</v>
      </c>
      <c r="AE49" s="52">
        <v>0.13300000000000001</v>
      </c>
      <c r="AF49" s="52">
        <v>0.14099999999999999</v>
      </c>
      <c r="AG49" s="52">
        <v>0.13500000000000001</v>
      </c>
      <c r="AI49" s="42">
        <v>0.55555555555555558</v>
      </c>
      <c r="AJ49" s="51">
        <v>0.16700000000000001</v>
      </c>
      <c r="AK49" s="51">
        <v>0.16900000000000001</v>
      </c>
      <c r="AL49" s="51">
        <v>0.16900000000000001</v>
      </c>
      <c r="AM49" s="52">
        <v>0.13500000000000001</v>
      </c>
      <c r="AN49" s="52">
        <v>0.13600000000000001</v>
      </c>
      <c r="AO49" s="52">
        <v>0.13300000000000001</v>
      </c>
    </row>
    <row r="50" spans="1:41" x14ac:dyDescent="0.25">
      <c r="A50" s="42">
        <v>0.56944444444444442</v>
      </c>
      <c r="B50" s="43">
        <v>8.3000000000000004E-2</v>
      </c>
      <c r="C50" s="44">
        <v>0.64500000000000002</v>
      </c>
      <c r="D50" s="44">
        <v>0.629</v>
      </c>
      <c r="E50" s="44">
        <v>0.624</v>
      </c>
      <c r="F50" s="45">
        <v>0.46300000000000002</v>
      </c>
      <c r="G50" s="45">
        <v>0.45900000000000002</v>
      </c>
      <c r="H50" s="45">
        <v>0.46899999999999997</v>
      </c>
      <c r="J50" s="42">
        <v>0.56944444444444442</v>
      </c>
      <c r="K50" s="43">
        <v>8.3000000000000004E-2</v>
      </c>
      <c r="L50" s="44">
        <v>0.64900000000000002</v>
      </c>
      <c r="M50" s="44">
        <v>0.66500000000000004</v>
      </c>
      <c r="N50" s="44">
        <v>0.65200000000000002</v>
      </c>
      <c r="O50" s="45">
        <v>0.42699999999999999</v>
      </c>
      <c r="P50" s="45">
        <v>0.40600000000000003</v>
      </c>
      <c r="Q50" s="45">
        <v>0.435</v>
      </c>
      <c r="S50" s="42">
        <v>0.56944444444444442</v>
      </c>
      <c r="T50" s="48">
        <v>0.21199999999999999</v>
      </c>
      <c r="U50" s="48">
        <v>0.2</v>
      </c>
      <c r="V50" s="48">
        <v>0.2</v>
      </c>
      <c r="W50" s="49">
        <v>0.14199999999999999</v>
      </c>
      <c r="X50" s="49">
        <v>0.14599999999999999</v>
      </c>
      <c r="Y50" s="49">
        <v>0.14899999999999999</v>
      </c>
      <c r="AA50" s="42">
        <v>0.56944444444444442</v>
      </c>
      <c r="AB50" s="51">
        <v>0.18099999999999999</v>
      </c>
      <c r="AC50" s="51">
        <v>0.19700000000000001</v>
      </c>
      <c r="AD50" s="51">
        <v>0.186</v>
      </c>
      <c r="AE50" s="52">
        <v>0.14199999999999999</v>
      </c>
      <c r="AF50" s="52">
        <v>0.153</v>
      </c>
      <c r="AG50" s="52">
        <v>0.14499999999999999</v>
      </c>
      <c r="AI50" s="42">
        <v>0.56944444444444442</v>
      </c>
      <c r="AJ50" s="51">
        <v>0.189</v>
      </c>
      <c r="AK50" s="51">
        <v>0.192</v>
      </c>
      <c r="AL50" s="51">
        <v>0.192</v>
      </c>
      <c r="AM50" s="52">
        <v>0.14499999999999999</v>
      </c>
      <c r="AN50" s="52">
        <v>0.14499999999999999</v>
      </c>
      <c r="AO50" s="52">
        <v>0.14099999999999999</v>
      </c>
    </row>
    <row r="51" spans="1:41" x14ac:dyDescent="0.25">
      <c r="A51" s="42">
        <v>0.58333333333333337</v>
      </c>
      <c r="B51" s="43">
        <v>8.3000000000000004E-2</v>
      </c>
      <c r="C51" s="44">
        <v>0.67900000000000005</v>
      </c>
      <c r="D51" s="44">
        <v>0.66300000000000003</v>
      </c>
      <c r="E51" s="44">
        <v>0.66200000000000003</v>
      </c>
      <c r="F51" s="45">
        <v>0.50900000000000001</v>
      </c>
      <c r="G51" s="45">
        <v>0.502</v>
      </c>
      <c r="H51" s="45">
        <v>0.52</v>
      </c>
      <c r="J51" s="42">
        <v>0.58333333333333337</v>
      </c>
      <c r="K51" s="43">
        <v>8.4000000000000005E-2</v>
      </c>
      <c r="L51" s="44">
        <v>0.73</v>
      </c>
      <c r="M51" s="44">
        <v>0.68899999999999995</v>
      </c>
      <c r="N51" s="44">
        <v>0.68</v>
      </c>
      <c r="O51" s="45">
        <v>0.46500000000000002</v>
      </c>
      <c r="P51" s="45">
        <v>0.442</v>
      </c>
      <c r="Q51" s="45">
        <v>0.47299999999999998</v>
      </c>
      <c r="S51" s="42">
        <v>0.58333333333333337</v>
      </c>
      <c r="T51" s="48">
        <v>0.23899999999999999</v>
      </c>
      <c r="U51" s="48">
        <v>0.22700000000000001</v>
      </c>
      <c r="V51" s="48">
        <v>0.22800000000000001</v>
      </c>
      <c r="W51" s="49">
        <v>0.152</v>
      </c>
      <c r="X51" s="49">
        <v>0.159</v>
      </c>
      <c r="Y51" s="49">
        <v>0.159</v>
      </c>
      <c r="AA51" s="42">
        <v>0.58333333333333337</v>
      </c>
      <c r="AB51" s="51">
        <v>0.20499999999999999</v>
      </c>
      <c r="AC51" s="51">
        <v>0.22700000000000001</v>
      </c>
      <c r="AD51" s="51">
        <v>0.21099999999999999</v>
      </c>
      <c r="AE51" s="52">
        <v>0.154</v>
      </c>
      <c r="AF51" s="52">
        <v>0.16700000000000001</v>
      </c>
      <c r="AG51" s="52">
        <v>0.157</v>
      </c>
      <c r="AI51" s="42">
        <v>0.58333333333333337</v>
      </c>
      <c r="AJ51" s="51">
        <v>0.217</v>
      </c>
      <c r="AK51" s="51">
        <v>0.221</v>
      </c>
      <c r="AL51" s="51">
        <v>0.222</v>
      </c>
      <c r="AM51" s="52">
        <v>0.157</v>
      </c>
      <c r="AN51" s="52">
        <v>0.157</v>
      </c>
      <c r="AO51" s="52">
        <v>0.152</v>
      </c>
    </row>
    <row r="52" spans="1:41" x14ac:dyDescent="0.25">
      <c r="A52" s="42">
        <v>0.59722222222222221</v>
      </c>
      <c r="B52" s="43">
        <v>8.3000000000000004E-2</v>
      </c>
      <c r="C52" s="44">
        <v>0.70599999999999996</v>
      </c>
      <c r="D52" s="44">
        <v>0.69699999999999995</v>
      </c>
      <c r="E52" s="44">
        <v>0.69499999999999995</v>
      </c>
      <c r="F52" s="45">
        <v>0.55600000000000005</v>
      </c>
      <c r="G52" s="45">
        <v>0.54600000000000004</v>
      </c>
      <c r="H52" s="45">
        <v>0.56399999999999995</v>
      </c>
      <c r="J52" s="42">
        <v>0.59722222222222221</v>
      </c>
      <c r="K52" s="43">
        <v>8.3000000000000004E-2</v>
      </c>
      <c r="L52" s="44">
        <v>0.70399999999999996</v>
      </c>
      <c r="M52" s="44">
        <v>0.71199999999999997</v>
      </c>
      <c r="N52" s="44">
        <v>0.70299999999999996</v>
      </c>
      <c r="O52" s="45">
        <v>0.501</v>
      </c>
      <c r="P52" s="45">
        <v>0.47799999999999998</v>
      </c>
      <c r="Q52" s="45">
        <v>0.51400000000000001</v>
      </c>
      <c r="S52" s="42">
        <v>0.59722222222222221</v>
      </c>
      <c r="T52" s="48">
        <v>0.27</v>
      </c>
      <c r="U52" s="48">
        <v>0.26</v>
      </c>
      <c r="V52" s="48">
        <v>0.26100000000000001</v>
      </c>
      <c r="W52" s="49">
        <v>0.16800000000000001</v>
      </c>
      <c r="X52" s="49">
        <v>0.17499999999999999</v>
      </c>
      <c r="Y52" s="49">
        <v>0.17799999999999999</v>
      </c>
      <c r="AA52" s="42">
        <v>0.59722222222222221</v>
      </c>
      <c r="AB52" s="51">
        <v>0.23599999999999999</v>
      </c>
      <c r="AC52" s="51">
        <v>0.26</v>
      </c>
      <c r="AD52" s="51">
        <v>0.24299999999999999</v>
      </c>
      <c r="AE52" s="52">
        <v>0.16800000000000001</v>
      </c>
      <c r="AF52" s="52">
        <v>0.183</v>
      </c>
      <c r="AG52" s="52">
        <v>0.17199999999999999</v>
      </c>
      <c r="AI52" s="42">
        <v>0.59722222222222221</v>
      </c>
      <c r="AJ52" s="51">
        <v>0.25</v>
      </c>
      <c r="AK52" s="51">
        <v>0.25800000000000001</v>
      </c>
      <c r="AL52" s="51">
        <v>0.25700000000000001</v>
      </c>
      <c r="AM52" s="52">
        <v>0.17100000000000001</v>
      </c>
      <c r="AN52" s="52">
        <v>0.17100000000000001</v>
      </c>
      <c r="AO52" s="52">
        <v>0.16400000000000001</v>
      </c>
    </row>
    <row r="53" spans="1:41" x14ac:dyDescent="0.25">
      <c r="A53" s="42">
        <v>0.61111111111111105</v>
      </c>
      <c r="B53" s="43">
        <v>8.3000000000000004E-2</v>
      </c>
      <c r="C53" s="44">
        <v>0.73199999999999998</v>
      </c>
      <c r="D53" s="44">
        <v>0.72399999999999998</v>
      </c>
      <c r="E53" s="44">
        <v>0.72299999999999998</v>
      </c>
      <c r="F53" s="45">
        <v>0.59899999999999998</v>
      </c>
      <c r="G53" s="45">
        <v>0.58699999999999997</v>
      </c>
      <c r="H53" s="45">
        <v>0.60299999999999998</v>
      </c>
      <c r="J53" s="42">
        <v>0.61111111111111105</v>
      </c>
      <c r="K53" s="43">
        <v>8.3000000000000004E-2</v>
      </c>
      <c r="L53" s="44">
        <v>0.74399999999999999</v>
      </c>
      <c r="M53" s="44">
        <v>0.73199999999999998</v>
      </c>
      <c r="N53" s="44">
        <v>0.72399999999999998</v>
      </c>
      <c r="O53" s="45">
        <v>0.53500000000000003</v>
      </c>
      <c r="P53" s="45">
        <v>0.51200000000000001</v>
      </c>
      <c r="Q53" s="45">
        <v>0.55600000000000005</v>
      </c>
      <c r="S53" s="42">
        <v>0.61111111111111105</v>
      </c>
      <c r="T53" s="48">
        <v>0.307</v>
      </c>
      <c r="U53" s="48">
        <v>0.29499999999999998</v>
      </c>
      <c r="V53" s="48">
        <v>0.29699999999999999</v>
      </c>
      <c r="W53" s="49">
        <v>0.188</v>
      </c>
      <c r="X53" s="49">
        <v>0.19500000000000001</v>
      </c>
      <c r="Y53" s="49">
        <v>0.19500000000000001</v>
      </c>
      <c r="AA53" s="42">
        <v>0.61111111111111105</v>
      </c>
      <c r="AB53" s="51">
        <v>0.27</v>
      </c>
      <c r="AC53" s="51">
        <v>0.30099999999999999</v>
      </c>
      <c r="AD53" s="51">
        <v>0.27900000000000003</v>
      </c>
      <c r="AE53" s="52">
        <v>0.186</v>
      </c>
      <c r="AF53" s="52">
        <v>0.20399999999999999</v>
      </c>
      <c r="AG53" s="52">
        <v>0.189</v>
      </c>
      <c r="AI53" s="42">
        <v>0.61111111111111105</v>
      </c>
      <c r="AJ53" s="51">
        <v>0.29099999999999998</v>
      </c>
      <c r="AK53" s="51">
        <v>0.29799999999999999</v>
      </c>
      <c r="AL53" s="51">
        <v>0.3</v>
      </c>
      <c r="AM53" s="52">
        <v>0.189</v>
      </c>
      <c r="AN53" s="52">
        <v>0.188</v>
      </c>
      <c r="AO53" s="52">
        <v>0.17799999999999999</v>
      </c>
    </row>
    <row r="54" spans="1:41" x14ac:dyDescent="0.25">
      <c r="A54" s="42">
        <v>0.625</v>
      </c>
      <c r="B54" s="43">
        <v>8.3000000000000004E-2</v>
      </c>
      <c r="C54" s="44">
        <v>0.755</v>
      </c>
      <c r="D54" s="44">
        <v>0.748</v>
      </c>
      <c r="E54" s="44">
        <v>0.746</v>
      </c>
      <c r="F54" s="45">
        <v>0.63800000000000001</v>
      </c>
      <c r="G54" s="45">
        <v>0.625</v>
      </c>
      <c r="H54" s="45">
        <v>0.63700000000000001</v>
      </c>
      <c r="J54" s="42">
        <v>0.625</v>
      </c>
      <c r="K54" s="43">
        <v>8.3000000000000004E-2</v>
      </c>
      <c r="L54" s="44">
        <v>0.78800000000000003</v>
      </c>
      <c r="M54" s="44">
        <v>0.749</v>
      </c>
      <c r="N54" s="44">
        <v>0.74099999999999999</v>
      </c>
      <c r="O54" s="45">
        <v>0.57199999999999995</v>
      </c>
      <c r="P54" s="45">
        <v>0.54700000000000004</v>
      </c>
      <c r="Q54" s="45">
        <v>0.59199999999999997</v>
      </c>
      <c r="S54" s="42">
        <v>0.625</v>
      </c>
      <c r="T54" s="48">
        <v>0.34499999999999997</v>
      </c>
      <c r="U54" s="48">
        <v>0.33300000000000002</v>
      </c>
      <c r="V54" s="48">
        <v>0.33900000000000002</v>
      </c>
      <c r="W54" s="49">
        <v>0.21</v>
      </c>
      <c r="X54" s="49">
        <v>0.216</v>
      </c>
      <c r="Y54" s="49">
        <v>0.216</v>
      </c>
      <c r="AA54" s="42">
        <v>0.625</v>
      </c>
      <c r="AB54" s="51">
        <v>0.308</v>
      </c>
      <c r="AC54" s="51">
        <v>0.34200000000000003</v>
      </c>
      <c r="AD54" s="51">
        <v>0.32</v>
      </c>
      <c r="AE54" s="52">
        <v>0.20699999999999999</v>
      </c>
      <c r="AF54" s="52">
        <v>0.22800000000000001</v>
      </c>
      <c r="AG54" s="52">
        <v>0.21099999999999999</v>
      </c>
      <c r="AI54" s="42">
        <v>0.625</v>
      </c>
      <c r="AJ54" s="51">
        <v>0.33800000000000002</v>
      </c>
      <c r="AK54" s="51">
        <v>0.35</v>
      </c>
      <c r="AL54" s="51">
        <v>0.34799999999999998</v>
      </c>
      <c r="AM54" s="52">
        <v>0.21</v>
      </c>
      <c r="AN54" s="52">
        <v>0.20899999999999999</v>
      </c>
      <c r="AO54" s="52">
        <v>0.19800000000000001</v>
      </c>
    </row>
    <row r="55" spans="1:41" x14ac:dyDescent="0.25">
      <c r="A55" s="42">
        <v>0.63888888888888895</v>
      </c>
      <c r="B55" s="43">
        <v>8.3000000000000004E-2</v>
      </c>
      <c r="C55" s="44">
        <v>0.77500000000000002</v>
      </c>
      <c r="D55" s="44">
        <v>0.77</v>
      </c>
      <c r="E55" s="44">
        <v>0.76800000000000002</v>
      </c>
      <c r="F55" s="45">
        <v>0.67200000000000004</v>
      </c>
      <c r="G55" s="45">
        <v>0.65900000000000003</v>
      </c>
      <c r="H55" s="45">
        <v>0.67</v>
      </c>
      <c r="J55" s="42">
        <v>0.63888888888888895</v>
      </c>
      <c r="K55" s="43">
        <v>8.3000000000000004E-2</v>
      </c>
      <c r="L55" s="44">
        <v>0.82199999999999995</v>
      </c>
      <c r="M55" s="44">
        <v>0.76500000000000001</v>
      </c>
      <c r="N55" s="44">
        <v>0.75800000000000001</v>
      </c>
      <c r="O55" s="45">
        <v>0.60799999999999998</v>
      </c>
      <c r="P55" s="45">
        <v>0.58499999999999996</v>
      </c>
      <c r="Q55" s="45">
        <v>0.624</v>
      </c>
      <c r="S55" s="42">
        <v>0.63888888888888895</v>
      </c>
      <c r="T55" s="48">
        <v>0.38800000000000001</v>
      </c>
      <c r="U55" s="48">
        <v>0.375</v>
      </c>
      <c r="V55" s="48">
        <v>0.379</v>
      </c>
      <c r="W55" s="49">
        <v>0.23300000000000001</v>
      </c>
      <c r="X55" s="49">
        <v>0.24099999999999999</v>
      </c>
      <c r="Y55" s="49">
        <v>0.24299999999999999</v>
      </c>
      <c r="AA55" s="42">
        <v>0.63888888888888895</v>
      </c>
      <c r="AB55" s="51">
        <v>0.35099999999999998</v>
      </c>
      <c r="AC55" s="51">
        <v>0.38900000000000001</v>
      </c>
      <c r="AD55" s="51">
        <v>0.36499999999999999</v>
      </c>
      <c r="AE55" s="52">
        <v>0.23300000000000001</v>
      </c>
      <c r="AF55" s="52">
        <v>0.25800000000000001</v>
      </c>
      <c r="AG55" s="52">
        <v>0.23799999999999999</v>
      </c>
      <c r="AI55" s="42">
        <v>0.63888888888888895</v>
      </c>
      <c r="AJ55" s="51">
        <v>0.38800000000000001</v>
      </c>
      <c r="AK55" s="51">
        <v>0.39600000000000002</v>
      </c>
      <c r="AL55" s="51">
        <v>0.4</v>
      </c>
      <c r="AM55" s="52">
        <v>0.23499999999999999</v>
      </c>
      <c r="AN55" s="52">
        <v>0.23499999999999999</v>
      </c>
      <c r="AO55" s="52">
        <v>0.221</v>
      </c>
    </row>
    <row r="56" spans="1:41" x14ac:dyDescent="0.25">
      <c r="A56" s="42">
        <v>0.65277777777777779</v>
      </c>
      <c r="B56" s="43">
        <v>8.3000000000000004E-2</v>
      </c>
      <c r="C56" s="44">
        <v>0.79300000000000004</v>
      </c>
      <c r="D56" s="44">
        <v>0.78900000000000003</v>
      </c>
      <c r="E56" s="44">
        <v>0.78800000000000003</v>
      </c>
      <c r="F56" s="45">
        <v>0.70299999999999996</v>
      </c>
      <c r="G56" s="45">
        <v>0.68799999999999994</v>
      </c>
      <c r="H56" s="45">
        <v>0.70099999999999996</v>
      </c>
      <c r="J56" s="42">
        <v>0.65277777777777779</v>
      </c>
      <c r="K56" s="43">
        <v>8.3000000000000004E-2</v>
      </c>
      <c r="L56" s="44">
        <v>0.84399999999999997</v>
      </c>
      <c r="M56" s="44">
        <v>0.78</v>
      </c>
      <c r="N56" s="44">
        <v>0.77300000000000002</v>
      </c>
      <c r="O56" s="45">
        <v>0.63700000000000001</v>
      </c>
      <c r="P56" s="45">
        <v>0.62</v>
      </c>
      <c r="Q56" s="45">
        <v>0.65400000000000003</v>
      </c>
      <c r="S56" s="42">
        <v>0.65277777777777779</v>
      </c>
      <c r="T56" s="48">
        <v>0.432</v>
      </c>
      <c r="U56" s="48">
        <v>0.42</v>
      </c>
      <c r="V56" s="48">
        <v>0.42499999999999999</v>
      </c>
      <c r="W56" s="49">
        <v>0.26200000000000001</v>
      </c>
      <c r="X56" s="49">
        <v>0.26800000000000002</v>
      </c>
      <c r="Y56" s="49">
        <v>0.26900000000000002</v>
      </c>
      <c r="AA56" s="42">
        <v>0.65277777777777779</v>
      </c>
      <c r="AB56" s="51">
        <v>0.39600000000000002</v>
      </c>
      <c r="AC56" s="51">
        <v>0.438</v>
      </c>
      <c r="AD56" s="51">
        <v>0.41099999999999998</v>
      </c>
      <c r="AE56" s="52">
        <v>0.26300000000000001</v>
      </c>
      <c r="AF56" s="52">
        <v>0.29299999999999998</v>
      </c>
      <c r="AG56" s="52">
        <v>0.26900000000000002</v>
      </c>
      <c r="AI56" s="42">
        <v>0.65277777777777779</v>
      </c>
      <c r="AJ56" s="51">
        <v>0.443</v>
      </c>
      <c r="AK56" s="51">
        <v>0.45</v>
      </c>
      <c r="AL56" s="51">
        <v>0.45400000000000001</v>
      </c>
      <c r="AM56" s="52">
        <v>0.26600000000000001</v>
      </c>
      <c r="AN56" s="52">
        <v>0.26600000000000001</v>
      </c>
      <c r="AO56" s="52">
        <v>0.248</v>
      </c>
    </row>
    <row r="57" spans="1:41" x14ac:dyDescent="0.25">
      <c r="A57" s="42">
        <v>0.66666666666666663</v>
      </c>
      <c r="B57" s="43">
        <v>8.3000000000000004E-2</v>
      </c>
      <c r="C57" s="44">
        <v>0.80900000000000005</v>
      </c>
      <c r="D57" s="44">
        <v>0.80500000000000005</v>
      </c>
      <c r="E57" s="44">
        <v>0.80600000000000005</v>
      </c>
      <c r="F57" s="45">
        <v>0.73099999999999998</v>
      </c>
      <c r="G57" s="45">
        <v>0.71499999999999997</v>
      </c>
      <c r="H57" s="45">
        <v>0.72799999999999998</v>
      </c>
      <c r="J57" s="42">
        <v>0.66666666666666663</v>
      </c>
      <c r="K57" s="43">
        <v>8.4000000000000005E-2</v>
      </c>
      <c r="L57" s="44">
        <v>0.85899999999999999</v>
      </c>
      <c r="M57" s="44">
        <v>0.79300000000000004</v>
      </c>
      <c r="N57" s="44">
        <v>0.78700000000000003</v>
      </c>
      <c r="O57" s="45">
        <v>0.66400000000000003</v>
      </c>
      <c r="P57" s="45">
        <v>0.64800000000000002</v>
      </c>
      <c r="Q57" s="45">
        <v>0.68100000000000005</v>
      </c>
      <c r="S57" s="42">
        <v>0.66666666666666663</v>
      </c>
      <c r="T57" s="48">
        <v>0.47699999999999998</v>
      </c>
      <c r="U57" s="48">
        <v>0.46600000000000003</v>
      </c>
      <c r="V57" s="48">
        <v>0.46800000000000003</v>
      </c>
      <c r="W57" s="49">
        <v>0.29699999999999999</v>
      </c>
      <c r="X57" s="49">
        <v>0.3</v>
      </c>
      <c r="Y57" s="49">
        <v>0.30299999999999999</v>
      </c>
      <c r="AA57" s="42">
        <v>0.66666666666666663</v>
      </c>
      <c r="AB57" s="51">
        <v>0.44</v>
      </c>
      <c r="AC57" s="51">
        <v>0.49</v>
      </c>
      <c r="AD57" s="51">
        <v>0.45900000000000002</v>
      </c>
      <c r="AE57" s="52">
        <v>0.29799999999999999</v>
      </c>
      <c r="AF57" s="52">
        <v>0.33100000000000002</v>
      </c>
      <c r="AG57" s="52">
        <v>0.30399999999999999</v>
      </c>
      <c r="AI57" s="42">
        <v>0.66666666666666663</v>
      </c>
      <c r="AJ57" s="51">
        <v>0.499</v>
      </c>
      <c r="AK57" s="51">
        <v>0.50800000000000001</v>
      </c>
      <c r="AL57" s="51">
        <v>0.51200000000000001</v>
      </c>
      <c r="AM57" s="52">
        <v>0.30299999999999999</v>
      </c>
      <c r="AN57" s="52">
        <v>0.30199999999999999</v>
      </c>
      <c r="AO57" s="52">
        <v>0.28100000000000003</v>
      </c>
    </row>
    <row r="58" spans="1:41" x14ac:dyDescent="0.25">
      <c r="A58" s="42">
        <v>0.68055555555555547</v>
      </c>
      <c r="B58" s="43">
        <v>8.3000000000000004E-2</v>
      </c>
      <c r="C58" s="44">
        <v>0.82299999999999995</v>
      </c>
      <c r="D58" s="44">
        <v>0.82</v>
      </c>
      <c r="E58" s="44">
        <v>0.82199999999999995</v>
      </c>
      <c r="F58" s="45">
        <v>0.75600000000000001</v>
      </c>
      <c r="G58" s="45">
        <v>0.74</v>
      </c>
      <c r="H58" s="45">
        <v>0.752</v>
      </c>
      <c r="J58" s="42">
        <v>0.68055555555555547</v>
      </c>
      <c r="K58" s="43">
        <v>8.3000000000000004E-2</v>
      </c>
      <c r="L58" s="44">
        <v>0.86799999999999999</v>
      </c>
      <c r="M58" s="44">
        <v>0.80300000000000005</v>
      </c>
      <c r="N58" s="44">
        <v>0.79800000000000004</v>
      </c>
      <c r="O58" s="45">
        <v>0.68799999999999994</v>
      </c>
      <c r="P58" s="45">
        <v>0.67200000000000004</v>
      </c>
      <c r="Q58" s="45">
        <v>0.70399999999999996</v>
      </c>
      <c r="S58" s="42">
        <v>0.68055555555555547</v>
      </c>
      <c r="T58" s="48">
        <v>0.52100000000000002</v>
      </c>
      <c r="U58" s="48">
        <v>0.51200000000000001</v>
      </c>
      <c r="V58" s="48">
        <v>0.51500000000000001</v>
      </c>
      <c r="W58" s="49">
        <v>0.33</v>
      </c>
      <c r="X58" s="49">
        <v>0.33400000000000002</v>
      </c>
      <c r="Y58" s="49">
        <v>0.33600000000000002</v>
      </c>
      <c r="AA58" s="42">
        <v>0.68055555555555547</v>
      </c>
      <c r="AB58" s="51">
        <v>0.48599999999999999</v>
      </c>
      <c r="AC58" s="51">
        <v>0.54200000000000004</v>
      </c>
      <c r="AD58" s="51">
        <v>0.50800000000000001</v>
      </c>
      <c r="AE58" s="52">
        <v>0.33700000000000002</v>
      </c>
      <c r="AF58" s="52">
        <v>0.371</v>
      </c>
      <c r="AG58" s="52">
        <v>0.34100000000000003</v>
      </c>
      <c r="AI58" s="42">
        <v>0.68055555555555547</v>
      </c>
      <c r="AJ58" s="51">
        <v>0.55700000000000005</v>
      </c>
      <c r="AK58" s="51">
        <v>0.56699999999999995</v>
      </c>
      <c r="AL58" s="51">
        <v>0.57299999999999995</v>
      </c>
      <c r="AM58" s="52">
        <v>0.34599999999999997</v>
      </c>
      <c r="AN58" s="52">
        <v>0.34499999999999997</v>
      </c>
      <c r="AO58" s="52">
        <v>0.32100000000000001</v>
      </c>
    </row>
    <row r="59" spans="1:41" x14ac:dyDescent="0.25">
      <c r="A59" s="42">
        <v>0.69444444444444453</v>
      </c>
      <c r="B59" s="43">
        <v>8.3000000000000004E-2</v>
      </c>
      <c r="C59" s="44">
        <v>0.83499999999999996</v>
      </c>
      <c r="D59" s="44">
        <v>0.83299999999999996</v>
      </c>
      <c r="E59" s="44">
        <v>0.83499999999999996</v>
      </c>
      <c r="F59" s="45">
        <v>0.77800000000000002</v>
      </c>
      <c r="G59" s="45">
        <v>0.76200000000000001</v>
      </c>
      <c r="H59" s="45">
        <v>0.77500000000000002</v>
      </c>
      <c r="J59" s="42">
        <v>0.69444444444444453</v>
      </c>
      <c r="K59" s="43">
        <v>8.3000000000000004E-2</v>
      </c>
      <c r="L59" s="44">
        <v>0.89100000000000001</v>
      </c>
      <c r="M59" s="44">
        <v>0.81399999999999995</v>
      </c>
      <c r="N59" s="44">
        <v>0.80900000000000005</v>
      </c>
      <c r="O59" s="45">
        <v>0.70899999999999996</v>
      </c>
      <c r="P59" s="45">
        <v>0.69399999999999995</v>
      </c>
      <c r="Q59" s="45">
        <v>0.72599999999999998</v>
      </c>
      <c r="S59" s="42">
        <v>0.69444444444444453</v>
      </c>
      <c r="T59" s="48">
        <v>0.56399999999999995</v>
      </c>
      <c r="U59" s="48">
        <v>0.55500000000000005</v>
      </c>
      <c r="V59" s="48">
        <v>0.56000000000000005</v>
      </c>
      <c r="W59" s="49">
        <v>0.36499999999999999</v>
      </c>
      <c r="X59" s="49">
        <v>0.36199999999999999</v>
      </c>
      <c r="Y59" s="49">
        <v>0.37</v>
      </c>
      <c r="AA59" s="42">
        <v>0.69444444444444453</v>
      </c>
      <c r="AB59" s="51">
        <v>0.53600000000000003</v>
      </c>
      <c r="AC59" s="51">
        <v>0.59699999999999998</v>
      </c>
      <c r="AD59" s="51">
        <v>0.55900000000000005</v>
      </c>
      <c r="AE59" s="52">
        <v>0.377</v>
      </c>
      <c r="AF59" s="52">
        <v>0.41399999999999998</v>
      </c>
      <c r="AG59" s="52">
        <v>0.38100000000000001</v>
      </c>
      <c r="AI59" s="42">
        <v>0.69444444444444453</v>
      </c>
      <c r="AJ59" s="51">
        <v>0.61799999999999999</v>
      </c>
      <c r="AK59" s="51">
        <v>0.628</v>
      </c>
      <c r="AL59" s="51">
        <v>0.63500000000000001</v>
      </c>
      <c r="AM59" s="52">
        <v>0.39300000000000002</v>
      </c>
      <c r="AN59" s="52">
        <v>0.39100000000000001</v>
      </c>
      <c r="AO59" s="52">
        <v>0.36399999999999999</v>
      </c>
    </row>
    <row r="60" spans="1:41" x14ac:dyDescent="0.25">
      <c r="A60" s="42">
        <v>0.70833333333333337</v>
      </c>
      <c r="B60" s="43">
        <v>8.3000000000000004E-2</v>
      </c>
      <c r="C60" s="44">
        <v>0.84499999999999997</v>
      </c>
      <c r="D60" s="44">
        <v>0.84499999999999997</v>
      </c>
      <c r="E60" s="44">
        <v>0.84699999999999998</v>
      </c>
      <c r="F60" s="45">
        <v>0.79800000000000004</v>
      </c>
      <c r="G60" s="45">
        <v>0.78200000000000003</v>
      </c>
      <c r="H60" s="45">
        <v>0.79500000000000004</v>
      </c>
      <c r="J60" s="42">
        <v>0.70833333333333337</v>
      </c>
      <c r="K60" s="43">
        <v>8.3000000000000004E-2</v>
      </c>
      <c r="L60" s="44">
        <v>0.89200000000000002</v>
      </c>
      <c r="M60" s="44">
        <v>0.82299999999999995</v>
      </c>
      <c r="N60" s="44">
        <v>0.81599999999999995</v>
      </c>
      <c r="O60" s="45">
        <v>0.72899999999999998</v>
      </c>
      <c r="P60" s="45">
        <v>0.71399999999999997</v>
      </c>
      <c r="Q60" s="45">
        <v>0.746</v>
      </c>
      <c r="S60" s="42">
        <v>0.70833333333333337</v>
      </c>
      <c r="T60" s="48">
        <v>0.60299999999999998</v>
      </c>
      <c r="U60" s="48">
        <v>0.59699999999999998</v>
      </c>
      <c r="V60" s="48">
        <v>0.60199999999999998</v>
      </c>
      <c r="W60" s="49">
        <v>0.40400000000000003</v>
      </c>
      <c r="X60" s="49">
        <v>0.39900000000000002</v>
      </c>
      <c r="Y60" s="49">
        <v>0.40699999999999997</v>
      </c>
      <c r="AA60" s="42">
        <v>0.70833333333333337</v>
      </c>
      <c r="AB60" s="51">
        <v>0.58699999999999997</v>
      </c>
      <c r="AC60" s="51">
        <v>0.65100000000000002</v>
      </c>
      <c r="AD60" s="51">
        <v>0.61</v>
      </c>
      <c r="AE60" s="52">
        <v>0.42099999999999999</v>
      </c>
      <c r="AF60" s="52">
        <v>0.45800000000000002</v>
      </c>
      <c r="AG60" s="52">
        <v>0.42399999999999999</v>
      </c>
      <c r="AI60" s="42">
        <v>0.70833333333333337</v>
      </c>
      <c r="AJ60" s="51">
        <v>0.67900000000000005</v>
      </c>
      <c r="AK60" s="51">
        <v>0.69</v>
      </c>
      <c r="AL60" s="51">
        <v>0.69799999999999995</v>
      </c>
      <c r="AM60" s="52">
        <v>0.442</v>
      </c>
      <c r="AN60" s="52">
        <v>0.439</v>
      </c>
      <c r="AO60" s="52">
        <v>0.41</v>
      </c>
    </row>
    <row r="61" spans="1:41" x14ac:dyDescent="0.25">
      <c r="A61" s="42">
        <v>0.72222222222222221</v>
      </c>
      <c r="B61" s="43">
        <v>8.3000000000000004E-2</v>
      </c>
      <c r="C61" s="44">
        <v>0.85599999999999998</v>
      </c>
      <c r="D61" s="44">
        <v>0.85599999999999998</v>
      </c>
      <c r="E61" s="44">
        <v>0.85699999999999998</v>
      </c>
      <c r="F61" s="45">
        <v>0.81499999999999995</v>
      </c>
      <c r="G61" s="45">
        <v>0.8</v>
      </c>
      <c r="H61" s="45">
        <v>0.81200000000000006</v>
      </c>
      <c r="J61" s="42">
        <v>0.72222222222222221</v>
      </c>
      <c r="K61" s="43">
        <v>8.3000000000000004E-2</v>
      </c>
      <c r="L61" s="44">
        <v>0.90700000000000003</v>
      </c>
      <c r="M61" s="44">
        <v>0.83099999999999996</v>
      </c>
      <c r="N61" s="44">
        <v>0.82399999999999995</v>
      </c>
      <c r="O61" s="45">
        <v>0.746</v>
      </c>
      <c r="P61" s="45">
        <v>0.73399999999999999</v>
      </c>
      <c r="Q61" s="45">
        <v>0.76300000000000001</v>
      </c>
      <c r="S61" s="42">
        <v>0.72222222222222221</v>
      </c>
      <c r="T61" s="48">
        <v>0.63900000000000001</v>
      </c>
      <c r="U61" s="48">
        <v>0.63500000000000001</v>
      </c>
      <c r="V61" s="48">
        <v>0.64</v>
      </c>
      <c r="W61" s="49">
        <v>0.44600000000000001</v>
      </c>
      <c r="X61" s="49">
        <v>0.438</v>
      </c>
      <c r="Y61" s="49">
        <v>0.442</v>
      </c>
      <c r="AA61" s="42">
        <v>0.72222222222222221</v>
      </c>
      <c r="AB61" s="51">
        <v>0.63900000000000001</v>
      </c>
      <c r="AC61" s="51">
        <v>0.70399999999999996</v>
      </c>
      <c r="AD61" s="51">
        <v>0.66100000000000003</v>
      </c>
      <c r="AE61" s="52">
        <v>0.46300000000000002</v>
      </c>
      <c r="AF61" s="52">
        <v>0.504</v>
      </c>
      <c r="AG61" s="52">
        <v>0.46700000000000003</v>
      </c>
      <c r="AI61" s="42">
        <v>0.72222222222222221</v>
      </c>
      <c r="AJ61" s="51">
        <v>0.73899999999999999</v>
      </c>
      <c r="AK61" s="51">
        <v>0.749</v>
      </c>
      <c r="AL61" s="51">
        <v>0.75900000000000001</v>
      </c>
      <c r="AM61" s="52">
        <v>0.49299999999999999</v>
      </c>
      <c r="AN61" s="52">
        <v>0.49</v>
      </c>
      <c r="AO61" s="52">
        <v>0.46</v>
      </c>
    </row>
    <row r="62" spans="1:41" x14ac:dyDescent="0.25">
      <c r="A62" s="42">
        <v>0.73611111111111116</v>
      </c>
      <c r="B62" s="43">
        <v>8.3000000000000004E-2</v>
      </c>
      <c r="C62" s="44">
        <v>0.86099999999999999</v>
      </c>
      <c r="D62" s="44">
        <v>0.86</v>
      </c>
      <c r="E62" s="44">
        <v>0.86299999999999999</v>
      </c>
      <c r="F62" s="45">
        <v>0.83099999999999996</v>
      </c>
      <c r="G62" s="45">
        <v>0.81599999999999995</v>
      </c>
      <c r="H62" s="45">
        <v>0.82899999999999996</v>
      </c>
      <c r="J62" s="42">
        <v>0.73611111111111116</v>
      </c>
      <c r="K62" s="43">
        <v>8.3000000000000004E-2</v>
      </c>
      <c r="L62" s="44">
        <v>0.85899999999999999</v>
      </c>
      <c r="M62" s="44">
        <v>0.83699999999999997</v>
      </c>
      <c r="N62" s="44">
        <v>0.83</v>
      </c>
      <c r="O62" s="45">
        <v>0.76400000000000001</v>
      </c>
      <c r="P62" s="45">
        <v>0.751</v>
      </c>
      <c r="Q62" s="45">
        <v>0.77900000000000003</v>
      </c>
      <c r="S62" s="42">
        <v>0.73611111111111116</v>
      </c>
      <c r="T62" s="48">
        <v>0.67300000000000004</v>
      </c>
      <c r="U62" s="48">
        <v>0.66900000000000004</v>
      </c>
      <c r="V62" s="48">
        <v>0.67400000000000004</v>
      </c>
      <c r="W62" s="49">
        <v>0.48699999999999999</v>
      </c>
      <c r="X62" s="49">
        <v>0.47899999999999998</v>
      </c>
      <c r="Y62" s="49">
        <v>0.48299999999999998</v>
      </c>
      <c r="AA62" s="42">
        <v>0.73611111111111116</v>
      </c>
      <c r="AB62" s="51">
        <v>0.68799999999999994</v>
      </c>
      <c r="AC62" s="51">
        <v>0.753</v>
      </c>
      <c r="AD62" s="51">
        <v>0.70699999999999996</v>
      </c>
      <c r="AE62" s="52">
        <v>0.50800000000000001</v>
      </c>
      <c r="AF62" s="52">
        <v>0.55100000000000005</v>
      </c>
      <c r="AG62" s="52">
        <v>0.51300000000000001</v>
      </c>
      <c r="AI62" s="42">
        <v>0.73611111111111116</v>
      </c>
      <c r="AJ62" s="51">
        <v>0.79700000000000004</v>
      </c>
      <c r="AK62" s="51">
        <v>0.80500000000000005</v>
      </c>
      <c r="AL62" s="51">
        <v>0.81799999999999995</v>
      </c>
      <c r="AM62" s="52">
        <v>0.54700000000000004</v>
      </c>
      <c r="AN62" s="52">
        <v>0.54400000000000004</v>
      </c>
      <c r="AO62" s="52">
        <v>0.51200000000000001</v>
      </c>
    </row>
    <row r="63" spans="1:41" x14ac:dyDescent="0.25">
      <c r="A63" s="42">
        <v>0.75</v>
      </c>
      <c r="B63" s="43">
        <v>8.3000000000000004E-2</v>
      </c>
      <c r="C63" s="44">
        <v>0.85799999999999998</v>
      </c>
      <c r="D63" s="44">
        <v>0.85599999999999998</v>
      </c>
      <c r="E63" s="44">
        <v>0.86399999999999999</v>
      </c>
      <c r="F63" s="45">
        <v>0.84499999999999997</v>
      </c>
      <c r="G63" s="45">
        <v>0.83099999999999996</v>
      </c>
      <c r="H63" s="45">
        <v>0.84299999999999997</v>
      </c>
      <c r="J63" s="42">
        <v>0.75</v>
      </c>
      <c r="K63" s="43">
        <v>8.3000000000000004E-2</v>
      </c>
      <c r="L63" s="44">
        <v>0.86499999999999999</v>
      </c>
      <c r="M63" s="44">
        <v>0.84199999999999997</v>
      </c>
      <c r="N63" s="44">
        <v>0.84</v>
      </c>
      <c r="O63" s="45">
        <v>0.77900000000000003</v>
      </c>
      <c r="P63" s="45">
        <v>0.76700000000000002</v>
      </c>
      <c r="Q63" s="45">
        <v>0.79400000000000004</v>
      </c>
      <c r="S63" s="42">
        <v>0.75</v>
      </c>
      <c r="T63" s="48">
        <v>0.70299999999999996</v>
      </c>
      <c r="U63" s="48">
        <v>0.7</v>
      </c>
      <c r="V63" s="48">
        <v>0.70499999999999996</v>
      </c>
      <c r="W63" s="49">
        <v>0.53</v>
      </c>
      <c r="X63" s="49">
        <v>0.51900000000000002</v>
      </c>
      <c r="Y63" s="49">
        <v>0.52</v>
      </c>
      <c r="AA63" s="42">
        <v>0.75</v>
      </c>
      <c r="AB63" s="51">
        <v>0.73499999999999999</v>
      </c>
      <c r="AC63" s="51">
        <v>0.8</v>
      </c>
      <c r="AD63" s="51">
        <v>0.752</v>
      </c>
      <c r="AE63" s="52">
        <v>0.55300000000000005</v>
      </c>
      <c r="AF63" s="52">
        <v>0.59899999999999998</v>
      </c>
      <c r="AG63" s="52">
        <v>0.55900000000000005</v>
      </c>
      <c r="AI63" s="42">
        <v>0.75</v>
      </c>
      <c r="AJ63" s="51">
        <v>0.84799999999999998</v>
      </c>
      <c r="AK63" s="51">
        <v>0.85499999999999998</v>
      </c>
      <c r="AL63" s="51">
        <v>0.86899999999999999</v>
      </c>
      <c r="AM63" s="52">
        <v>0.60399999999999998</v>
      </c>
      <c r="AN63" s="52">
        <v>0.6</v>
      </c>
      <c r="AO63" s="52">
        <v>0.56599999999999995</v>
      </c>
    </row>
    <row r="64" spans="1:41" x14ac:dyDescent="0.25">
      <c r="A64" s="42">
        <v>0.76388888888888884</v>
      </c>
      <c r="B64" s="43">
        <v>8.3000000000000004E-2</v>
      </c>
      <c r="C64" s="44">
        <v>0.85499999999999998</v>
      </c>
      <c r="D64" s="44">
        <v>0.85299999999999998</v>
      </c>
      <c r="E64" s="44">
        <v>0.86199999999999999</v>
      </c>
      <c r="F64" s="45">
        <v>0.85599999999999998</v>
      </c>
      <c r="G64" s="45">
        <v>0.84399999999999997</v>
      </c>
      <c r="H64" s="45">
        <v>0.85499999999999998</v>
      </c>
      <c r="J64" s="42">
        <v>0.76388888888888884</v>
      </c>
      <c r="K64" s="43">
        <v>8.3000000000000004E-2</v>
      </c>
      <c r="L64" s="44">
        <v>0.878</v>
      </c>
      <c r="M64" s="44">
        <v>0.84599999999999997</v>
      </c>
      <c r="N64" s="44">
        <v>0.84099999999999997</v>
      </c>
      <c r="O64" s="45">
        <v>0.79300000000000004</v>
      </c>
      <c r="P64" s="45">
        <v>0.78200000000000003</v>
      </c>
      <c r="Q64" s="45">
        <v>0.80600000000000005</v>
      </c>
      <c r="S64" s="42">
        <v>0.76388888888888884</v>
      </c>
      <c r="T64" s="48">
        <v>0.73</v>
      </c>
      <c r="U64" s="48">
        <v>0.72799999999999998</v>
      </c>
      <c r="V64" s="48">
        <v>0.73199999999999998</v>
      </c>
      <c r="W64" s="49">
        <v>0.57099999999999995</v>
      </c>
      <c r="X64" s="49">
        <v>0.55700000000000005</v>
      </c>
      <c r="Y64" s="49">
        <v>0.55900000000000005</v>
      </c>
      <c r="AA64" s="42">
        <v>0.76388888888888884</v>
      </c>
      <c r="AB64" s="51">
        <v>0.77600000000000002</v>
      </c>
      <c r="AC64" s="51">
        <v>0.84199999999999997</v>
      </c>
      <c r="AD64" s="51">
        <v>0.79400000000000004</v>
      </c>
      <c r="AE64" s="52">
        <v>0.6</v>
      </c>
      <c r="AF64" s="52">
        <v>0.64600000000000002</v>
      </c>
      <c r="AG64" s="52">
        <v>0.60499999999999998</v>
      </c>
      <c r="AI64" s="42">
        <v>0.76388888888888884</v>
      </c>
      <c r="AJ64" s="51">
        <v>0.89400000000000002</v>
      </c>
      <c r="AK64" s="51">
        <v>0.89900000000000002</v>
      </c>
      <c r="AL64" s="51">
        <v>0.91300000000000003</v>
      </c>
      <c r="AM64" s="52">
        <v>0.66</v>
      </c>
      <c r="AN64" s="52">
        <v>0.65600000000000003</v>
      </c>
      <c r="AO64" s="52">
        <v>0.621</v>
      </c>
    </row>
    <row r="65" spans="1:41" x14ac:dyDescent="0.25">
      <c r="A65" s="42">
        <v>0.77777777777777779</v>
      </c>
      <c r="B65" s="43">
        <v>8.3000000000000004E-2</v>
      </c>
      <c r="C65" s="44">
        <v>0.85299999999999998</v>
      </c>
      <c r="D65" s="44">
        <v>0.85</v>
      </c>
      <c r="E65" s="44">
        <v>0.86099999999999999</v>
      </c>
      <c r="F65" s="45">
        <v>0.86599999999999999</v>
      </c>
      <c r="G65" s="45">
        <v>0.85599999999999998</v>
      </c>
      <c r="H65" s="45">
        <v>0.86299999999999999</v>
      </c>
      <c r="J65" s="42">
        <v>0.77777777777777779</v>
      </c>
      <c r="K65" s="43">
        <v>8.3000000000000004E-2</v>
      </c>
      <c r="L65" s="44">
        <v>0.88200000000000001</v>
      </c>
      <c r="M65" s="44">
        <v>0.84899999999999998</v>
      </c>
      <c r="N65" s="44">
        <v>0.84099999999999997</v>
      </c>
      <c r="O65" s="45">
        <v>0.80500000000000005</v>
      </c>
      <c r="P65" s="45">
        <v>0.79400000000000004</v>
      </c>
      <c r="Q65" s="45">
        <v>0.81699999999999995</v>
      </c>
      <c r="S65" s="42">
        <v>0.77777777777777779</v>
      </c>
      <c r="T65" s="48">
        <v>0.755</v>
      </c>
      <c r="U65" s="48">
        <v>0.754</v>
      </c>
      <c r="V65" s="48">
        <v>0.75800000000000001</v>
      </c>
      <c r="W65" s="49">
        <v>0.60899999999999999</v>
      </c>
      <c r="X65" s="49">
        <v>0.59399999999999997</v>
      </c>
      <c r="Y65" s="49">
        <v>0.59599999999999997</v>
      </c>
      <c r="AA65" s="42">
        <v>0.77777777777777779</v>
      </c>
      <c r="AB65" s="51">
        <v>0.81299999999999994</v>
      </c>
      <c r="AC65" s="51">
        <v>0.88</v>
      </c>
      <c r="AD65" s="51">
        <v>0.82899999999999996</v>
      </c>
      <c r="AE65" s="52">
        <v>0.64700000000000002</v>
      </c>
      <c r="AF65" s="52">
        <v>0.69299999999999995</v>
      </c>
      <c r="AG65" s="52">
        <v>0.65200000000000002</v>
      </c>
      <c r="AI65" s="42">
        <v>0.77777777777777779</v>
      </c>
      <c r="AJ65" s="51">
        <v>0.93400000000000005</v>
      </c>
      <c r="AK65" s="51">
        <v>0.94</v>
      </c>
      <c r="AL65" s="51">
        <v>0.95499999999999996</v>
      </c>
      <c r="AM65" s="52">
        <v>0.71499999999999997</v>
      </c>
      <c r="AN65" s="52">
        <v>0.71199999999999997</v>
      </c>
      <c r="AO65" s="52">
        <v>0.67600000000000005</v>
      </c>
    </row>
    <row r="66" spans="1:41" x14ac:dyDescent="0.25">
      <c r="A66" s="42">
        <v>0.79166666666666663</v>
      </c>
      <c r="B66" s="43">
        <v>8.3000000000000004E-2</v>
      </c>
      <c r="C66" s="44">
        <v>0.85099999999999998</v>
      </c>
      <c r="D66" s="44">
        <v>0.84899999999999998</v>
      </c>
      <c r="E66" s="44">
        <v>0.86099999999999999</v>
      </c>
      <c r="F66" s="45">
        <v>0.875</v>
      </c>
      <c r="G66" s="45">
        <v>0.85499999999999998</v>
      </c>
      <c r="H66" s="45">
        <v>0.86599999999999999</v>
      </c>
      <c r="J66" s="42">
        <v>0.79166666666666663</v>
      </c>
      <c r="K66" s="43">
        <v>8.3000000000000004E-2</v>
      </c>
      <c r="L66" s="44">
        <v>0.88700000000000001</v>
      </c>
      <c r="M66" s="44">
        <v>0.85299999999999998</v>
      </c>
      <c r="N66" s="44">
        <v>0.84</v>
      </c>
      <c r="O66" s="45">
        <v>0.81599999999999995</v>
      </c>
      <c r="P66" s="45">
        <v>0.80600000000000005</v>
      </c>
      <c r="Q66" s="45">
        <v>0.82699999999999996</v>
      </c>
      <c r="S66" s="42">
        <v>0.79166666666666663</v>
      </c>
      <c r="T66" s="48">
        <v>0.77900000000000003</v>
      </c>
      <c r="U66" s="48">
        <v>0.77800000000000002</v>
      </c>
      <c r="V66" s="48">
        <v>0.78100000000000003</v>
      </c>
      <c r="W66" s="49">
        <v>0.64400000000000002</v>
      </c>
      <c r="X66" s="49">
        <v>0.63</v>
      </c>
      <c r="Y66" s="49">
        <v>0.63100000000000001</v>
      </c>
      <c r="AA66" s="42">
        <v>0.79166666666666663</v>
      </c>
      <c r="AB66" s="51">
        <v>0.84599999999999997</v>
      </c>
      <c r="AC66" s="51">
        <v>0.91500000000000004</v>
      </c>
      <c r="AD66" s="51">
        <v>0.86299999999999999</v>
      </c>
      <c r="AE66" s="52">
        <v>0.69299999999999995</v>
      </c>
      <c r="AF66" s="52">
        <v>0.73699999999999999</v>
      </c>
      <c r="AG66" s="52">
        <v>0.69599999999999995</v>
      </c>
      <c r="AI66" s="42">
        <v>0.79166666666666663</v>
      </c>
      <c r="AJ66" s="51">
        <v>0.97</v>
      </c>
      <c r="AK66" s="51">
        <v>0.98499999999999999</v>
      </c>
      <c r="AL66" s="51">
        <v>0.99299999999999999</v>
      </c>
      <c r="AM66" s="52">
        <v>0.76800000000000002</v>
      </c>
      <c r="AN66" s="52">
        <v>0.76500000000000001</v>
      </c>
      <c r="AO66" s="52">
        <v>0.73099999999999998</v>
      </c>
    </row>
    <row r="67" spans="1:41" x14ac:dyDescent="0.25">
      <c r="A67" s="42">
        <v>0.80555555555555547</v>
      </c>
      <c r="B67" s="43">
        <v>8.3000000000000004E-2</v>
      </c>
      <c r="C67" s="44">
        <v>0.85</v>
      </c>
      <c r="D67" s="44">
        <v>0.84799999999999998</v>
      </c>
      <c r="E67" s="44">
        <v>0.86</v>
      </c>
      <c r="F67" s="45">
        <v>0.88200000000000001</v>
      </c>
      <c r="G67" s="45">
        <v>0.85299999999999998</v>
      </c>
      <c r="H67" s="45">
        <v>0.86399999999999999</v>
      </c>
      <c r="J67" s="42">
        <v>0.80555555555555547</v>
      </c>
      <c r="K67" s="43">
        <v>8.3000000000000004E-2</v>
      </c>
      <c r="L67" s="44">
        <v>0.89200000000000002</v>
      </c>
      <c r="M67" s="44">
        <v>0.85399999999999998</v>
      </c>
      <c r="N67" s="44">
        <v>0.84099999999999997</v>
      </c>
      <c r="O67" s="45">
        <v>0.82499999999999996</v>
      </c>
      <c r="P67" s="45">
        <v>0.81599999999999995</v>
      </c>
      <c r="Q67" s="45">
        <v>0.83499999999999996</v>
      </c>
      <c r="S67" s="42">
        <v>0.80555555555555547</v>
      </c>
      <c r="T67" s="48">
        <v>0.79900000000000004</v>
      </c>
      <c r="U67" s="48">
        <v>0.79800000000000004</v>
      </c>
      <c r="V67" s="48">
        <v>0.80100000000000005</v>
      </c>
      <c r="W67" s="49">
        <v>0.67600000000000005</v>
      </c>
      <c r="X67" s="49">
        <v>0.66100000000000003</v>
      </c>
      <c r="Y67" s="49">
        <v>0.66100000000000003</v>
      </c>
      <c r="AA67" s="42">
        <v>0.80555555555555547</v>
      </c>
      <c r="AB67" s="51">
        <v>0.878</v>
      </c>
      <c r="AC67" s="51">
        <v>0.94299999999999995</v>
      </c>
      <c r="AD67" s="51">
        <v>0.89300000000000002</v>
      </c>
      <c r="AE67" s="52">
        <v>0.73599999999999999</v>
      </c>
      <c r="AF67" s="52">
        <v>0.77800000000000002</v>
      </c>
      <c r="AG67" s="52">
        <v>0.73899999999999999</v>
      </c>
      <c r="AI67" s="42">
        <v>0.80555555555555547</v>
      </c>
      <c r="AJ67" s="51">
        <v>1.002</v>
      </c>
      <c r="AK67" s="51">
        <v>1.0089999999999999</v>
      </c>
      <c r="AL67" s="51">
        <v>1.0249999999999999</v>
      </c>
      <c r="AM67" s="52">
        <v>0.81899999999999995</v>
      </c>
      <c r="AN67" s="52">
        <v>0.81699999999999995</v>
      </c>
      <c r="AO67" s="52">
        <v>0.78</v>
      </c>
    </row>
    <row r="68" spans="1:41" x14ac:dyDescent="0.25">
      <c r="A68" s="42">
        <v>0.81944444444444453</v>
      </c>
      <c r="B68" s="43">
        <v>8.3000000000000004E-2</v>
      </c>
      <c r="C68" s="44">
        <v>0.85299999999999998</v>
      </c>
      <c r="D68" s="44">
        <v>0.84699999999999998</v>
      </c>
      <c r="E68" s="44">
        <v>0.85899999999999999</v>
      </c>
      <c r="F68" s="45">
        <v>0.88600000000000001</v>
      </c>
      <c r="G68" s="45">
        <v>0.85299999999999998</v>
      </c>
      <c r="H68" s="45">
        <v>0.86199999999999999</v>
      </c>
      <c r="J68" s="42">
        <v>0.81944444444444453</v>
      </c>
      <c r="K68" s="43">
        <v>8.3000000000000004E-2</v>
      </c>
      <c r="L68" s="44">
        <v>0.86499999999999999</v>
      </c>
      <c r="M68" s="44">
        <v>0.85299999999999998</v>
      </c>
      <c r="N68" s="44">
        <v>0.84599999999999997</v>
      </c>
      <c r="O68" s="45">
        <v>0.83299999999999996</v>
      </c>
      <c r="P68" s="45">
        <v>0.82499999999999996</v>
      </c>
      <c r="Q68" s="45">
        <v>0.84299999999999997</v>
      </c>
      <c r="S68" s="42">
        <v>0.81944444444444453</v>
      </c>
      <c r="T68" s="48">
        <v>0.81699999999999995</v>
      </c>
      <c r="U68" s="48">
        <v>0.81799999999999995</v>
      </c>
      <c r="V68" s="48">
        <v>0.82</v>
      </c>
      <c r="W68" s="49">
        <v>0.70599999999999996</v>
      </c>
      <c r="X68" s="49">
        <v>0.68899999999999995</v>
      </c>
      <c r="Y68" s="49">
        <v>0.69</v>
      </c>
      <c r="AA68" s="42">
        <v>0.81944444444444453</v>
      </c>
      <c r="AB68" s="51">
        <v>0.90300000000000002</v>
      </c>
      <c r="AC68" s="51">
        <v>0.97199999999999998</v>
      </c>
      <c r="AD68" s="51">
        <v>0.91800000000000004</v>
      </c>
      <c r="AE68" s="52">
        <v>0.77600000000000002</v>
      </c>
      <c r="AF68" s="52">
        <v>0.81499999999999995</v>
      </c>
      <c r="AG68" s="52">
        <v>0.77700000000000002</v>
      </c>
      <c r="AI68" s="42">
        <v>0.81944444444444453</v>
      </c>
      <c r="AJ68" s="51">
        <v>1.034</v>
      </c>
      <c r="AK68" s="51">
        <v>1.0389999999999999</v>
      </c>
      <c r="AL68" s="51">
        <v>1.0529999999999999</v>
      </c>
      <c r="AM68" s="52">
        <v>0.86599999999999999</v>
      </c>
      <c r="AN68" s="52">
        <v>0.86399999999999999</v>
      </c>
      <c r="AO68" s="52">
        <v>0.82899999999999996</v>
      </c>
    </row>
    <row r="69" spans="1:41" x14ac:dyDescent="0.25">
      <c r="A69" s="42">
        <v>0.83333333333333337</v>
      </c>
      <c r="B69" s="43">
        <v>8.3000000000000004E-2</v>
      </c>
      <c r="C69" s="44">
        <v>0.85299999999999998</v>
      </c>
      <c r="D69" s="44">
        <v>0.84599999999999997</v>
      </c>
      <c r="E69" s="44">
        <v>0.85899999999999999</v>
      </c>
      <c r="F69" s="45">
        <v>0.89100000000000001</v>
      </c>
      <c r="G69" s="45">
        <v>0.85199999999999998</v>
      </c>
      <c r="H69" s="45">
        <v>0.86099999999999999</v>
      </c>
      <c r="J69" s="42">
        <v>0.83333333333333337</v>
      </c>
      <c r="K69" s="43">
        <v>8.3000000000000004E-2</v>
      </c>
      <c r="L69" s="44">
        <v>0.83599999999999997</v>
      </c>
      <c r="M69" s="44">
        <v>0.85299999999999998</v>
      </c>
      <c r="N69" s="44">
        <v>0.85399999999999998</v>
      </c>
      <c r="O69" s="45">
        <v>0.84099999999999997</v>
      </c>
      <c r="P69" s="45">
        <v>0.83199999999999996</v>
      </c>
      <c r="Q69" s="45">
        <v>0.85</v>
      </c>
      <c r="S69" s="42">
        <v>0.83333333333333337</v>
      </c>
      <c r="T69" s="48">
        <v>0.83699999999999997</v>
      </c>
      <c r="U69" s="48">
        <v>0.83699999999999997</v>
      </c>
      <c r="V69" s="48">
        <v>0.83799999999999997</v>
      </c>
      <c r="W69" s="49">
        <v>0.73299999999999998</v>
      </c>
      <c r="X69" s="49">
        <v>0.71699999999999997</v>
      </c>
      <c r="Y69" s="49">
        <v>0.71699999999999997</v>
      </c>
      <c r="AA69" s="42">
        <v>0.83333333333333337</v>
      </c>
      <c r="AB69" s="51">
        <v>0.92800000000000005</v>
      </c>
      <c r="AC69" s="51">
        <v>0.999</v>
      </c>
      <c r="AD69" s="51">
        <v>0.94199999999999995</v>
      </c>
      <c r="AE69" s="52">
        <v>0.81200000000000006</v>
      </c>
      <c r="AF69" s="52">
        <v>0.85099999999999998</v>
      </c>
      <c r="AG69" s="52">
        <v>0.81399999999999995</v>
      </c>
    </row>
    <row r="70" spans="1:41" x14ac:dyDescent="0.25">
      <c r="A70" s="42">
        <v>0.84722222222222221</v>
      </c>
      <c r="B70" s="43">
        <v>8.3000000000000004E-2</v>
      </c>
      <c r="C70" s="44">
        <v>0.85399999999999998</v>
      </c>
      <c r="D70" s="44">
        <v>0.84499999999999997</v>
      </c>
      <c r="E70" s="44">
        <v>0.86</v>
      </c>
      <c r="F70" s="45">
        <v>0.89500000000000002</v>
      </c>
      <c r="G70" s="45">
        <v>0.85199999999999998</v>
      </c>
      <c r="H70" s="45">
        <v>0.86099999999999999</v>
      </c>
      <c r="J70" s="42">
        <v>0.84722222222222221</v>
      </c>
      <c r="K70" s="43">
        <v>8.3000000000000004E-2</v>
      </c>
      <c r="L70" s="44">
        <v>0.83699999999999997</v>
      </c>
      <c r="M70" s="44">
        <v>0.85099999999999998</v>
      </c>
      <c r="N70" s="44">
        <v>0.85599999999999998</v>
      </c>
      <c r="O70" s="45">
        <v>0.84899999999999998</v>
      </c>
      <c r="P70" s="45">
        <v>0.83899999999999997</v>
      </c>
      <c r="Q70" s="45">
        <v>0.85499999999999998</v>
      </c>
      <c r="S70" s="42">
        <v>0.84722222222222221</v>
      </c>
      <c r="T70" s="48">
        <v>0.85299999999999998</v>
      </c>
      <c r="U70" s="48">
        <v>0.85599999999999998</v>
      </c>
      <c r="V70" s="48">
        <v>0.85399999999999998</v>
      </c>
      <c r="W70" s="49">
        <v>0.75900000000000001</v>
      </c>
      <c r="X70" s="49">
        <v>0.74199999999999999</v>
      </c>
      <c r="Y70" s="49">
        <v>0.74099999999999999</v>
      </c>
    </row>
    <row r="71" spans="1:41" x14ac:dyDescent="0.25">
      <c r="A71" s="42">
        <v>0.86111111111111116</v>
      </c>
      <c r="B71" s="43">
        <v>8.3000000000000004E-2</v>
      </c>
      <c r="C71" s="44">
        <v>0.85199999999999998</v>
      </c>
      <c r="D71" s="44">
        <v>0.84299999999999997</v>
      </c>
      <c r="E71" s="44">
        <v>0.85899999999999999</v>
      </c>
      <c r="F71" s="45">
        <v>0.89400000000000002</v>
      </c>
      <c r="G71" s="45">
        <v>0.84899999999999998</v>
      </c>
      <c r="H71" s="45">
        <v>0.85799999999999998</v>
      </c>
      <c r="J71" s="42">
        <v>0.86111111111111116</v>
      </c>
      <c r="K71" s="43">
        <v>8.3000000000000004E-2</v>
      </c>
      <c r="L71" s="44">
        <v>0.84099999999999997</v>
      </c>
      <c r="M71" s="44">
        <v>0.85599999999999998</v>
      </c>
      <c r="N71" s="44">
        <v>0.85699999999999998</v>
      </c>
      <c r="O71" s="45">
        <v>0.85099999999999998</v>
      </c>
      <c r="P71" s="45">
        <v>0.84599999999999997</v>
      </c>
      <c r="Q71" s="45">
        <v>0.86</v>
      </c>
      <c r="S71" s="42">
        <v>0.86111111111111116</v>
      </c>
      <c r="T71" s="48">
        <v>0.86699999999999999</v>
      </c>
      <c r="U71" s="48">
        <v>0.871</v>
      </c>
      <c r="V71" s="48">
        <v>0.84799999999999998</v>
      </c>
      <c r="W71" s="49">
        <v>0.78100000000000003</v>
      </c>
      <c r="X71" s="49">
        <v>0.76400000000000001</v>
      </c>
      <c r="Y71" s="49">
        <v>0.76400000000000001</v>
      </c>
    </row>
    <row r="72" spans="1:41" x14ac:dyDescent="0.25">
      <c r="A72" s="42">
        <v>0.875</v>
      </c>
      <c r="B72" s="43">
        <v>8.3000000000000004E-2</v>
      </c>
      <c r="C72" s="44">
        <v>0.85099999999999998</v>
      </c>
      <c r="D72" s="44">
        <v>0.84199999999999997</v>
      </c>
      <c r="E72" s="44">
        <v>0.85799999999999998</v>
      </c>
      <c r="F72" s="45">
        <v>0.89800000000000002</v>
      </c>
      <c r="G72" s="45">
        <v>0.84899999999999998</v>
      </c>
      <c r="H72" s="45">
        <v>0.85599999999999998</v>
      </c>
      <c r="J72" s="42">
        <v>0.875</v>
      </c>
      <c r="K72" s="43">
        <v>8.3000000000000004E-2</v>
      </c>
      <c r="L72" s="44">
        <v>0.84199999999999997</v>
      </c>
      <c r="M72" s="44">
        <v>0.85599999999999998</v>
      </c>
      <c r="N72" s="44">
        <v>0.85799999999999998</v>
      </c>
      <c r="O72" s="45">
        <v>0.85299999999999998</v>
      </c>
      <c r="P72" s="45">
        <v>0.85099999999999998</v>
      </c>
      <c r="Q72" s="45">
        <v>0.86199999999999999</v>
      </c>
      <c r="S72" s="42">
        <v>0.875</v>
      </c>
      <c r="T72" s="48">
        <v>0.879</v>
      </c>
      <c r="U72" s="48">
        <v>0.86799999999999999</v>
      </c>
      <c r="V72" s="48">
        <v>0.83899999999999997</v>
      </c>
      <c r="W72" s="49">
        <v>0.80200000000000005</v>
      </c>
      <c r="X72" s="49">
        <v>0.78400000000000003</v>
      </c>
      <c r="Y72" s="49">
        <v>0.78300000000000003</v>
      </c>
    </row>
    <row r="73" spans="1:41" x14ac:dyDescent="0.25">
      <c r="A73" s="42">
        <v>0.88888888888888884</v>
      </c>
      <c r="B73" s="43">
        <v>8.3000000000000004E-2</v>
      </c>
      <c r="C73" s="44">
        <v>0.85</v>
      </c>
      <c r="D73" s="44">
        <v>0.84099999999999997</v>
      </c>
      <c r="E73" s="44">
        <v>0.85599999999999998</v>
      </c>
      <c r="F73" s="45">
        <v>0.89600000000000002</v>
      </c>
      <c r="G73" s="45">
        <v>0.84699999999999998</v>
      </c>
      <c r="H73" s="45">
        <v>0.85499999999999998</v>
      </c>
      <c r="J73" s="42">
        <v>0.88888888888888884</v>
      </c>
      <c r="K73" s="43">
        <v>8.3000000000000004E-2</v>
      </c>
      <c r="L73" s="44">
        <v>0.84399999999999997</v>
      </c>
      <c r="M73" s="44">
        <v>0.85799999999999998</v>
      </c>
      <c r="N73" s="44">
        <v>0.85899999999999999</v>
      </c>
      <c r="O73" s="45">
        <v>0.85499999999999998</v>
      </c>
      <c r="P73" s="45">
        <v>0.85399999999999998</v>
      </c>
      <c r="Q73" s="45">
        <v>0.86499999999999999</v>
      </c>
      <c r="S73" s="42">
        <v>0.88888888888888884</v>
      </c>
      <c r="T73" s="48">
        <v>0.87</v>
      </c>
      <c r="U73" s="48">
        <v>0.85899999999999999</v>
      </c>
      <c r="V73" s="48">
        <v>0.83099999999999996</v>
      </c>
      <c r="W73" s="49">
        <v>0.82099999999999995</v>
      </c>
      <c r="X73" s="49">
        <v>0.80100000000000005</v>
      </c>
      <c r="Y73" s="49">
        <v>0.80100000000000005</v>
      </c>
    </row>
    <row r="78" spans="1:41" x14ac:dyDescent="0.25">
      <c r="A78" s="40" t="s">
        <v>133</v>
      </c>
      <c r="B78" s="54"/>
      <c r="C78" s="54" t="s">
        <v>148</v>
      </c>
      <c r="D78" s="54"/>
      <c r="E78" s="55"/>
      <c r="F78" s="55" t="s">
        <v>147</v>
      </c>
      <c r="G78" s="55"/>
      <c r="I78" s="40" t="s">
        <v>133</v>
      </c>
      <c r="K78" s="54"/>
      <c r="L78" s="54" t="s">
        <v>148</v>
      </c>
      <c r="M78" s="54"/>
      <c r="N78" s="55"/>
      <c r="O78" s="55" t="s">
        <v>147</v>
      </c>
      <c r="P78" s="55"/>
      <c r="S78" s="40" t="s">
        <v>133</v>
      </c>
      <c r="T78" s="26"/>
      <c r="U78" s="26" t="s">
        <v>149</v>
      </c>
      <c r="V78" s="26"/>
      <c r="W78" s="25"/>
      <c r="X78" s="25" t="s">
        <v>150</v>
      </c>
      <c r="Y78" s="25"/>
      <c r="AB78" s="26"/>
      <c r="AC78" s="26" t="s">
        <v>149</v>
      </c>
      <c r="AD78" s="26"/>
      <c r="AE78" s="25"/>
      <c r="AF78" s="25" t="s">
        <v>150</v>
      </c>
      <c r="AG78" s="25"/>
    </row>
    <row r="79" spans="1:41" x14ac:dyDescent="0.25">
      <c r="A79" s="41" t="s">
        <v>135</v>
      </c>
      <c r="B79" s="41" t="s">
        <v>141</v>
      </c>
      <c r="C79" s="41" t="s">
        <v>142</v>
      </c>
      <c r="D79" s="41" t="s">
        <v>143</v>
      </c>
      <c r="E79" s="41" t="s">
        <v>144</v>
      </c>
      <c r="F79" s="41" t="s">
        <v>145</v>
      </c>
      <c r="G79" s="41" t="s">
        <v>146</v>
      </c>
      <c r="I79" s="41" t="s">
        <v>135</v>
      </c>
      <c r="J79" s="41" t="s">
        <v>105</v>
      </c>
      <c r="K79" s="41" t="s">
        <v>106</v>
      </c>
      <c r="L79" s="41" t="s">
        <v>107</v>
      </c>
      <c r="M79" s="41" t="s">
        <v>108</v>
      </c>
      <c r="N79" s="41" t="s">
        <v>117</v>
      </c>
      <c r="O79" s="41" t="s">
        <v>118</v>
      </c>
      <c r="P79" s="41" t="s">
        <v>119</v>
      </c>
      <c r="S79" s="41" t="s">
        <v>135</v>
      </c>
      <c r="T79" s="6" t="s">
        <v>113</v>
      </c>
      <c r="U79" s="6" t="s">
        <v>114</v>
      </c>
      <c r="V79" s="6" t="s">
        <v>115</v>
      </c>
      <c r="W79" s="6" t="s">
        <v>116</v>
      </c>
      <c r="X79" s="6" t="s">
        <v>117</v>
      </c>
      <c r="Y79" s="6" t="s">
        <v>118</v>
      </c>
      <c r="AA79" s="6" t="s">
        <v>103</v>
      </c>
      <c r="AB79" s="6" t="s">
        <v>113</v>
      </c>
      <c r="AC79" s="6" t="s">
        <v>114</v>
      </c>
      <c r="AD79" s="6" t="s">
        <v>115</v>
      </c>
      <c r="AE79" s="6" t="s">
        <v>116</v>
      </c>
      <c r="AF79" s="6" t="s">
        <v>117</v>
      </c>
      <c r="AG79" s="6" t="s">
        <v>118</v>
      </c>
    </row>
    <row r="80" spans="1:41" x14ac:dyDescent="0.25">
      <c r="A80" s="42">
        <v>0</v>
      </c>
      <c r="B80" s="56">
        <v>8.6999999999999994E-2</v>
      </c>
      <c r="C80" s="56">
        <v>8.5999999999999993E-2</v>
      </c>
      <c r="D80" s="56">
        <v>8.5999999999999993E-2</v>
      </c>
      <c r="E80" s="57">
        <v>8.5999999999999993E-2</v>
      </c>
      <c r="F80" s="57">
        <v>8.4000000000000005E-2</v>
      </c>
      <c r="G80" s="57">
        <v>8.6999999999999994E-2</v>
      </c>
      <c r="I80" s="42">
        <v>0</v>
      </c>
      <c r="J80" s="43">
        <v>8.5000000000000006E-2</v>
      </c>
      <c r="K80" s="56">
        <v>7.9000000000000001E-2</v>
      </c>
      <c r="L80" s="56">
        <v>8.1000000000000003E-2</v>
      </c>
      <c r="M80" s="56">
        <v>8.4000000000000005E-2</v>
      </c>
      <c r="N80" s="57">
        <v>8.2000000000000003E-2</v>
      </c>
      <c r="O80" s="57">
        <v>8.1000000000000003E-2</v>
      </c>
      <c r="P80" s="57">
        <v>8.2000000000000003E-2</v>
      </c>
      <c r="R80" s="32"/>
      <c r="S80" s="42">
        <v>0</v>
      </c>
      <c r="T80" s="9">
        <v>9.0999999999999998E-2</v>
      </c>
      <c r="U80" s="9">
        <v>9.2999999999999999E-2</v>
      </c>
      <c r="V80" s="9">
        <v>9.0999999999999998E-2</v>
      </c>
      <c r="W80" s="10">
        <v>9.2999999999999999E-2</v>
      </c>
      <c r="X80" s="10">
        <v>9.1999999999999998E-2</v>
      </c>
      <c r="Y80" s="10">
        <v>9.8000000000000004E-2</v>
      </c>
      <c r="AA80" s="37">
        <v>2.0648148148148148E-2</v>
      </c>
      <c r="AB80" s="9">
        <v>9.0999999999999998E-2</v>
      </c>
      <c r="AC80" s="9">
        <v>9.1999999999999998E-2</v>
      </c>
      <c r="AD80" s="9">
        <v>0.09</v>
      </c>
      <c r="AE80" s="10">
        <v>9.1999999999999998E-2</v>
      </c>
      <c r="AF80" s="10">
        <v>9.4E-2</v>
      </c>
      <c r="AG80" s="10">
        <v>9.2999999999999999E-2</v>
      </c>
    </row>
    <row r="81" spans="1:33" x14ac:dyDescent="0.25">
      <c r="A81" s="42">
        <v>1.3888888888888888E-2</v>
      </c>
      <c r="B81" s="56">
        <v>8.6999999999999994E-2</v>
      </c>
      <c r="C81" s="56">
        <v>8.5999999999999993E-2</v>
      </c>
      <c r="D81" s="56">
        <v>8.5000000000000006E-2</v>
      </c>
      <c r="E81" s="57">
        <v>8.5000000000000006E-2</v>
      </c>
      <c r="F81" s="57">
        <v>8.4000000000000005E-2</v>
      </c>
      <c r="G81" s="57">
        <v>8.6999999999999994E-2</v>
      </c>
      <c r="I81" s="42">
        <v>1.3888888888888888E-2</v>
      </c>
      <c r="J81" s="43">
        <v>8.5000000000000006E-2</v>
      </c>
      <c r="K81" s="56">
        <v>8.1000000000000003E-2</v>
      </c>
      <c r="L81" s="56">
        <v>8.2000000000000003E-2</v>
      </c>
      <c r="M81" s="56">
        <v>8.4000000000000005E-2</v>
      </c>
      <c r="N81" s="57">
        <v>8.3000000000000004E-2</v>
      </c>
      <c r="O81" s="57">
        <v>8.2000000000000003E-2</v>
      </c>
      <c r="P81" s="57">
        <v>8.3000000000000004E-2</v>
      </c>
      <c r="R81" s="32"/>
      <c r="S81" s="42">
        <v>1.3888888888888888E-2</v>
      </c>
      <c r="T81" s="9">
        <v>9.1999999999999998E-2</v>
      </c>
      <c r="U81" s="9">
        <v>9.4E-2</v>
      </c>
      <c r="V81" s="9">
        <v>9.1999999999999998E-2</v>
      </c>
      <c r="W81" s="10">
        <v>9.2999999999999999E-2</v>
      </c>
      <c r="X81" s="10">
        <v>9.2999999999999999E-2</v>
      </c>
      <c r="Y81" s="10">
        <v>9.9000000000000005E-2</v>
      </c>
      <c r="AA81" s="37">
        <v>4.148148148148148E-2</v>
      </c>
      <c r="AB81" s="9">
        <v>9.1999999999999998E-2</v>
      </c>
      <c r="AC81" s="9">
        <v>9.2999999999999999E-2</v>
      </c>
      <c r="AD81" s="9">
        <v>9.0999999999999998E-2</v>
      </c>
      <c r="AE81" s="10">
        <v>9.2999999999999999E-2</v>
      </c>
      <c r="AF81" s="10">
        <v>9.5000000000000001E-2</v>
      </c>
      <c r="AG81" s="10">
        <v>9.1999999999999998E-2</v>
      </c>
    </row>
    <row r="82" spans="1:33" x14ac:dyDescent="0.25">
      <c r="A82" s="42">
        <v>2.7777777777777776E-2</v>
      </c>
      <c r="B82" s="56">
        <v>8.6999999999999994E-2</v>
      </c>
      <c r="C82" s="56">
        <v>8.5999999999999993E-2</v>
      </c>
      <c r="D82" s="56">
        <v>8.5000000000000006E-2</v>
      </c>
      <c r="E82" s="57">
        <v>8.5000000000000006E-2</v>
      </c>
      <c r="F82" s="57">
        <v>8.4000000000000005E-2</v>
      </c>
      <c r="G82" s="57">
        <v>8.6999999999999994E-2</v>
      </c>
      <c r="I82" s="42">
        <v>2.7777777777777776E-2</v>
      </c>
      <c r="J82" s="43">
        <v>8.4000000000000005E-2</v>
      </c>
      <c r="K82" s="56">
        <v>0.08</v>
      </c>
      <c r="L82" s="56">
        <v>8.1000000000000003E-2</v>
      </c>
      <c r="M82" s="56">
        <v>8.3000000000000004E-2</v>
      </c>
      <c r="N82" s="57">
        <v>8.2000000000000003E-2</v>
      </c>
      <c r="O82" s="57">
        <v>8.1000000000000003E-2</v>
      </c>
      <c r="P82" s="57">
        <v>8.2000000000000003E-2</v>
      </c>
      <c r="R82" s="32"/>
      <c r="S82" s="42">
        <v>2.7777777777777776E-2</v>
      </c>
      <c r="T82" s="9">
        <v>9.5000000000000001E-2</v>
      </c>
      <c r="U82" s="9">
        <v>9.9000000000000005E-2</v>
      </c>
      <c r="V82" s="9">
        <v>9.5000000000000001E-2</v>
      </c>
      <c r="W82" s="10">
        <v>9.6000000000000002E-2</v>
      </c>
      <c r="X82" s="10">
        <v>9.5000000000000001E-2</v>
      </c>
      <c r="Y82" s="10">
        <v>0.10100000000000001</v>
      </c>
      <c r="AA82" s="37">
        <v>6.2314814814814816E-2</v>
      </c>
      <c r="AB82" s="9">
        <v>9.4E-2</v>
      </c>
      <c r="AC82" s="9">
        <v>9.5000000000000001E-2</v>
      </c>
      <c r="AD82" s="9">
        <v>9.4E-2</v>
      </c>
      <c r="AE82" s="10">
        <v>9.5000000000000001E-2</v>
      </c>
      <c r="AF82" s="10">
        <v>9.6000000000000002E-2</v>
      </c>
      <c r="AG82" s="10">
        <v>9.5000000000000001E-2</v>
      </c>
    </row>
    <row r="83" spans="1:33" x14ac:dyDescent="0.25">
      <c r="A83" s="42">
        <v>4.1666666666666664E-2</v>
      </c>
      <c r="B83" s="56">
        <v>8.5999999999999993E-2</v>
      </c>
      <c r="C83" s="56">
        <v>8.5999999999999993E-2</v>
      </c>
      <c r="D83" s="56">
        <v>8.5000000000000006E-2</v>
      </c>
      <c r="E83" s="57">
        <v>8.5999999999999993E-2</v>
      </c>
      <c r="F83" s="57">
        <v>8.4000000000000005E-2</v>
      </c>
      <c r="G83" s="57">
        <v>8.6999999999999994E-2</v>
      </c>
      <c r="I83" s="42">
        <v>4.1666666666666664E-2</v>
      </c>
      <c r="J83" s="43">
        <v>8.5000000000000006E-2</v>
      </c>
      <c r="K83" s="56">
        <v>8.1000000000000003E-2</v>
      </c>
      <c r="L83" s="56">
        <v>8.2000000000000003E-2</v>
      </c>
      <c r="M83" s="56">
        <v>8.5000000000000006E-2</v>
      </c>
      <c r="N83" s="57">
        <v>8.3000000000000004E-2</v>
      </c>
      <c r="O83" s="57">
        <v>8.2000000000000003E-2</v>
      </c>
      <c r="P83" s="57">
        <v>8.3000000000000004E-2</v>
      </c>
      <c r="R83" s="32"/>
      <c r="S83" s="42">
        <v>4.1666666666666664E-2</v>
      </c>
      <c r="T83" s="9">
        <v>0.10299999999999999</v>
      </c>
      <c r="U83" s="9">
        <v>0.105</v>
      </c>
      <c r="V83" s="9">
        <v>0.104</v>
      </c>
      <c r="W83" s="10">
        <v>0.1</v>
      </c>
      <c r="X83" s="10">
        <v>9.9000000000000005E-2</v>
      </c>
      <c r="Y83" s="10">
        <v>0.105</v>
      </c>
      <c r="AA83" s="37">
        <v>8.3148148148148152E-2</v>
      </c>
      <c r="AB83" s="9">
        <v>0.10199999999999999</v>
      </c>
      <c r="AC83" s="9">
        <v>0.105</v>
      </c>
      <c r="AD83" s="9">
        <v>0.107</v>
      </c>
      <c r="AE83" s="10">
        <v>9.9000000000000005E-2</v>
      </c>
      <c r="AF83" s="10">
        <v>9.1999999999999998E-2</v>
      </c>
      <c r="AG83" s="10">
        <v>0.10199999999999999</v>
      </c>
    </row>
    <row r="84" spans="1:33" x14ac:dyDescent="0.25">
      <c r="A84" s="42">
        <v>5.5555555555555552E-2</v>
      </c>
      <c r="B84" s="56">
        <v>8.6999999999999994E-2</v>
      </c>
      <c r="C84" s="56">
        <v>8.5999999999999993E-2</v>
      </c>
      <c r="D84" s="56">
        <v>8.5000000000000006E-2</v>
      </c>
      <c r="E84" s="57">
        <v>8.5000000000000006E-2</v>
      </c>
      <c r="F84" s="57">
        <v>8.4000000000000005E-2</v>
      </c>
      <c r="G84" s="57">
        <v>8.6999999999999994E-2</v>
      </c>
      <c r="I84" s="42">
        <v>5.5555555555555552E-2</v>
      </c>
      <c r="J84" s="43">
        <v>8.5000000000000006E-2</v>
      </c>
      <c r="K84" s="56">
        <v>8.1000000000000003E-2</v>
      </c>
      <c r="L84" s="56">
        <v>8.2000000000000003E-2</v>
      </c>
      <c r="M84" s="56">
        <v>8.4000000000000005E-2</v>
      </c>
      <c r="N84" s="57">
        <v>8.3000000000000004E-2</v>
      </c>
      <c r="O84" s="57">
        <v>8.2000000000000003E-2</v>
      </c>
      <c r="P84" s="57">
        <v>8.3000000000000004E-2</v>
      </c>
      <c r="R84" s="32"/>
      <c r="S84" s="42">
        <v>5.5555555555555552E-2</v>
      </c>
      <c r="T84" s="9">
        <v>0.123</v>
      </c>
      <c r="U84" s="9">
        <v>0.124</v>
      </c>
      <c r="V84" s="9">
        <v>0.124</v>
      </c>
      <c r="W84" s="10">
        <v>0.11</v>
      </c>
      <c r="X84" s="10">
        <v>0.108</v>
      </c>
      <c r="Y84" s="10">
        <v>0.115</v>
      </c>
      <c r="AA84" s="37">
        <v>0.10398148148148149</v>
      </c>
      <c r="AB84" s="9">
        <v>0.123</v>
      </c>
      <c r="AC84" s="9">
        <v>0.127</v>
      </c>
      <c r="AD84" s="9">
        <v>0.13100000000000001</v>
      </c>
      <c r="AE84" s="10">
        <v>0.11</v>
      </c>
      <c r="AF84" s="10">
        <v>0.10299999999999999</v>
      </c>
      <c r="AG84" s="10">
        <v>0.114</v>
      </c>
    </row>
    <row r="85" spans="1:33" x14ac:dyDescent="0.25">
      <c r="A85" s="42">
        <v>6.9444444444444434E-2</v>
      </c>
      <c r="B85" s="56">
        <v>8.6999999999999994E-2</v>
      </c>
      <c r="C85" s="56">
        <v>8.5999999999999993E-2</v>
      </c>
      <c r="D85" s="56">
        <v>8.5000000000000006E-2</v>
      </c>
      <c r="E85" s="57">
        <v>8.5999999999999993E-2</v>
      </c>
      <c r="F85" s="57">
        <v>8.4000000000000005E-2</v>
      </c>
      <c r="G85" s="57">
        <v>8.6999999999999994E-2</v>
      </c>
      <c r="I85" s="42">
        <v>6.9444444444444434E-2</v>
      </c>
      <c r="J85" s="43">
        <v>8.4000000000000005E-2</v>
      </c>
      <c r="K85" s="56">
        <v>0.08</v>
      </c>
      <c r="L85" s="56">
        <v>8.2000000000000003E-2</v>
      </c>
      <c r="M85" s="56">
        <v>8.4000000000000005E-2</v>
      </c>
      <c r="N85" s="57">
        <v>8.3000000000000004E-2</v>
      </c>
      <c r="O85" s="57">
        <v>8.1000000000000003E-2</v>
      </c>
      <c r="P85" s="57">
        <v>8.3000000000000004E-2</v>
      </c>
      <c r="R85" s="32"/>
      <c r="S85" s="42">
        <v>6.9444444444444434E-2</v>
      </c>
      <c r="T85" s="9">
        <v>0.16300000000000001</v>
      </c>
      <c r="U85" s="9">
        <v>0.16600000000000001</v>
      </c>
      <c r="V85" s="9">
        <v>0.16700000000000001</v>
      </c>
      <c r="W85" s="10">
        <v>0.127</v>
      </c>
      <c r="X85" s="10">
        <v>0.126</v>
      </c>
      <c r="Y85" s="10">
        <v>0.13300000000000001</v>
      </c>
      <c r="AA85" s="37">
        <v>0.12481481481481482</v>
      </c>
      <c r="AB85" s="9">
        <v>0.17199999999999999</v>
      </c>
      <c r="AC85" s="9">
        <v>0.17799999999999999</v>
      </c>
      <c r="AD85" s="9">
        <v>0.18</v>
      </c>
      <c r="AE85" s="10">
        <v>0.13100000000000001</v>
      </c>
      <c r="AF85" s="10">
        <v>0.125</v>
      </c>
      <c r="AG85" s="10">
        <v>0.13800000000000001</v>
      </c>
    </row>
    <row r="86" spans="1:33" x14ac:dyDescent="0.25">
      <c r="A86" s="42">
        <v>8.3333333333333329E-2</v>
      </c>
      <c r="B86" s="56">
        <v>8.6999999999999994E-2</v>
      </c>
      <c r="C86" s="56">
        <v>8.5999999999999993E-2</v>
      </c>
      <c r="D86" s="56">
        <v>8.5000000000000006E-2</v>
      </c>
      <c r="E86" s="57">
        <v>8.5999999999999993E-2</v>
      </c>
      <c r="F86" s="57">
        <v>8.4000000000000005E-2</v>
      </c>
      <c r="G86" s="57">
        <v>8.6999999999999994E-2</v>
      </c>
      <c r="I86" s="42">
        <v>8.3333333333333329E-2</v>
      </c>
      <c r="J86" s="43">
        <v>8.5000000000000006E-2</v>
      </c>
      <c r="K86" s="56">
        <v>8.1000000000000003E-2</v>
      </c>
      <c r="L86" s="56">
        <v>8.2000000000000003E-2</v>
      </c>
      <c r="M86" s="56">
        <v>8.5000000000000006E-2</v>
      </c>
      <c r="N86" s="57">
        <v>8.3000000000000004E-2</v>
      </c>
      <c r="O86" s="57">
        <v>8.2000000000000003E-2</v>
      </c>
      <c r="P86" s="57">
        <v>8.3000000000000004E-2</v>
      </c>
      <c r="R86" s="32"/>
      <c r="S86" s="42">
        <v>8.3333333333333329E-2</v>
      </c>
      <c r="T86" s="9">
        <v>0.222</v>
      </c>
      <c r="U86" s="9">
        <v>0.22500000000000001</v>
      </c>
      <c r="V86" s="9">
        <v>0.22700000000000001</v>
      </c>
      <c r="W86" s="10">
        <v>0.16200000000000001</v>
      </c>
      <c r="X86" s="10">
        <v>0.159</v>
      </c>
      <c r="Y86" s="10">
        <v>0.16800000000000001</v>
      </c>
      <c r="AA86" s="37">
        <v>0.14564814814814817</v>
      </c>
      <c r="AB86" s="9">
        <v>0.23499999999999999</v>
      </c>
      <c r="AC86" s="9">
        <v>0.24399999999999999</v>
      </c>
      <c r="AD86" s="9">
        <v>0.24399999999999999</v>
      </c>
      <c r="AE86" s="10">
        <v>0.17299999999999999</v>
      </c>
      <c r="AF86" s="10">
        <v>0.16900000000000001</v>
      </c>
      <c r="AG86" s="10">
        <v>0.20599999999999999</v>
      </c>
    </row>
    <row r="87" spans="1:33" x14ac:dyDescent="0.25">
      <c r="A87" s="42">
        <v>9.7222222222222224E-2</v>
      </c>
      <c r="B87" s="56">
        <v>8.6999999999999994E-2</v>
      </c>
      <c r="C87" s="56">
        <v>8.5999999999999993E-2</v>
      </c>
      <c r="D87" s="56">
        <v>8.5000000000000006E-2</v>
      </c>
      <c r="E87" s="57">
        <v>8.5999999999999993E-2</v>
      </c>
      <c r="F87" s="57">
        <v>8.4000000000000005E-2</v>
      </c>
      <c r="G87" s="57">
        <v>8.6999999999999994E-2</v>
      </c>
      <c r="I87" s="42">
        <v>9.7222222222222224E-2</v>
      </c>
      <c r="J87" s="43">
        <v>8.5000000000000006E-2</v>
      </c>
      <c r="K87" s="56">
        <v>8.1000000000000003E-2</v>
      </c>
      <c r="L87" s="56">
        <v>8.2000000000000003E-2</v>
      </c>
      <c r="M87" s="56">
        <v>8.5000000000000006E-2</v>
      </c>
      <c r="N87" s="57">
        <v>8.3000000000000004E-2</v>
      </c>
      <c r="O87" s="57">
        <v>8.2000000000000003E-2</v>
      </c>
      <c r="P87" s="57">
        <v>8.3000000000000004E-2</v>
      </c>
      <c r="R87" s="32"/>
      <c r="S87" s="42">
        <v>9.7222222222222224E-2</v>
      </c>
      <c r="T87" s="9">
        <v>0.30599999999999999</v>
      </c>
      <c r="U87" s="9">
        <v>0.316</v>
      </c>
      <c r="V87" s="9">
        <v>0.31900000000000001</v>
      </c>
      <c r="W87" s="10">
        <v>0.20399999999999999</v>
      </c>
      <c r="X87" s="10">
        <v>0.20300000000000001</v>
      </c>
      <c r="Y87" s="10">
        <v>0.21099999999999999</v>
      </c>
      <c r="AA87" s="37">
        <v>0.16648148148148148</v>
      </c>
      <c r="AB87" s="9">
        <v>0.33100000000000002</v>
      </c>
      <c r="AC87" s="9">
        <v>0.34499999999999997</v>
      </c>
      <c r="AD87" s="9">
        <v>0.36099999999999999</v>
      </c>
      <c r="AE87" s="10">
        <v>0.22</v>
      </c>
      <c r="AF87" s="10">
        <v>0.217</v>
      </c>
      <c r="AG87" s="10">
        <v>0.23599999999999999</v>
      </c>
    </row>
    <row r="88" spans="1:33" x14ac:dyDescent="0.25">
      <c r="A88" s="42">
        <v>0.1111111111111111</v>
      </c>
      <c r="B88" s="56">
        <v>8.5999999999999993E-2</v>
      </c>
      <c r="C88" s="56">
        <v>8.5999999999999993E-2</v>
      </c>
      <c r="D88" s="56">
        <v>8.4000000000000005E-2</v>
      </c>
      <c r="E88" s="57">
        <v>8.5000000000000006E-2</v>
      </c>
      <c r="F88" s="57">
        <v>8.4000000000000005E-2</v>
      </c>
      <c r="G88" s="57">
        <v>8.6999999999999994E-2</v>
      </c>
      <c r="I88" s="42">
        <v>0.1111111111111111</v>
      </c>
      <c r="J88" s="43">
        <v>8.5000000000000006E-2</v>
      </c>
      <c r="K88" s="56">
        <v>8.1000000000000003E-2</v>
      </c>
      <c r="L88" s="56">
        <v>8.3000000000000004E-2</v>
      </c>
      <c r="M88" s="56">
        <v>8.5000000000000006E-2</v>
      </c>
      <c r="N88" s="57">
        <v>8.3000000000000004E-2</v>
      </c>
      <c r="O88" s="57">
        <v>8.2000000000000003E-2</v>
      </c>
      <c r="P88" s="57">
        <v>8.3000000000000004E-2</v>
      </c>
      <c r="R88" s="32"/>
      <c r="S88" s="42">
        <v>0.1111111111111111</v>
      </c>
      <c r="T88" s="9">
        <v>0.44500000000000001</v>
      </c>
      <c r="U88" s="9">
        <v>0.45700000000000002</v>
      </c>
      <c r="V88" s="9">
        <v>0.46300000000000002</v>
      </c>
      <c r="W88" s="10">
        <v>0.27</v>
      </c>
      <c r="X88" s="10">
        <v>0.26800000000000002</v>
      </c>
      <c r="Y88" s="10">
        <v>0.27800000000000002</v>
      </c>
      <c r="AA88" s="37">
        <v>0.18731481481481482</v>
      </c>
      <c r="AB88" s="9">
        <v>0.48099999999999998</v>
      </c>
      <c r="AC88" s="9">
        <v>0.501</v>
      </c>
      <c r="AD88" s="9">
        <v>0.51200000000000001</v>
      </c>
      <c r="AE88" s="10">
        <v>0.29399999999999998</v>
      </c>
      <c r="AF88" s="10">
        <v>0.29099999999999998</v>
      </c>
      <c r="AG88" s="10">
        <v>0.30399999999999999</v>
      </c>
    </row>
    <row r="89" spans="1:33" x14ac:dyDescent="0.25">
      <c r="A89" s="42">
        <v>0.125</v>
      </c>
      <c r="B89" s="56">
        <v>8.5999999999999993E-2</v>
      </c>
      <c r="C89" s="56">
        <v>8.5999999999999993E-2</v>
      </c>
      <c r="D89" s="56">
        <v>8.5000000000000006E-2</v>
      </c>
      <c r="E89" s="57">
        <v>8.5000000000000006E-2</v>
      </c>
      <c r="F89" s="57">
        <v>8.4000000000000005E-2</v>
      </c>
      <c r="G89" s="57">
        <v>8.6999999999999994E-2</v>
      </c>
      <c r="I89" s="42">
        <v>0.125</v>
      </c>
      <c r="J89" s="43">
        <v>8.5000000000000006E-2</v>
      </c>
      <c r="K89" s="56">
        <v>8.1000000000000003E-2</v>
      </c>
      <c r="L89" s="56">
        <v>8.3000000000000004E-2</v>
      </c>
      <c r="M89" s="56">
        <v>8.5000000000000006E-2</v>
      </c>
      <c r="N89" s="57">
        <v>8.4000000000000005E-2</v>
      </c>
      <c r="O89" s="57">
        <v>8.2000000000000003E-2</v>
      </c>
      <c r="P89" s="57">
        <v>8.3000000000000004E-2</v>
      </c>
      <c r="R89" s="32"/>
      <c r="S89" s="42">
        <v>0.125</v>
      </c>
      <c r="T89" s="9">
        <v>0.622</v>
      </c>
      <c r="U89" s="9">
        <v>0.64900000000000002</v>
      </c>
      <c r="V89" s="9">
        <v>0.66</v>
      </c>
      <c r="W89" s="10">
        <v>0.36199999999999999</v>
      </c>
      <c r="X89" s="10">
        <v>0.36099999999999999</v>
      </c>
      <c r="Y89" s="10">
        <v>0.372</v>
      </c>
      <c r="AA89" s="37">
        <v>0.20814814814814817</v>
      </c>
      <c r="AB89" s="9">
        <v>0.68500000000000005</v>
      </c>
      <c r="AC89" s="9">
        <v>0.74199999999999999</v>
      </c>
      <c r="AD89" s="9">
        <v>0.72299999999999998</v>
      </c>
      <c r="AE89" s="10">
        <v>0.41099999999999998</v>
      </c>
      <c r="AF89" s="10">
        <v>0.40799999999999997</v>
      </c>
      <c r="AG89" s="10">
        <v>0.41599999999999998</v>
      </c>
    </row>
    <row r="90" spans="1:33" x14ac:dyDescent="0.25">
      <c r="A90" s="42">
        <v>0.1388888888888889</v>
      </c>
      <c r="B90" s="56">
        <v>8.5999999999999993E-2</v>
      </c>
      <c r="C90" s="56">
        <v>8.5999999999999993E-2</v>
      </c>
      <c r="D90" s="56">
        <v>8.5000000000000006E-2</v>
      </c>
      <c r="E90" s="57">
        <v>8.5000000000000006E-2</v>
      </c>
      <c r="F90" s="57">
        <v>8.4000000000000005E-2</v>
      </c>
      <c r="G90" s="57">
        <v>8.6999999999999994E-2</v>
      </c>
      <c r="I90" s="42">
        <v>0.1388888888888889</v>
      </c>
      <c r="J90" s="43">
        <v>8.5999999999999993E-2</v>
      </c>
      <c r="K90" s="56">
        <v>8.1000000000000003E-2</v>
      </c>
      <c r="L90" s="56">
        <v>8.3000000000000004E-2</v>
      </c>
      <c r="M90" s="56">
        <v>8.5000000000000006E-2</v>
      </c>
      <c r="N90" s="57">
        <v>8.4000000000000005E-2</v>
      </c>
      <c r="O90" s="57">
        <v>8.2000000000000003E-2</v>
      </c>
      <c r="P90" s="57">
        <v>8.3000000000000004E-2</v>
      </c>
      <c r="R90" s="32"/>
      <c r="S90" s="42">
        <v>0.1388888888888889</v>
      </c>
      <c r="T90" s="9">
        <v>0.82199999999999995</v>
      </c>
      <c r="U90" s="9">
        <v>0.84699999999999998</v>
      </c>
      <c r="V90" s="9">
        <v>0.85799999999999998</v>
      </c>
      <c r="W90" s="10">
        <v>0.48899999999999999</v>
      </c>
      <c r="X90" s="10">
        <v>0.48899999999999999</v>
      </c>
      <c r="Y90" s="10">
        <v>0.502</v>
      </c>
      <c r="AA90" s="37">
        <v>0.22898148148148148</v>
      </c>
      <c r="AB90" s="9">
        <v>0.88200000000000001</v>
      </c>
      <c r="AC90" s="9">
        <v>0.93500000000000005</v>
      </c>
      <c r="AD90" s="9">
        <v>0.92800000000000005</v>
      </c>
      <c r="AE90" s="10">
        <v>0.55700000000000005</v>
      </c>
      <c r="AF90" s="10">
        <v>0.55000000000000004</v>
      </c>
      <c r="AG90" s="10">
        <v>0.55500000000000005</v>
      </c>
    </row>
    <row r="91" spans="1:33" x14ac:dyDescent="0.25">
      <c r="A91" s="42">
        <v>0.15277777777777776</v>
      </c>
      <c r="B91" s="56">
        <v>8.6999999999999994E-2</v>
      </c>
      <c r="C91" s="56">
        <v>8.5999999999999993E-2</v>
      </c>
      <c r="D91" s="56">
        <v>8.5000000000000006E-2</v>
      </c>
      <c r="E91" s="57">
        <v>8.5999999999999993E-2</v>
      </c>
      <c r="F91" s="57">
        <v>8.4000000000000005E-2</v>
      </c>
      <c r="G91" s="57">
        <v>8.6999999999999994E-2</v>
      </c>
      <c r="I91" s="42">
        <v>0.15277777777777776</v>
      </c>
      <c r="J91" s="43">
        <v>8.5000000000000006E-2</v>
      </c>
      <c r="K91" s="56">
        <v>8.1000000000000003E-2</v>
      </c>
      <c r="L91" s="56">
        <v>8.3000000000000004E-2</v>
      </c>
      <c r="M91" s="56">
        <v>8.5000000000000006E-2</v>
      </c>
      <c r="N91" s="57">
        <v>8.4000000000000005E-2</v>
      </c>
      <c r="O91" s="57">
        <v>8.2000000000000003E-2</v>
      </c>
      <c r="P91" s="57">
        <v>8.3000000000000004E-2</v>
      </c>
      <c r="R91" s="32"/>
      <c r="S91" s="42">
        <v>0.15277777777777776</v>
      </c>
      <c r="T91" s="9">
        <v>1.002</v>
      </c>
      <c r="U91" s="9">
        <v>1.026</v>
      </c>
      <c r="V91" s="9">
        <v>1.036</v>
      </c>
      <c r="W91" s="10">
        <v>0.65800000000000003</v>
      </c>
      <c r="X91" s="10">
        <v>0.66200000000000003</v>
      </c>
      <c r="Y91" s="10">
        <v>0.67600000000000005</v>
      </c>
      <c r="AA91" s="37">
        <v>0.24981481481481482</v>
      </c>
      <c r="AB91" s="9">
        <v>1.048</v>
      </c>
      <c r="AC91" s="9">
        <v>1.0980000000000001</v>
      </c>
      <c r="AD91" s="9">
        <v>1.0940000000000001</v>
      </c>
      <c r="AE91" s="10">
        <v>0.74299999999999999</v>
      </c>
      <c r="AF91" s="10">
        <v>0.73199999999999998</v>
      </c>
      <c r="AG91" s="10">
        <v>0.73799999999999999</v>
      </c>
    </row>
    <row r="92" spans="1:33" x14ac:dyDescent="0.25">
      <c r="A92" s="42">
        <v>0.16666666666666666</v>
      </c>
      <c r="B92" s="56">
        <v>8.6999999999999994E-2</v>
      </c>
      <c r="C92" s="56">
        <v>8.5999999999999993E-2</v>
      </c>
      <c r="D92" s="56">
        <v>8.5000000000000006E-2</v>
      </c>
      <c r="E92" s="57">
        <v>8.5999999999999993E-2</v>
      </c>
      <c r="F92" s="57">
        <v>8.4000000000000005E-2</v>
      </c>
      <c r="G92" s="57">
        <v>8.6999999999999994E-2</v>
      </c>
      <c r="I92" s="42">
        <v>0.16666666666666666</v>
      </c>
      <c r="J92" s="43">
        <v>8.5000000000000006E-2</v>
      </c>
      <c r="K92" s="56">
        <v>8.1000000000000003E-2</v>
      </c>
      <c r="L92" s="56">
        <v>8.2000000000000003E-2</v>
      </c>
      <c r="M92" s="56">
        <v>8.5000000000000006E-2</v>
      </c>
      <c r="N92" s="57">
        <v>8.3000000000000004E-2</v>
      </c>
      <c r="O92" s="57">
        <v>8.2000000000000003E-2</v>
      </c>
      <c r="P92" s="57">
        <v>8.3000000000000004E-2</v>
      </c>
      <c r="R92" s="32"/>
      <c r="S92" s="42">
        <v>0.16666666666666666</v>
      </c>
      <c r="T92" s="9">
        <v>1.129</v>
      </c>
      <c r="U92" s="9">
        <v>1.1539999999999999</v>
      </c>
      <c r="V92" s="9">
        <v>1.163</v>
      </c>
      <c r="W92" s="10">
        <v>0.82699999999999996</v>
      </c>
      <c r="X92" s="10">
        <v>0.83399999999999996</v>
      </c>
      <c r="Y92" s="10">
        <v>0.85</v>
      </c>
      <c r="AA92" s="37">
        <v>0.27064814814814814</v>
      </c>
      <c r="AB92" s="9">
        <v>1.157</v>
      </c>
      <c r="AC92" s="9">
        <v>1.2070000000000001</v>
      </c>
      <c r="AD92" s="9">
        <v>1.202</v>
      </c>
      <c r="AE92" s="10">
        <v>0.91300000000000003</v>
      </c>
      <c r="AF92" s="10">
        <v>0.90500000000000003</v>
      </c>
      <c r="AG92" s="10">
        <v>0.91</v>
      </c>
    </row>
    <row r="93" spans="1:33" x14ac:dyDescent="0.25">
      <c r="A93" s="42">
        <v>0.18055555555555555</v>
      </c>
      <c r="B93" s="56">
        <v>8.6999999999999994E-2</v>
      </c>
      <c r="C93" s="56">
        <v>8.6999999999999994E-2</v>
      </c>
      <c r="D93" s="56">
        <v>8.5000000000000006E-2</v>
      </c>
      <c r="E93" s="57">
        <v>8.5999999999999993E-2</v>
      </c>
      <c r="F93" s="57">
        <v>8.4000000000000005E-2</v>
      </c>
      <c r="G93" s="57">
        <v>8.6999999999999994E-2</v>
      </c>
      <c r="I93" s="42">
        <v>0.18055555555555555</v>
      </c>
      <c r="J93" s="43">
        <v>8.5000000000000006E-2</v>
      </c>
      <c r="K93" s="56">
        <v>8.1000000000000003E-2</v>
      </c>
      <c r="L93" s="56">
        <v>8.3000000000000004E-2</v>
      </c>
      <c r="M93" s="56">
        <v>8.5000000000000006E-2</v>
      </c>
      <c r="N93" s="57">
        <v>8.4000000000000005E-2</v>
      </c>
      <c r="O93" s="57">
        <v>8.2000000000000003E-2</v>
      </c>
      <c r="P93" s="57">
        <v>8.3000000000000004E-2</v>
      </c>
      <c r="R93" s="32"/>
      <c r="S93" s="42">
        <v>0.18055555555555555</v>
      </c>
      <c r="T93" s="9">
        <v>1.214</v>
      </c>
      <c r="U93" s="9">
        <v>1.2410000000000001</v>
      </c>
      <c r="V93" s="9">
        <v>1.2529999999999999</v>
      </c>
      <c r="W93" s="10">
        <v>0.96899999999999997</v>
      </c>
      <c r="X93" s="10">
        <v>0.98099999999999998</v>
      </c>
      <c r="Y93" s="10">
        <v>0.997</v>
      </c>
      <c r="AA93" s="37">
        <v>0.29148148148148151</v>
      </c>
      <c r="AB93" s="9">
        <v>1.2470000000000001</v>
      </c>
      <c r="AC93" s="9">
        <v>1.292</v>
      </c>
      <c r="AD93" s="9">
        <v>1.286</v>
      </c>
      <c r="AE93" s="10">
        <v>1.04</v>
      </c>
      <c r="AF93" s="10">
        <v>1.042</v>
      </c>
      <c r="AG93" s="10">
        <v>1.0489999999999999</v>
      </c>
    </row>
    <row r="94" spans="1:33" x14ac:dyDescent="0.25">
      <c r="A94" s="42">
        <v>0.19444444444444445</v>
      </c>
      <c r="B94" s="56">
        <v>8.6999999999999994E-2</v>
      </c>
      <c r="C94" s="56">
        <v>8.6999999999999994E-2</v>
      </c>
      <c r="D94" s="56">
        <v>8.5000000000000006E-2</v>
      </c>
      <c r="E94" s="57">
        <v>8.5999999999999993E-2</v>
      </c>
      <c r="F94" s="57">
        <v>8.4000000000000005E-2</v>
      </c>
      <c r="G94" s="57">
        <v>8.6999999999999994E-2</v>
      </c>
      <c r="I94" s="42">
        <v>0.19444444444444445</v>
      </c>
      <c r="J94" s="43">
        <v>8.5000000000000006E-2</v>
      </c>
      <c r="K94" s="56">
        <v>8.1000000000000003E-2</v>
      </c>
      <c r="L94" s="56">
        <v>8.2000000000000003E-2</v>
      </c>
      <c r="M94" s="56">
        <v>8.5000000000000006E-2</v>
      </c>
      <c r="N94" s="57">
        <v>8.3000000000000004E-2</v>
      </c>
      <c r="O94" s="57">
        <v>8.2000000000000003E-2</v>
      </c>
      <c r="P94" s="57">
        <v>8.3000000000000004E-2</v>
      </c>
      <c r="R94" s="32"/>
      <c r="S94" s="42">
        <v>0.19444444444444445</v>
      </c>
      <c r="T94" s="9">
        <v>1.284</v>
      </c>
      <c r="U94" s="9">
        <v>1.3129999999999999</v>
      </c>
      <c r="V94" s="9">
        <v>1.3260000000000001</v>
      </c>
      <c r="W94" s="10">
        <v>1.07</v>
      </c>
      <c r="X94" s="10">
        <v>1.087</v>
      </c>
      <c r="Y94" s="10">
        <v>1.1020000000000001</v>
      </c>
      <c r="AA94" s="37">
        <v>0.31231481481481482</v>
      </c>
      <c r="AB94" s="9">
        <v>1.3169999999999999</v>
      </c>
      <c r="AC94" s="9">
        <v>1.361</v>
      </c>
      <c r="AD94" s="9">
        <v>1.353</v>
      </c>
      <c r="AE94" s="10">
        <v>1.1220000000000001</v>
      </c>
      <c r="AF94" s="10">
        <v>1.129</v>
      </c>
      <c r="AG94" s="10">
        <v>1.137</v>
      </c>
    </row>
    <row r="95" spans="1:33" x14ac:dyDescent="0.25">
      <c r="A95" s="42">
        <v>0.20833333333333334</v>
      </c>
      <c r="B95" s="56">
        <v>8.6999999999999994E-2</v>
      </c>
      <c r="C95" s="56">
        <v>8.6999999999999994E-2</v>
      </c>
      <c r="D95" s="56">
        <v>8.5000000000000006E-2</v>
      </c>
      <c r="E95" s="57">
        <v>8.5999999999999993E-2</v>
      </c>
      <c r="F95" s="57">
        <v>8.4000000000000005E-2</v>
      </c>
      <c r="G95" s="57">
        <v>8.6999999999999994E-2</v>
      </c>
      <c r="I95" s="42">
        <v>0.20833333333333334</v>
      </c>
      <c r="J95" s="43">
        <v>8.5000000000000006E-2</v>
      </c>
      <c r="K95" s="56">
        <v>8.1000000000000003E-2</v>
      </c>
      <c r="L95" s="56">
        <v>8.3000000000000004E-2</v>
      </c>
      <c r="M95" s="56">
        <v>8.5000000000000006E-2</v>
      </c>
      <c r="N95" s="57">
        <v>8.4000000000000005E-2</v>
      </c>
      <c r="O95" s="57">
        <v>8.2000000000000003E-2</v>
      </c>
      <c r="P95" s="57">
        <v>8.3000000000000004E-2</v>
      </c>
      <c r="R95" s="32"/>
      <c r="S95" s="42">
        <v>0.20833333333333334</v>
      </c>
      <c r="T95" s="9">
        <v>1.3380000000000001</v>
      </c>
      <c r="U95" s="9">
        <v>1.3680000000000001</v>
      </c>
      <c r="V95" s="9">
        <v>1.381</v>
      </c>
      <c r="W95" s="10">
        <v>1.145</v>
      </c>
      <c r="X95" s="10">
        <v>1.163</v>
      </c>
      <c r="Y95" s="10">
        <v>1.177</v>
      </c>
      <c r="AA95" s="37">
        <v>0.33314814814814814</v>
      </c>
      <c r="AB95" s="9">
        <v>1.361</v>
      </c>
      <c r="AC95" s="9">
        <v>1.409</v>
      </c>
      <c r="AD95" s="9">
        <v>1.4</v>
      </c>
      <c r="AE95" s="10">
        <v>1.1919999999999999</v>
      </c>
      <c r="AF95" s="10">
        <v>1.1990000000000001</v>
      </c>
      <c r="AG95" s="10">
        <v>1.2090000000000001</v>
      </c>
    </row>
    <row r="96" spans="1:33" x14ac:dyDescent="0.25">
      <c r="A96" s="42">
        <v>0.22222222222222221</v>
      </c>
      <c r="B96" s="56">
        <v>8.6999999999999994E-2</v>
      </c>
      <c r="C96" s="56">
        <v>8.6999999999999994E-2</v>
      </c>
      <c r="D96" s="56">
        <v>8.5999999999999993E-2</v>
      </c>
      <c r="E96" s="57">
        <v>8.5999999999999993E-2</v>
      </c>
      <c r="F96" s="57">
        <v>8.4000000000000005E-2</v>
      </c>
      <c r="G96" s="57">
        <v>8.6999999999999994E-2</v>
      </c>
      <c r="I96" s="42">
        <v>0.22222222222222221</v>
      </c>
      <c r="J96" s="43">
        <v>8.5000000000000006E-2</v>
      </c>
      <c r="K96" s="56">
        <v>8.1000000000000003E-2</v>
      </c>
      <c r="L96" s="56">
        <v>8.3000000000000004E-2</v>
      </c>
      <c r="M96" s="56">
        <v>8.5000000000000006E-2</v>
      </c>
      <c r="N96" s="57">
        <v>8.4000000000000005E-2</v>
      </c>
      <c r="O96" s="57">
        <v>8.2000000000000003E-2</v>
      </c>
      <c r="P96" s="57">
        <v>8.3000000000000004E-2</v>
      </c>
      <c r="R96" s="32"/>
      <c r="S96" s="42">
        <v>0.22222222222222221</v>
      </c>
      <c r="T96" s="9">
        <v>1.377</v>
      </c>
      <c r="U96" s="9">
        <v>1.407</v>
      </c>
      <c r="V96" s="9">
        <v>1.419</v>
      </c>
      <c r="W96" s="10">
        <v>1.21</v>
      </c>
      <c r="X96" s="10">
        <v>1.23</v>
      </c>
      <c r="Y96" s="10">
        <v>1.244</v>
      </c>
      <c r="AA96" s="37">
        <v>0.35398148148148145</v>
      </c>
      <c r="AB96" s="9">
        <v>1.393</v>
      </c>
      <c r="AC96" s="9">
        <v>1.444</v>
      </c>
      <c r="AD96" s="9">
        <v>1.4330000000000001</v>
      </c>
      <c r="AE96" s="10">
        <v>1.252</v>
      </c>
      <c r="AF96" s="10">
        <v>1.2589999999999999</v>
      </c>
      <c r="AG96" s="10">
        <v>1.274</v>
      </c>
    </row>
    <row r="97" spans="1:33" x14ac:dyDescent="0.25">
      <c r="A97" s="42">
        <v>0.23611111111111113</v>
      </c>
      <c r="B97" s="56">
        <v>8.6999999999999994E-2</v>
      </c>
      <c r="C97" s="56">
        <v>8.6999999999999994E-2</v>
      </c>
      <c r="D97" s="56">
        <v>8.5999999999999993E-2</v>
      </c>
      <c r="E97" s="57">
        <v>8.5999999999999993E-2</v>
      </c>
      <c r="F97" s="57">
        <v>8.4000000000000005E-2</v>
      </c>
      <c r="G97" s="57">
        <v>8.6999999999999994E-2</v>
      </c>
      <c r="I97" s="42">
        <v>0.23611111111111113</v>
      </c>
      <c r="J97" s="43">
        <v>8.5000000000000006E-2</v>
      </c>
      <c r="K97" s="56">
        <v>8.2000000000000003E-2</v>
      </c>
      <c r="L97" s="56">
        <v>8.3000000000000004E-2</v>
      </c>
      <c r="M97" s="56">
        <v>8.5999999999999993E-2</v>
      </c>
      <c r="N97" s="57">
        <v>8.4000000000000005E-2</v>
      </c>
      <c r="O97" s="57">
        <v>8.3000000000000004E-2</v>
      </c>
      <c r="P97" s="57">
        <v>8.3000000000000004E-2</v>
      </c>
      <c r="R97" s="32"/>
      <c r="S97" s="42">
        <v>0.23611111111111113</v>
      </c>
      <c r="T97" s="9">
        <v>1.405</v>
      </c>
      <c r="U97" s="9">
        <v>1.4350000000000001</v>
      </c>
      <c r="V97" s="9">
        <v>1.448</v>
      </c>
      <c r="W97" s="10">
        <v>1.266</v>
      </c>
      <c r="X97" s="10">
        <v>1.2869999999999999</v>
      </c>
      <c r="Y97" s="10">
        <v>1.3009999999999999</v>
      </c>
      <c r="AA97" s="37">
        <v>0.37481481481481477</v>
      </c>
      <c r="AB97" s="9">
        <v>1.417</v>
      </c>
      <c r="AC97" s="9">
        <v>1.4710000000000001</v>
      </c>
      <c r="AD97" s="9">
        <v>1.458</v>
      </c>
      <c r="AE97" s="10">
        <v>1.3029999999999999</v>
      </c>
      <c r="AF97" s="10">
        <v>1.3109999999999999</v>
      </c>
      <c r="AG97" s="10">
        <v>1.33</v>
      </c>
    </row>
    <row r="98" spans="1:33" x14ac:dyDescent="0.25">
      <c r="A98" s="42">
        <v>0.25</v>
      </c>
      <c r="B98" s="56">
        <v>8.6999999999999994E-2</v>
      </c>
      <c r="C98" s="56">
        <v>8.6999999999999994E-2</v>
      </c>
      <c r="D98" s="56">
        <v>8.5999999999999993E-2</v>
      </c>
      <c r="E98" s="57">
        <v>8.5999999999999993E-2</v>
      </c>
      <c r="F98" s="57">
        <v>8.4000000000000005E-2</v>
      </c>
      <c r="G98" s="57">
        <v>8.6999999999999994E-2</v>
      </c>
      <c r="I98" s="42">
        <v>0.25</v>
      </c>
      <c r="J98" s="43">
        <v>8.5000000000000006E-2</v>
      </c>
      <c r="K98" s="56">
        <v>8.2000000000000003E-2</v>
      </c>
      <c r="L98" s="56">
        <v>8.4000000000000005E-2</v>
      </c>
      <c r="M98" s="56">
        <v>8.5999999999999993E-2</v>
      </c>
      <c r="N98" s="57">
        <v>8.4000000000000005E-2</v>
      </c>
      <c r="O98" s="57">
        <v>8.3000000000000004E-2</v>
      </c>
      <c r="P98" s="57">
        <v>8.3000000000000004E-2</v>
      </c>
      <c r="R98" s="32"/>
      <c r="S98" s="42">
        <v>0.25</v>
      </c>
      <c r="T98" s="9">
        <v>1.4279999999999999</v>
      </c>
      <c r="U98" s="9">
        <v>1.458</v>
      </c>
      <c r="V98" s="9">
        <v>1.4710000000000001</v>
      </c>
      <c r="W98" s="10">
        <v>1.3149999999999999</v>
      </c>
      <c r="X98" s="10">
        <v>1.337</v>
      </c>
      <c r="Y98" s="10">
        <v>1.351</v>
      </c>
      <c r="AA98" s="37">
        <v>0.39564814814814814</v>
      </c>
      <c r="AB98" s="9">
        <v>1.4379999999999999</v>
      </c>
      <c r="AC98" s="9">
        <v>1.494</v>
      </c>
      <c r="AD98" s="9">
        <v>1.48</v>
      </c>
      <c r="AE98" s="10">
        <v>1.3440000000000001</v>
      </c>
      <c r="AF98" s="10">
        <v>1.355</v>
      </c>
      <c r="AG98" s="10">
        <v>1.3759999999999999</v>
      </c>
    </row>
    <row r="99" spans="1:33" x14ac:dyDescent="0.25">
      <c r="A99" s="42">
        <v>0.2638888888888889</v>
      </c>
      <c r="B99" s="56">
        <v>8.7999999999999995E-2</v>
      </c>
      <c r="C99" s="56">
        <v>8.6999999999999994E-2</v>
      </c>
      <c r="D99" s="56">
        <v>8.6999999999999994E-2</v>
      </c>
      <c r="E99" s="57">
        <v>8.5999999999999993E-2</v>
      </c>
      <c r="F99" s="57">
        <v>8.4000000000000005E-2</v>
      </c>
      <c r="G99" s="57">
        <v>8.6999999999999994E-2</v>
      </c>
      <c r="I99" s="42">
        <v>0.2638888888888889</v>
      </c>
      <c r="J99" s="43">
        <v>8.5000000000000006E-2</v>
      </c>
      <c r="K99" s="56">
        <v>8.3000000000000004E-2</v>
      </c>
      <c r="L99" s="56">
        <v>8.4000000000000005E-2</v>
      </c>
      <c r="M99" s="56">
        <v>8.5999999999999993E-2</v>
      </c>
      <c r="N99" s="57">
        <v>8.5000000000000006E-2</v>
      </c>
      <c r="O99" s="57">
        <v>8.3000000000000004E-2</v>
      </c>
      <c r="P99" s="57">
        <v>8.3000000000000004E-2</v>
      </c>
      <c r="R99" s="32"/>
      <c r="S99" s="42">
        <v>0.2638888888888889</v>
      </c>
      <c r="T99" s="9">
        <v>1.446</v>
      </c>
      <c r="U99" s="9">
        <v>1.4770000000000001</v>
      </c>
      <c r="V99" s="9">
        <v>1.49</v>
      </c>
      <c r="W99" s="10">
        <v>1.3540000000000001</v>
      </c>
      <c r="X99" s="10">
        <v>1.377</v>
      </c>
      <c r="Y99" s="10">
        <v>1.391</v>
      </c>
      <c r="AA99" s="37">
        <v>0.41648148148148145</v>
      </c>
      <c r="AB99" s="9">
        <v>1.4550000000000001</v>
      </c>
      <c r="AC99" s="9">
        <v>1.512</v>
      </c>
      <c r="AD99" s="9">
        <v>1.4970000000000001</v>
      </c>
      <c r="AE99" s="10">
        <v>1.38</v>
      </c>
      <c r="AF99" s="10">
        <v>1.389</v>
      </c>
      <c r="AG99" s="10">
        <v>1.415</v>
      </c>
    </row>
    <row r="100" spans="1:33" x14ac:dyDescent="0.25">
      <c r="A100" s="42">
        <v>0.27777777777777779</v>
      </c>
      <c r="B100" s="56">
        <v>8.7999999999999995E-2</v>
      </c>
      <c r="C100" s="56">
        <v>8.7999999999999995E-2</v>
      </c>
      <c r="D100" s="56">
        <v>8.6999999999999994E-2</v>
      </c>
      <c r="E100" s="57">
        <v>8.5999999999999993E-2</v>
      </c>
      <c r="F100" s="57">
        <v>8.5000000000000006E-2</v>
      </c>
      <c r="G100" s="57">
        <v>8.6999999999999994E-2</v>
      </c>
      <c r="I100" s="42">
        <v>0.27777777777777779</v>
      </c>
      <c r="J100" s="43">
        <v>8.5000000000000006E-2</v>
      </c>
      <c r="K100" s="56">
        <v>8.2000000000000003E-2</v>
      </c>
      <c r="L100" s="56">
        <v>8.4000000000000005E-2</v>
      </c>
      <c r="M100" s="56">
        <v>8.6999999999999994E-2</v>
      </c>
      <c r="N100" s="57">
        <v>8.4000000000000005E-2</v>
      </c>
      <c r="O100" s="57">
        <v>8.3000000000000004E-2</v>
      </c>
      <c r="P100" s="57">
        <v>8.3000000000000004E-2</v>
      </c>
      <c r="R100" s="32"/>
      <c r="S100" s="42">
        <v>0.27777777777777779</v>
      </c>
      <c r="T100" s="9">
        <v>1.4610000000000001</v>
      </c>
      <c r="U100" s="9">
        <v>1.4910000000000001</v>
      </c>
      <c r="V100" s="9">
        <v>1.5049999999999999</v>
      </c>
      <c r="W100" s="10">
        <v>1.3839999999999999</v>
      </c>
      <c r="X100" s="10">
        <v>1.4079999999999999</v>
      </c>
      <c r="Y100" s="10">
        <v>1.423</v>
      </c>
      <c r="AA100" s="37">
        <v>0.43731481481481477</v>
      </c>
      <c r="AB100" s="9">
        <v>1.4690000000000001</v>
      </c>
      <c r="AC100" s="9">
        <v>1.5269999999999999</v>
      </c>
      <c r="AD100" s="9">
        <v>1.5109999999999999</v>
      </c>
      <c r="AE100" s="10">
        <v>1.409</v>
      </c>
      <c r="AF100" s="10">
        <v>1.417</v>
      </c>
      <c r="AG100" s="10">
        <v>1.444</v>
      </c>
    </row>
    <row r="101" spans="1:33" x14ac:dyDescent="0.25">
      <c r="A101" s="42">
        <v>0.29166666666666669</v>
      </c>
      <c r="B101" s="56">
        <v>8.7999999999999995E-2</v>
      </c>
      <c r="C101" s="56">
        <v>8.7999999999999995E-2</v>
      </c>
      <c r="D101" s="56">
        <v>8.6999999999999994E-2</v>
      </c>
      <c r="E101" s="57">
        <v>8.6999999999999994E-2</v>
      </c>
      <c r="F101" s="57">
        <v>8.5000000000000006E-2</v>
      </c>
      <c r="G101" s="57">
        <v>8.6999999999999994E-2</v>
      </c>
      <c r="I101" s="42">
        <v>0.29166666666666669</v>
      </c>
      <c r="J101" s="43">
        <v>8.5000000000000006E-2</v>
      </c>
      <c r="K101" s="56">
        <v>8.4000000000000005E-2</v>
      </c>
      <c r="L101" s="56">
        <v>8.5000000000000006E-2</v>
      </c>
      <c r="M101" s="56">
        <v>8.6999999999999994E-2</v>
      </c>
      <c r="N101" s="57">
        <v>8.5000000000000006E-2</v>
      </c>
      <c r="O101" s="57">
        <v>8.3000000000000004E-2</v>
      </c>
      <c r="P101" s="57">
        <v>8.4000000000000005E-2</v>
      </c>
      <c r="R101" s="32"/>
      <c r="S101" s="42">
        <v>0.29166666666666669</v>
      </c>
      <c r="T101" s="9">
        <v>1.4730000000000001</v>
      </c>
      <c r="U101" s="9">
        <v>1.504</v>
      </c>
      <c r="V101" s="9">
        <v>1.5169999999999999</v>
      </c>
      <c r="W101" s="10">
        <v>1.409</v>
      </c>
      <c r="X101" s="10">
        <v>1.4330000000000001</v>
      </c>
      <c r="Y101" s="10">
        <v>1.4490000000000001</v>
      </c>
      <c r="AA101" s="37">
        <v>0.45814814814814814</v>
      </c>
      <c r="AB101" s="9">
        <v>1.48</v>
      </c>
      <c r="AC101" s="9">
        <v>1.536</v>
      </c>
      <c r="AD101" s="9">
        <v>1.5229999999999999</v>
      </c>
      <c r="AE101" s="10">
        <v>1.43</v>
      </c>
      <c r="AF101" s="10">
        <v>1.44</v>
      </c>
      <c r="AG101" s="10">
        <v>1.4690000000000001</v>
      </c>
    </row>
    <row r="102" spans="1:33" x14ac:dyDescent="0.25">
      <c r="A102" s="42">
        <v>0.30555555555555552</v>
      </c>
      <c r="B102" s="56">
        <v>8.8999999999999996E-2</v>
      </c>
      <c r="C102" s="56">
        <v>8.8999999999999996E-2</v>
      </c>
      <c r="D102" s="56">
        <v>8.6999999999999994E-2</v>
      </c>
      <c r="E102" s="57">
        <v>8.6999999999999994E-2</v>
      </c>
      <c r="F102" s="57">
        <v>8.5000000000000006E-2</v>
      </c>
      <c r="G102" s="57">
        <v>8.7999999999999995E-2</v>
      </c>
      <c r="I102" s="42">
        <v>0.30555555555555552</v>
      </c>
      <c r="J102" s="43">
        <v>8.5000000000000006E-2</v>
      </c>
      <c r="K102" s="56">
        <v>8.4000000000000005E-2</v>
      </c>
      <c r="L102" s="56">
        <v>8.5000000000000006E-2</v>
      </c>
      <c r="M102" s="56">
        <v>8.7999999999999995E-2</v>
      </c>
      <c r="N102" s="57">
        <v>8.5000000000000006E-2</v>
      </c>
      <c r="O102" s="57">
        <v>8.4000000000000005E-2</v>
      </c>
      <c r="P102" s="57">
        <v>8.4000000000000005E-2</v>
      </c>
      <c r="R102" s="32"/>
      <c r="S102" s="42">
        <v>0.30555555555555552</v>
      </c>
      <c r="T102" s="9">
        <v>1.4790000000000001</v>
      </c>
      <c r="U102" s="9">
        <v>1.512</v>
      </c>
      <c r="V102" s="9">
        <v>1.526</v>
      </c>
      <c r="W102" s="10">
        <v>1.429</v>
      </c>
      <c r="X102" s="10">
        <v>1.454</v>
      </c>
      <c r="Y102" s="10">
        <v>1.4690000000000001</v>
      </c>
      <c r="AA102" s="37">
        <v>0.47898148148148145</v>
      </c>
      <c r="AB102" s="9">
        <v>1.4850000000000001</v>
      </c>
      <c r="AC102" s="9">
        <v>1.5389999999999999</v>
      </c>
      <c r="AD102" s="9">
        <v>1.528</v>
      </c>
      <c r="AE102" s="10">
        <v>1.4450000000000001</v>
      </c>
      <c r="AF102" s="10">
        <v>1.4590000000000001</v>
      </c>
      <c r="AG102" s="10">
        <v>1.49</v>
      </c>
    </row>
    <row r="103" spans="1:33" x14ac:dyDescent="0.25">
      <c r="A103" s="42">
        <v>0.31944444444444448</v>
      </c>
      <c r="B103" s="56">
        <v>8.8999999999999996E-2</v>
      </c>
      <c r="C103" s="56">
        <v>0.09</v>
      </c>
      <c r="D103" s="56">
        <v>8.8999999999999996E-2</v>
      </c>
      <c r="E103" s="57">
        <v>8.6999999999999994E-2</v>
      </c>
      <c r="F103" s="57">
        <v>8.5000000000000006E-2</v>
      </c>
      <c r="G103" s="57">
        <v>8.7999999999999995E-2</v>
      </c>
      <c r="I103" s="42">
        <v>0.31944444444444448</v>
      </c>
      <c r="J103" s="43">
        <v>8.5000000000000006E-2</v>
      </c>
      <c r="K103" s="56">
        <v>8.5000000000000006E-2</v>
      </c>
      <c r="L103" s="56">
        <v>8.5999999999999993E-2</v>
      </c>
      <c r="M103" s="56">
        <v>8.7999999999999995E-2</v>
      </c>
      <c r="N103" s="57">
        <v>8.5000000000000006E-2</v>
      </c>
      <c r="O103" s="57">
        <v>8.3000000000000004E-2</v>
      </c>
      <c r="P103" s="57">
        <v>8.4000000000000005E-2</v>
      </c>
      <c r="R103" s="32"/>
      <c r="S103" s="42">
        <v>0.31944444444444448</v>
      </c>
      <c r="T103" s="9">
        <v>1.4830000000000001</v>
      </c>
      <c r="U103" s="9">
        <v>1.5149999999999999</v>
      </c>
      <c r="V103" s="9">
        <v>1.5309999999999999</v>
      </c>
      <c r="W103" s="10">
        <v>1.446</v>
      </c>
      <c r="X103" s="10">
        <v>1.4710000000000001</v>
      </c>
      <c r="Y103" s="10">
        <v>1.4870000000000001</v>
      </c>
      <c r="AA103" s="37">
        <v>0.49981481481481477</v>
      </c>
      <c r="AB103" s="9">
        <v>1.486</v>
      </c>
      <c r="AC103" s="9">
        <v>1.54</v>
      </c>
      <c r="AD103" s="9">
        <v>1.5289999999999999</v>
      </c>
      <c r="AE103" s="10">
        <v>1.4550000000000001</v>
      </c>
      <c r="AF103" s="10">
        <v>1.474</v>
      </c>
      <c r="AG103" s="10">
        <v>1.5069999999999999</v>
      </c>
    </row>
    <row r="104" spans="1:33" x14ac:dyDescent="0.25">
      <c r="A104" s="42">
        <v>0.33333333333333331</v>
      </c>
      <c r="B104" s="56">
        <v>0.09</v>
      </c>
      <c r="C104" s="56">
        <v>9.0999999999999998E-2</v>
      </c>
      <c r="D104" s="56">
        <v>0.09</v>
      </c>
      <c r="E104" s="57">
        <v>8.7999999999999995E-2</v>
      </c>
      <c r="F104" s="57">
        <v>8.5000000000000006E-2</v>
      </c>
      <c r="G104" s="57">
        <v>8.7999999999999995E-2</v>
      </c>
      <c r="I104" s="42">
        <v>0.33333333333333331</v>
      </c>
      <c r="J104" s="43">
        <v>8.5000000000000006E-2</v>
      </c>
      <c r="K104" s="56">
        <v>8.5999999999999993E-2</v>
      </c>
      <c r="L104" s="56">
        <v>8.6999999999999994E-2</v>
      </c>
      <c r="M104" s="56">
        <v>8.8999999999999996E-2</v>
      </c>
      <c r="N104" s="57">
        <v>8.5999999999999993E-2</v>
      </c>
      <c r="O104" s="57">
        <v>8.4000000000000005E-2</v>
      </c>
      <c r="P104" s="57">
        <v>8.5000000000000006E-2</v>
      </c>
      <c r="R104" s="32"/>
      <c r="S104" s="42">
        <v>0.33333333333333331</v>
      </c>
      <c r="T104" s="9">
        <v>1.484</v>
      </c>
      <c r="U104" s="9">
        <v>1.5169999999999999</v>
      </c>
      <c r="V104" s="9">
        <v>1.532</v>
      </c>
      <c r="W104" s="10">
        <v>1.4590000000000001</v>
      </c>
      <c r="X104" s="10">
        <v>1.484</v>
      </c>
      <c r="Y104" s="10">
        <v>1.5</v>
      </c>
      <c r="AA104" s="37">
        <v>0.52064814814814808</v>
      </c>
      <c r="AB104" s="9">
        <v>1.486</v>
      </c>
      <c r="AC104" s="9">
        <v>1.5389999999999999</v>
      </c>
      <c r="AD104" s="9">
        <v>1.53</v>
      </c>
      <c r="AE104" s="10">
        <v>1.462</v>
      </c>
      <c r="AF104" s="10">
        <v>1.484</v>
      </c>
      <c r="AG104" s="10">
        <v>1.5169999999999999</v>
      </c>
    </row>
    <row r="105" spans="1:33" x14ac:dyDescent="0.25">
      <c r="A105" s="42">
        <v>0.34722222222222227</v>
      </c>
      <c r="B105" s="56">
        <v>9.0999999999999998E-2</v>
      </c>
      <c r="C105" s="56">
        <v>9.5000000000000001E-2</v>
      </c>
      <c r="D105" s="56">
        <v>9.0999999999999998E-2</v>
      </c>
      <c r="E105" s="57">
        <v>8.7999999999999995E-2</v>
      </c>
      <c r="F105" s="57">
        <v>8.5999999999999993E-2</v>
      </c>
      <c r="G105" s="57">
        <v>8.7999999999999995E-2</v>
      </c>
      <c r="I105" s="42">
        <v>0.34722222222222227</v>
      </c>
      <c r="J105" s="43">
        <v>8.5000000000000006E-2</v>
      </c>
      <c r="K105" s="56">
        <v>8.6999999999999994E-2</v>
      </c>
      <c r="L105" s="56">
        <v>8.7999999999999995E-2</v>
      </c>
      <c r="M105" s="56">
        <v>9.0999999999999998E-2</v>
      </c>
      <c r="N105" s="57">
        <v>8.5000000000000006E-2</v>
      </c>
      <c r="O105" s="57">
        <v>8.4000000000000005E-2</v>
      </c>
      <c r="P105" s="57">
        <v>8.5000000000000006E-2</v>
      </c>
      <c r="R105" s="32"/>
      <c r="S105" s="42">
        <v>0.34722222222222227</v>
      </c>
      <c r="T105" s="9">
        <v>1.4830000000000001</v>
      </c>
      <c r="U105" s="9">
        <v>1.516</v>
      </c>
      <c r="V105" s="9">
        <v>1.532</v>
      </c>
      <c r="W105" s="10">
        <v>1.468</v>
      </c>
      <c r="X105" s="10">
        <v>1.494</v>
      </c>
      <c r="Y105" s="10">
        <v>1.51</v>
      </c>
      <c r="AA105" s="37">
        <v>0.54148148148148145</v>
      </c>
      <c r="AB105" s="9">
        <v>1.486</v>
      </c>
      <c r="AC105" s="9">
        <v>1.54</v>
      </c>
      <c r="AD105" s="9">
        <v>1.5289999999999999</v>
      </c>
      <c r="AE105" s="10">
        <v>1.466</v>
      </c>
      <c r="AF105" s="10">
        <v>1.4910000000000001</v>
      </c>
      <c r="AG105" s="10">
        <v>1.5249999999999999</v>
      </c>
    </row>
    <row r="106" spans="1:33" x14ac:dyDescent="0.25">
      <c r="A106" s="42">
        <v>0.3611111111111111</v>
      </c>
      <c r="B106" s="56">
        <v>9.1999999999999998E-2</v>
      </c>
      <c r="C106" s="56">
        <v>0.1</v>
      </c>
      <c r="D106" s="56">
        <v>9.1999999999999998E-2</v>
      </c>
      <c r="E106" s="57">
        <v>8.8999999999999996E-2</v>
      </c>
      <c r="F106" s="57">
        <v>8.5999999999999993E-2</v>
      </c>
      <c r="G106" s="57">
        <v>8.8999999999999996E-2</v>
      </c>
      <c r="I106" s="42">
        <v>0.3611111111111111</v>
      </c>
      <c r="J106" s="43">
        <v>8.5999999999999993E-2</v>
      </c>
      <c r="K106" s="56">
        <v>8.8999999999999996E-2</v>
      </c>
      <c r="L106" s="56">
        <v>8.8999999999999996E-2</v>
      </c>
      <c r="M106" s="56">
        <v>9.1999999999999998E-2</v>
      </c>
      <c r="N106" s="57">
        <v>8.5999999999999993E-2</v>
      </c>
      <c r="O106" s="57">
        <v>8.5000000000000006E-2</v>
      </c>
      <c r="P106" s="57">
        <v>8.5999999999999993E-2</v>
      </c>
      <c r="R106" s="32"/>
      <c r="S106" s="42">
        <v>0.3611111111111111</v>
      </c>
      <c r="T106" s="9">
        <v>1.4830000000000001</v>
      </c>
      <c r="U106" s="9">
        <v>1.516</v>
      </c>
      <c r="V106" s="9">
        <v>1.532</v>
      </c>
      <c r="W106" s="10">
        <v>1.472</v>
      </c>
      <c r="X106" s="10">
        <v>1.498</v>
      </c>
      <c r="Y106" s="10">
        <v>1.514</v>
      </c>
      <c r="AA106" s="37">
        <v>0.56231481481481482</v>
      </c>
      <c r="AB106" s="9">
        <v>1.486</v>
      </c>
      <c r="AC106" s="9">
        <v>1.538</v>
      </c>
      <c r="AD106" s="9">
        <v>1.528</v>
      </c>
      <c r="AE106" s="10">
        <v>1.468</v>
      </c>
      <c r="AF106" s="10">
        <v>1.496</v>
      </c>
      <c r="AG106" s="10">
        <v>1.5289999999999999</v>
      </c>
    </row>
    <row r="107" spans="1:33" x14ac:dyDescent="0.25">
      <c r="A107" s="42">
        <v>0.375</v>
      </c>
      <c r="B107" s="56">
        <v>9.2999999999999999E-2</v>
      </c>
      <c r="C107" s="56">
        <v>0.1</v>
      </c>
      <c r="D107" s="56">
        <v>9.5000000000000001E-2</v>
      </c>
      <c r="E107" s="57">
        <v>8.8999999999999996E-2</v>
      </c>
      <c r="F107" s="57">
        <v>8.6999999999999994E-2</v>
      </c>
      <c r="G107" s="57">
        <v>8.8999999999999996E-2</v>
      </c>
      <c r="I107" s="42">
        <v>0.375</v>
      </c>
      <c r="J107" s="43">
        <v>8.5000000000000006E-2</v>
      </c>
      <c r="K107" s="56">
        <v>0.09</v>
      </c>
      <c r="L107" s="56">
        <v>9.0999999999999998E-2</v>
      </c>
      <c r="M107" s="56">
        <v>9.4E-2</v>
      </c>
      <c r="N107" s="57">
        <v>8.6999999999999994E-2</v>
      </c>
      <c r="O107" s="57">
        <v>8.5000000000000006E-2</v>
      </c>
      <c r="P107" s="57">
        <v>8.5999999999999993E-2</v>
      </c>
      <c r="R107" s="32"/>
      <c r="S107" s="42">
        <v>0.375</v>
      </c>
      <c r="T107" s="9">
        <v>1.482</v>
      </c>
      <c r="U107" s="9">
        <v>1.518</v>
      </c>
      <c r="V107" s="9">
        <v>1.5309999999999999</v>
      </c>
      <c r="W107" s="10">
        <v>1.4750000000000001</v>
      </c>
      <c r="X107" s="10">
        <v>1.5009999999999999</v>
      </c>
      <c r="Y107" s="10">
        <v>1.5169999999999999</v>
      </c>
      <c r="AA107" s="37">
        <v>0.58314814814814808</v>
      </c>
      <c r="AB107" s="9">
        <v>1.4850000000000001</v>
      </c>
      <c r="AC107" s="9">
        <v>1.536</v>
      </c>
      <c r="AD107" s="9">
        <v>1.528</v>
      </c>
      <c r="AE107" s="10">
        <v>1.4690000000000001</v>
      </c>
      <c r="AF107" s="10">
        <v>1.4990000000000001</v>
      </c>
      <c r="AG107" s="10">
        <v>1.532</v>
      </c>
    </row>
    <row r="108" spans="1:33" x14ac:dyDescent="0.25">
      <c r="A108" s="42">
        <v>0.3888888888888889</v>
      </c>
      <c r="B108" s="56">
        <v>9.4E-2</v>
      </c>
      <c r="C108" s="56">
        <v>0.1</v>
      </c>
      <c r="D108" s="56">
        <v>9.7000000000000003E-2</v>
      </c>
      <c r="E108" s="57">
        <v>0.09</v>
      </c>
      <c r="F108" s="57">
        <v>8.6999999999999994E-2</v>
      </c>
      <c r="G108" s="57">
        <v>0.09</v>
      </c>
      <c r="I108" s="42">
        <v>0.3888888888888889</v>
      </c>
      <c r="J108" s="43">
        <v>8.5999999999999993E-2</v>
      </c>
      <c r="K108" s="56">
        <v>9.2999999999999999E-2</v>
      </c>
      <c r="L108" s="56">
        <v>9.2999999999999999E-2</v>
      </c>
      <c r="M108" s="56">
        <v>9.7000000000000003E-2</v>
      </c>
      <c r="N108" s="57">
        <v>8.7999999999999995E-2</v>
      </c>
      <c r="O108" s="57">
        <v>8.5999999999999993E-2</v>
      </c>
      <c r="P108" s="57">
        <v>8.6999999999999994E-2</v>
      </c>
      <c r="R108" s="32"/>
      <c r="S108" s="42">
        <v>0.3888888888888889</v>
      </c>
      <c r="T108" s="9">
        <v>1.48</v>
      </c>
      <c r="U108" s="9">
        <v>1.5169999999999999</v>
      </c>
      <c r="V108" s="9">
        <v>1.53</v>
      </c>
      <c r="W108" s="10">
        <v>1.476</v>
      </c>
      <c r="X108" s="10">
        <v>1.502</v>
      </c>
      <c r="Y108" s="10">
        <v>1.5189999999999999</v>
      </c>
      <c r="AA108" s="37">
        <v>0.60398148148148145</v>
      </c>
      <c r="AB108" s="9">
        <v>1.484</v>
      </c>
      <c r="AC108" s="9">
        <v>1.536</v>
      </c>
      <c r="AD108" s="9">
        <v>1.5269999999999999</v>
      </c>
      <c r="AE108" s="10">
        <v>1.47</v>
      </c>
      <c r="AF108" s="10">
        <v>1.5</v>
      </c>
      <c r="AG108" s="10">
        <v>1.534</v>
      </c>
    </row>
    <row r="109" spans="1:33" x14ac:dyDescent="0.25">
      <c r="A109" s="42">
        <v>0.40277777777777773</v>
      </c>
      <c r="B109" s="56">
        <v>9.6000000000000002E-2</v>
      </c>
      <c r="C109" s="56">
        <v>0.10299999999999999</v>
      </c>
      <c r="D109" s="56">
        <v>0.1</v>
      </c>
      <c r="E109" s="57">
        <v>9.1999999999999998E-2</v>
      </c>
      <c r="F109" s="57">
        <v>8.7999999999999995E-2</v>
      </c>
      <c r="G109" s="57">
        <v>0.09</v>
      </c>
      <c r="I109" s="42">
        <v>0.40277777777777773</v>
      </c>
      <c r="J109" s="43">
        <v>8.5000000000000006E-2</v>
      </c>
      <c r="K109" s="56">
        <v>9.6000000000000002E-2</v>
      </c>
      <c r="L109" s="56">
        <v>9.6000000000000002E-2</v>
      </c>
      <c r="M109" s="56">
        <v>0.1</v>
      </c>
      <c r="N109" s="57">
        <v>8.8999999999999996E-2</v>
      </c>
      <c r="O109" s="57">
        <v>8.6999999999999994E-2</v>
      </c>
      <c r="P109" s="57">
        <v>8.7999999999999995E-2</v>
      </c>
      <c r="R109" s="32"/>
      <c r="S109" s="42">
        <v>0.40277777777777773</v>
      </c>
      <c r="T109" s="9">
        <v>1.4790000000000001</v>
      </c>
      <c r="U109" s="9">
        <v>1.516</v>
      </c>
      <c r="V109" s="9">
        <v>1.528</v>
      </c>
      <c r="W109" s="10">
        <v>1.4770000000000001</v>
      </c>
      <c r="X109" s="10">
        <v>1.5029999999999999</v>
      </c>
      <c r="Y109" s="10">
        <v>1.5189999999999999</v>
      </c>
      <c r="AA109" s="37">
        <v>0.62481481481481482</v>
      </c>
      <c r="AB109" s="9">
        <v>1.4830000000000001</v>
      </c>
      <c r="AC109" s="9">
        <v>1.534</v>
      </c>
      <c r="AD109" s="9">
        <v>1.526</v>
      </c>
      <c r="AE109" s="10">
        <v>1.47</v>
      </c>
      <c r="AF109" s="10">
        <v>1.502</v>
      </c>
      <c r="AG109" s="10">
        <v>1.534</v>
      </c>
    </row>
    <row r="110" spans="1:33" x14ac:dyDescent="0.25">
      <c r="A110" s="42">
        <v>0.41666666666666669</v>
      </c>
      <c r="B110" s="56">
        <v>9.9000000000000005E-2</v>
      </c>
      <c r="C110" s="56">
        <v>0.106</v>
      </c>
      <c r="D110" s="56">
        <v>0.104</v>
      </c>
      <c r="E110" s="57">
        <v>9.2999999999999999E-2</v>
      </c>
      <c r="F110" s="57">
        <v>8.8999999999999996E-2</v>
      </c>
      <c r="G110" s="57">
        <v>9.0999999999999998E-2</v>
      </c>
      <c r="I110" s="42">
        <v>0.41666666666666669</v>
      </c>
      <c r="J110" s="43">
        <v>8.5000000000000006E-2</v>
      </c>
      <c r="K110" s="56">
        <v>0.10100000000000001</v>
      </c>
      <c r="L110" s="56">
        <v>9.9000000000000005E-2</v>
      </c>
      <c r="M110" s="56">
        <v>0.10299999999999999</v>
      </c>
      <c r="N110" s="57">
        <v>0.09</v>
      </c>
      <c r="O110" s="57">
        <v>8.8999999999999996E-2</v>
      </c>
      <c r="P110" s="57">
        <v>0.09</v>
      </c>
      <c r="R110" s="32"/>
      <c r="S110" s="42">
        <v>0.41666666666666669</v>
      </c>
      <c r="T110" s="9">
        <v>1.478</v>
      </c>
      <c r="U110" s="9">
        <v>1.514</v>
      </c>
      <c r="V110" s="9">
        <v>1.528</v>
      </c>
      <c r="W110" s="10">
        <v>1.4770000000000001</v>
      </c>
      <c r="X110" s="10">
        <v>1.5029999999999999</v>
      </c>
      <c r="Y110" s="10">
        <v>1.52</v>
      </c>
      <c r="AA110" s="37">
        <v>0.64564814814814808</v>
      </c>
      <c r="AB110" s="9">
        <v>1.482</v>
      </c>
      <c r="AC110" s="9">
        <v>1.532</v>
      </c>
      <c r="AD110" s="9">
        <v>1.5249999999999999</v>
      </c>
      <c r="AE110" s="10">
        <v>1.4710000000000001</v>
      </c>
      <c r="AF110" s="10">
        <v>1.5029999999999999</v>
      </c>
      <c r="AG110" s="10">
        <v>1.5349999999999999</v>
      </c>
    </row>
    <row r="111" spans="1:33" x14ac:dyDescent="0.25">
      <c r="A111" s="42">
        <v>0.43055555555555558</v>
      </c>
      <c r="B111" s="56">
        <v>0.10199999999999999</v>
      </c>
      <c r="C111" s="56">
        <v>0.111</v>
      </c>
      <c r="D111" s="56">
        <v>0.109</v>
      </c>
      <c r="E111" s="57">
        <v>9.5000000000000001E-2</v>
      </c>
      <c r="F111" s="57">
        <v>0.09</v>
      </c>
      <c r="G111" s="57">
        <v>9.1999999999999998E-2</v>
      </c>
      <c r="I111" s="42">
        <v>0.43055555555555558</v>
      </c>
      <c r="J111" s="43">
        <v>8.5000000000000006E-2</v>
      </c>
      <c r="K111" s="56">
        <v>0.106</v>
      </c>
      <c r="L111" s="56">
        <v>0.10299999999999999</v>
      </c>
      <c r="M111" s="56">
        <v>0.108</v>
      </c>
      <c r="N111" s="57">
        <v>9.0999999999999998E-2</v>
      </c>
      <c r="O111" s="57">
        <v>0.09</v>
      </c>
      <c r="P111" s="57">
        <v>9.0999999999999998E-2</v>
      </c>
      <c r="R111" s="32"/>
      <c r="S111" s="42">
        <v>0.43055555555555558</v>
      </c>
      <c r="T111" s="9">
        <v>1.476</v>
      </c>
      <c r="U111" s="9">
        <v>1.514</v>
      </c>
      <c r="V111" s="9">
        <v>1.526</v>
      </c>
      <c r="W111" s="10">
        <v>1.4770000000000001</v>
      </c>
      <c r="X111" s="10">
        <v>1.5029999999999999</v>
      </c>
      <c r="Y111" s="10">
        <v>1.52</v>
      </c>
      <c r="AA111" s="37">
        <v>0.66648148148148145</v>
      </c>
      <c r="AB111" s="9">
        <v>1.4810000000000001</v>
      </c>
      <c r="AC111" s="9">
        <v>1.53</v>
      </c>
      <c r="AD111" s="9">
        <v>1.5249999999999999</v>
      </c>
      <c r="AE111" s="10">
        <v>1.472</v>
      </c>
      <c r="AF111" s="10">
        <v>1.504</v>
      </c>
      <c r="AG111" s="10">
        <v>1.536</v>
      </c>
    </row>
    <row r="112" spans="1:33" x14ac:dyDescent="0.25">
      <c r="A112" s="42">
        <v>0.44444444444444442</v>
      </c>
      <c r="B112" s="56">
        <v>0.106</v>
      </c>
      <c r="C112" s="56">
        <v>0.11600000000000001</v>
      </c>
      <c r="D112" s="56">
        <v>0.11600000000000001</v>
      </c>
      <c r="E112" s="57">
        <v>9.7000000000000003E-2</v>
      </c>
      <c r="F112" s="57">
        <v>9.1999999999999998E-2</v>
      </c>
      <c r="G112" s="57">
        <v>9.4E-2</v>
      </c>
      <c r="I112" s="42">
        <v>0.44444444444444442</v>
      </c>
      <c r="J112" s="43">
        <v>8.5000000000000006E-2</v>
      </c>
      <c r="K112" s="56">
        <v>0.112</v>
      </c>
      <c r="L112" s="56">
        <v>0.109</v>
      </c>
      <c r="M112" s="56">
        <v>0.115</v>
      </c>
      <c r="N112" s="57">
        <v>9.2999999999999999E-2</v>
      </c>
      <c r="O112" s="57">
        <v>9.1999999999999998E-2</v>
      </c>
      <c r="P112" s="57">
        <v>9.2999999999999999E-2</v>
      </c>
      <c r="R112" s="32"/>
      <c r="S112" s="42">
        <v>0.44444444444444442</v>
      </c>
      <c r="T112" s="9">
        <v>1.476</v>
      </c>
      <c r="U112" s="9">
        <v>1.5129999999999999</v>
      </c>
      <c r="V112" s="9">
        <v>1.526</v>
      </c>
      <c r="W112" s="10">
        <v>1.4770000000000001</v>
      </c>
      <c r="X112" s="10">
        <v>1.5029999999999999</v>
      </c>
      <c r="Y112" s="10">
        <v>1.52</v>
      </c>
      <c r="AA112" s="37">
        <v>0.68731481481481482</v>
      </c>
      <c r="AB112" s="9">
        <v>1.48</v>
      </c>
      <c r="AC112" s="9">
        <v>1.5289999999999999</v>
      </c>
      <c r="AD112" s="9">
        <v>1.524</v>
      </c>
      <c r="AE112" s="10">
        <v>1.4710000000000001</v>
      </c>
      <c r="AF112" s="10">
        <v>1.5049999999999999</v>
      </c>
      <c r="AG112" s="10">
        <v>1.5369999999999999</v>
      </c>
    </row>
    <row r="113" spans="1:33" x14ac:dyDescent="0.25">
      <c r="A113" s="42">
        <v>0.45833333333333331</v>
      </c>
      <c r="B113" s="56">
        <v>0.111</v>
      </c>
      <c r="C113" s="56">
        <v>0.125</v>
      </c>
      <c r="D113" s="56">
        <v>0.124</v>
      </c>
      <c r="E113" s="57">
        <v>0.1</v>
      </c>
      <c r="F113" s="57">
        <v>9.2999999999999999E-2</v>
      </c>
      <c r="G113" s="57">
        <v>9.5000000000000001E-2</v>
      </c>
      <c r="I113" s="42">
        <v>0.45833333333333331</v>
      </c>
      <c r="J113" s="43">
        <v>8.5000000000000006E-2</v>
      </c>
      <c r="K113" s="56">
        <v>0.122</v>
      </c>
      <c r="L113" s="56">
        <v>0.11600000000000001</v>
      </c>
      <c r="M113" s="56">
        <v>0.123</v>
      </c>
      <c r="N113" s="57">
        <v>9.6000000000000002E-2</v>
      </c>
      <c r="O113" s="57">
        <v>9.4E-2</v>
      </c>
      <c r="P113" s="57">
        <v>9.5000000000000001E-2</v>
      </c>
      <c r="R113" s="32"/>
      <c r="S113" s="42">
        <v>0.45833333333333331</v>
      </c>
      <c r="T113" s="9">
        <v>1.474</v>
      </c>
      <c r="U113" s="9">
        <v>1.512</v>
      </c>
      <c r="V113" s="9">
        <v>1.524</v>
      </c>
      <c r="W113" s="10">
        <v>1.476</v>
      </c>
      <c r="X113" s="10">
        <v>1.502</v>
      </c>
      <c r="Y113" s="10">
        <v>1.52</v>
      </c>
      <c r="AA113" s="37">
        <v>0.70814814814814808</v>
      </c>
      <c r="AB113" s="9">
        <v>1.48</v>
      </c>
      <c r="AC113" s="9">
        <v>1.528</v>
      </c>
      <c r="AD113" s="9">
        <v>1.5229999999999999</v>
      </c>
      <c r="AE113" s="10">
        <v>1.4710000000000001</v>
      </c>
      <c r="AF113" s="10">
        <v>1.5049999999999999</v>
      </c>
      <c r="AG113" s="10">
        <v>1.538</v>
      </c>
    </row>
    <row r="114" spans="1:33" x14ac:dyDescent="0.25">
      <c r="A114" s="42">
        <v>0.47222222222222227</v>
      </c>
      <c r="B114" s="56">
        <v>0.11700000000000001</v>
      </c>
      <c r="C114" s="56">
        <v>0.13400000000000001</v>
      </c>
      <c r="D114" s="56">
        <v>0.13400000000000001</v>
      </c>
      <c r="E114" s="57">
        <v>0.10299999999999999</v>
      </c>
      <c r="F114" s="57">
        <v>9.5000000000000001E-2</v>
      </c>
      <c r="G114" s="57">
        <v>9.7000000000000003E-2</v>
      </c>
      <c r="I114" s="42">
        <v>0.47222222222222227</v>
      </c>
      <c r="J114" s="43">
        <v>8.5000000000000006E-2</v>
      </c>
      <c r="K114" s="56">
        <v>0.13300000000000001</v>
      </c>
      <c r="L114" s="56">
        <v>0.126</v>
      </c>
      <c r="M114" s="56">
        <v>0.13400000000000001</v>
      </c>
      <c r="N114" s="57">
        <v>9.9000000000000005E-2</v>
      </c>
      <c r="O114" s="57">
        <v>9.8000000000000004E-2</v>
      </c>
      <c r="P114" s="57">
        <v>9.8000000000000004E-2</v>
      </c>
      <c r="R114" s="32"/>
      <c r="S114" s="42">
        <v>0.47222222222222227</v>
      </c>
      <c r="T114" s="9">
        <v>1.472</v>
      </c>
      <c r="U114" s="9">
        <v>1.51</v>
      </c>
      <c r="V114" s="9">
        <v>1.5229999999999999</v>
      </c>
      <c r="W114" s="10">
        <v>1.4770000000000001</v>
      </c>
      <c r="X114" s="10">
        <v>1.5029999999999999</v>
      </c>
      <c r="Y114" s="10">
        <v>1.52</v>
      </c>
      <c r="AA114" s="37">
        <v>0.72898148148148145</v>
      </c>
      <c r="AB114" s="9">
        <v>1.4790000000000001</v>
      </c>
      <c r="AC114" s="9">
        <v>1.53</v>
      </c>
      <c r="AD114" s="9">
        <v>1.522</v>
      </c>
      <c r="AE114" s="10">
        <v>1.4710000000000001</v>
      </c>
      <c r="AF114" s="10">
        <v>1.5049999999999999</v>
      </c>
      <c r="AG114" s="10">
        <v>1.5369999999999999</v>
      </c>
    </row>
    <row r="115" spans="1:33" x14ac:dyDescent="0.25">
      <c r="A115" s="42">
        <v>0.4861111111111111</v>
      </c>
      <c r="B115" s="56">
        <v>0.125</v>
      </c>
      <c r="C115" s="56">
        <v>0.14699999999999999</v>
      </c>
      <c r="D115" s="56">
        <v>0.14699999999999999</v>
      </c>
      <c r="E115" s="57">
        <v>0.107</v>
      </c>
      <c r="F115" s="57">
        <v>9.8000000000000004E-2</v>
      </c>
      <c r="G115" s="57">
        <v>0.1</v>
      </c>
      <c r="I115" s="42">
        <v>0.4861111111111111</v>
      </c>
      <c r="J115" s="43">
        <v>8.5000000000000006E-2</v>
      </c>
      <c r="K115" s="56">
        <v>0.14699999999999999</v>
      </c>
      <c r="L115" s="56">
        <v>0.13700000000000001</v>
      </c>
      <c r="M115" s="56">
        <v>0.14899999999999999</v>
      </c>
      <c r="N115" s="57">
        <v>0.10199999999999999</v>
      </c>
      <c r="O115" s="57">
        <v>0.10199999999999999</v>
      </c>
      <c r="P115" s="57">
        <v>0.10199999999999999</v>
      </c>
      <c r="R115" s="32"/>
      <c r="S115" s="42">
        <v>0.4861111111111111</v>
      </c>
      <c r="T115" s="9">
        <v>1.472</v>
      </c>
      <c r="U115" s="9">
        <v>1.51</v>
      </c>
      <c r="V115" s="9">
        <v>1.5229999999999999</v>
      </c>
      <c r="W115" s="10">
        <v>1.4770000000000001</v>
      </c>
      <c r="X115" s="10">
        <v>1.5029999999999999</v>
      </c>
      <c r="Y115" s="10">
        <v>1.52</v>
      </c>
      <c r="AA115" s="37">
        <v>0.74981481481481482</v>
      </c>
      <c r="AB115" s="9">
        <v>1.478</v>
      </c>
      <c r="AC115" s="9">
        <v>1.532</v>
      </c>
      <c r="AD115" s="9">
        <v>1.522</v>
      </c>
      <c r="AE115" s="10">
        <v>1.4710000000000001</v>
      </c>
      <c r="AF115" s="10">
        <v>1.506</v>
      </c>
      <c r="AG115" s="10">
        <v>1.5369999999999999</v>
      </c>
    </row>
    <row r="116" spans="1:33" x14ac:dyDescent="0.25">
      <c r="A116" s="42">
        <v>0.5</v>
      </c>
      <c r="B116" s="56">
        <v>0.13500000000000001</v>
      </c>
      <c r="C116" s="56">
        <v>0.16300000000000001</v>
      </c>
      <c r="D116" s="56">
        <v>0.16300000000000001</v>
      </c>
      <c r="E116" s="57">
        <v>0.112</v>
      </c>
      <c r="F116" s="57">
        <v>0.10100000000000001</v>
      </c>
      <c r="G116" s="57">
        <v>0.10299999999999999</v>
      </c>
      <c r="I116" s="42">
        <v>0.5</v>
      </c>
      <c r="J116" s="43">
        <v>8.5000000000000006E-2</v>
      </c>
      <c r="K116" s="56">
        <v>0.16500000000000001</v>
      </c>
      <c r="L116" s="56">
        <v>0.152</v>
      </c>
      <c r="M116" s="56">
        <v>0.16800000000000001</v>
      </c>
      <c r="N116" s="57">
        <v>0.108</v>
      </c>
      <c r="O116" s="57">
        <v>0.106</v>
      </c>
      <c r="P116" s="57">
        <v>0.107</v>
      </c>
      <c r="R116" s="32"/>
      <c r="S116" s="42">
        <v>0.5</v>
      </c>
      <c r="T116" s="9">
        <v>1.47</v>
      </c>
      <c r="U116" s="9">
        <v>1.5089999999999999</v>
      </c>
      <c r="V116" s="9">
        <v>1.522</v>
      </c>
      <c r="W116" s="10">
        <v>1.4770000000000001</v>
      </c>
      <c r="X116" s="10">
        <v>1.502</v>
      </c>
      <c r="Y116" s="10">
        <v>1.52</v>
      </c>
      <c r="AA116" s="37">
        <v>0.77064814814814808</v>
      </c>
      <c r="AB116" s="9">
        <v>1.478</v>
      </c>
      <c r="AC116" s="9">
        <v>1.524</v>
      </c>
      <c r="AD116" s="9">
        <v>1.522</v>
      </c>
      <c r="AE116" s="10">
        <v>1.4710000000000001</v>
      </c>
      <c r="AF116" s="10">
        <v>1.5069999999999999</v>
      </c>
      <c r="AG116" s="10">
        <v>1.5369999999999999</v>
      </c>
    </row>
    <row r="117" spans="1:33" x14ac:dyDescent="0.25">
      <c r="A117" s="42">
        <v>0.51388888888888895</v>
      </c>
      <c r="B117" s="56">
        <v>0.14799999999999999</v>
      </c>
      <c r="C117" s="56">
        <v>0.184</v>
      </c>
      <c r="D117" s="56">
        <v>0.184</v>
      </c>
      <c r="E117" s="57">
        <v>0.11899999999999999</v>
      </c>
      <c r="F117" s="57">
        <v>0.105</v>
      </c>
      <c r="G117" s="57">
        <v>0.106</v>
      </c>
      <c r="I117" s="42">
        <v>0.51388888888888895</v>
      </c>
      <c r="J117" s="43">
        <v>8.5000000000000006E-2</v>
      </c>
      <c r="K117" s="56">
        <v>0.187</v>
      </c>
      <c r="L117" s="56">
        <v>0.17100000000000001</v>
      </c>
      <c r="M117" s="56">
        <v>0.19</v>
      </c>
      <c r="N117" s="57">
        <v>0.112</v>
      </c>
      <c r="O117" s="57">
        <v>0.112</v>
      </c>
      <c r="P117" s="57">
        <v>0.113</v>
      </c>
      <c r="R117" s="32"/>
      <c r="S117" s="42">
        <v>0.51388888888888895</v>
      </c>
      <c r="T117" s="9">
        <v>1.468</v>
      </c>
      <c r="U117" s="9">
        <v>1.5089999999999999</v>
      </c>
      <c r="V117" s="9">
        <v>1.5209999999999999</v>
      </c>
      <c r="W117" s="10">
        <v>1.476</v>
      </c>
      <c r="X117" s="10">
        <v>1.502</v>
      </c>
      <c r="Y117" s="10">
        <v>1.52</v>
      </c>
      <c r="AA117" s="37">
        <v>0.79148148148148145</v>
      </c>
      <c r="AB117" s="9">
        <v>1.478</v>
      </c>
      <c r="AC117" s="9">
        <v>1.524</v>
      </c>
      <c r="AD117" s="9">
        <v>1.522</v>
      </c>
      <c r="AE117" s="10">
        <v>1.4710000000000001</v>
      </c>
      <c r="AF117" s="10">
        <v>1.5069999999999999</v>
      </c>
      <c r="AG117" s="10">
        <v>1.536</v>
      </c>
    </row>
    <row r="118" spans="1:33" x14ac:dyDescent="0.25">
      <c r="A118" s="42">
        <v>0.52777777777777779</v>
      </c>
      <c r="B118" s="56">
        <v>0.16400000000000001</v>
      </c>
      <c r="C118" s="56">
        <v>0.21099999999999999</v>
      </c>
      <c r="D118" s="56">
        <v>0.21099999999999999</v>
      </c>
      <c r="E118" s="57">
        <v>0.127</v>
      </c>
      <c r="F118" s="57">
        <v>0.111</v>
      </c>
      <c r="G118" s="57">
        <v>0.111</v>
      </c>
      <c r="I118" s="42">
        <v>0.52777777777777779</v>
      </c>
      <c r="J118" s="43">
        <v>8.5000000000000006E-2</v>
      </c>
      <c r="K118" s="56">
        <v>0.214</v>
      </c>
      <c r="L118" s="56">
        <v>0.19400000000000001</v>
      </c>
      <c r="M118" s="56">
        <v>0.224</v>
      </c>
      <c r="N118" s="57">
        <v>0.11899999999999999</v>
      </c>
      <c r="O118" s="57">
        <v>0.11899999999999999</v>
      </c>
      <c r="P118" s="57">
        <v>0.12</v>
      </c>
      <c r="R118" s="32"/>
      <c r="S118" s="42">
        <v>0.52777777777777779</v>
      </c>
      <c r="T118" s="9">
        <v>1.468</v>
      </c>
      <c r="U118" s="9">
        <v>1.508</v>
      </c>
      <c r="V118" s="9">
        <v>1.5209999999999999</v>
      </c>
      <c r="W118" s="10">
        <v>1.476</v>
      </c>
      <c r="X118" s="10">
        <v>1.502</v>
      </c>
      <c r="Y118" s="10">
        <v>1.5189999999999999</v>
      </c>
      <c r="AA118" s="37">
        <v>0.81231481481481482</v>
      </c>
      <c r="AB118" s="9">
        <v>1.4770000000000001</v>
      </c>
      <c r="AC118" s="9">
        <v>1.5229999999999999</v>
      </c>
      <c r="AD118" s="9">
        <v>1.5209999999999999</v>
      </c>
      <c r="AE118" s="10">
        <v>1.4710000000000001</v>
      </c>
      <c r="AF118" s="10">
        <v>1.508</v>
      </c>
      <c r="AG118" s="10">
        <v>1.536</v>
      </c>
    </row>
    <row r="119" spans="1:33" x14ac:dyDescent="0.25">
      <c r="A119" s="42">
        <v>0.54166666666666663</v>
      </c>
      <c r="B119" s="56">
        <v>0.185</v>
      </c>
      <c r="C119" s="56">
        <v>0.249</v>
      </c>
      <c r="D119" s="56">
        <v>0.24299999999999999</v>
      </c>
      <c r="E119" s="57">
        <v>0.13700000000000001</v>
      </c>
      <c r="F119" s="57">
        <v>0.11700000000000001</v>
      </c>
      <c r="G119" s="57">
        <v>0.11700000000000001</v>
      </c>
      <c r="I119" s="42">
        <v>0.54166666666666663</v>
      </c>
      <c r="J119" s="43">
        <v>8.5999999999999993E-2</v>
      </c>
      <c r="K119" s="56">
        <v>0.245</v>
      </c>
      <c r="L119" s="56">
        <v>0.224</v>
      </c>
      <c r="M119" s="56">
        <v>0.27200000000000002</v>
      </c>
      <c r="N119" s="57">
        <v>0.129</v>
      </c>
      <c r="O119" s="57">
        <v>0.129</v>
      </c>
      <c r="P119" s="57">
        <v>0.13</v>
      </c>
      <c r="S119" s="42">
        <v>0.54166666666666663</v>
      </c>
      <c r="T119" s="9">
        <v>1.466</v>
      </c>
      <c r="U119" s="9">
        <v>1.5069999999999999</v>
      </c>
      <c r="V119" s="9">
        <v>1.5189999999999999</v>
      </c>
      <c r="W119" s="10">
        <v>1.476</v>
      </c>
      <c r="X119" s="10">
        <v>1.502</v>
      </c>
      <c r="Y119" s="10">
        <v>1.518</v>
      </c>
      <c r="AA119" s="37">
        <v>0.83314814814814808</v>
      </c>
      <c r="AB119" s="9">
        <v>1.4770000000000001</v>
      </c>
      <c r="AC119" s="9">
        <v>1.522</v>
      </c>
      <c r="AD119" s="9">
        <v>1.522</v>
      </c>
      <c r="AE119" s="10">
        <v>1.4710000000000001</v>
      </c>
      <c r="AF119" s="10">
        <v>1.5089999999999999</v>
      </c>
      <c r="AG119" s="10">
        <v>1.536</v>
      </c>
    </row>
    <row r="120" spans="1:33" x14ac:dyDescent="0.25">
      <c r="A120" s="42">
        <v>0.55555555555555558</v>
      </c>
      <c r="B120" s="56">
        <v>0.21099999999999999</v>
      </c>
      <c r="C120" s="56">
        <v>0.29199999999999998</v>
      </c>
      <c r="D120" s="56">
        <v>0.27900000000000003</v>
      </c>
      <c r="E120" s="57">
        <v>0.14899999999999999</v>
      </c>
      <c r="F120" s="57">
        <v>0.125</v>
      </c>
      <c r="G120" s="57">
        <v>0.124</v>
      </c>
      <c r="I120" s="42">
        <v>0.55555555555555558</v>
      </c>
      <c r="J120" s="43">
        <v>8.5000000000000006E-2</v>
      </c>
      <c r="K120" s="56">
        <v>0.27700000000000002</v>
      </c>
      <c r="L120" s="56">
        <v>0.254</v>
      </c>
      <c r="M120" s="56">
        <v>0.33</v>
      </c>
      <c r="N120" s="57">
        <v>0.13900000000000001</v>
      </c>
      <c r="O120" s="57">
        <v>0.14000000000000001</v>
      </c>
      <c r="P120" s="57">
        <v>0.14099999999999999</v>
      </c>
      <c r="S120" s="42">
        <v>0.55555555555555558</v>
      </c>
      <c r="T120" s="9">
        <v>1.466</v>
      </c>
      <c r="U120" s="9">
        <v>1.506</v>
      </c>
      <c r="V120" s="9">
        <v>1.52</v>
      </c>
      <c r="W120" s="10">
        <v>1.476</v>
      </c>
      <c r="X120" s="10">
        <v>1.502</v>
      </c>
      <c r="Y120" s="10">
        <v>1.518</v>
      </c>
      <c r="AA120" s="37">
        <v>0.85398148148148145</v>
      </c>
      <c r="AB120" s="9">
        <v>1.476</v>
      </c>
      <c r="AC120" s="9">
        <v>1.526</v>
      </c>
      <c r="AD120" s="9">
        <v>1.522</v>
      </c>
      <c r="AE120" s="10">
        <v>1.4710000000000001</v>
      </c>
      <c r="AF120" s="10">
        <v>1.5089999999999999</v>
      </c>
      <c r="AG120" s="10">
        <v>1.536</v>
      </c>
    </row>
    <row r="121" spans="1:33" x14ac:dyDescent="0.25">
      <c r="A121" s="42">
        <v>0.56944444444444442</v>
      </c>
      <c r="B121" s="56">
        <v>0.24299999999999999</v>
      </c>
      <c r="C121" s="56">
        <v>0.32100000000000001</v>
      </c>
      <c r="D121" s="56">
        <v>0.317</v>
      </c>
      <c r="E121" s="57">
        <v>0.16500000000000001</v>
      </c>
      <c r="F121" s="57">
        <v>0.13500000000000001</v>
      </c>
      <c r="G121" s="57">
        <v>0.13300000000000001</v>
      </c>
      <c r="I121" s="42">
        <v>0.56944444444444442</v>
      </c>
      <c r="J121" s="43">
        <v>8.5999999999999993E-2</v>
      </c>
      <c r="K121" s="56">
        <v>0.31</v>
      </c>
      <c r="L121" s="56">
        <v>0.28799999999999998</v>
      </c>
      <c r="M121" s="56">
        <v>0.378</v>
      </c>
      <c r="N121" s="57">
        <v>0.153</v>
      </c>
      <c r="O121" s="57">
        <v>0.155</v>
      </c>
      <c r="P121" s="57">
        <v>0.156</v>
      </c>
      <c r="S121" s="42">
        <v>0.56944444444444442</v>
      </c>
      <c r="T121" s="9">
        <v>1.4650000000000001</v>
      </c>
      <c r="U121" s="9">
        <v>1.506</v>
      </c>
      <c r="V121" s="9">
        <v>1.5189999999999999</v>
      </c>
      <c r="W121" s="10">
        <v>1.476</v>
      </c>
      <c r="X121" s="10">
        <v>1.502</v>
      </c>
      <c r="Y121" s="10">
        <v>1.518</v>
      </c>
      <c r="AA121" s="37">
        <v>0.87481481481481482</v>
      </c>
      <c r="AB121" s="9">
        <v>1.476</v>
      </c>
      <c r="AC121" s="9">
        <v>1.52</v>
      </c>
      <c r="AD121" s="9">
        <v>1.522</v>
      </c>
      <c r="AE121" s="10">
        <v>1.472</v>
      </c>
      <c r="AF121" s="10">
        <v>1.5089999999999999</v>
      </c>
      <c r="AG121" s="10">
        <v>1.536</v>
      </c>
    </row>
    <row r="122" spans="1:33" x14ac:dyDescent="0.25">
      <c r="A122" s="42">
        <v>0.58333333333333337</v>
      </c>
      <c r="B122" s="56">
        <v>0.28100000000000003</v>
      </c>
      <c r="C122" s="56">
        <v>0.34399999999999997</v>
      </c>
      <c r="D122" s="56">
        <v>0.35399999999999998</v>
      </c>
      <c r="E122" s="57">
        <v>0.184</v>
      </c>
      <c r="F122" s="57">
        <v>0.14699999999999999</v>
      </c>
      <c r="G122" s="57">
        <v>0.14399999999999999</v>
      </c>
      <c r="I122" s="42">
        <v>0.58333333333333337</v>
      </c>
      <c r="J122" s="43">
        <v>8.5000000000000006E-2</v>
      </c>
      <c r="K122" s="56">
        <v>0.35199999999999998</v>
      </c>
      <c r="L122" s="56">
        <v>0.32200000000000001</v>
      </c>
      <c r="M122" s="56">
        <v>0.35</v>
      </c>
      <c r="N122" s="57">
        <v>0.17</v>
      </c>
      <c r="O122" s="57">
        <v>0.17199999999999999</v>
      </c>
      <c r="P122" s="57">
        <v>0.17299999999999999</v>
      </c>
      <c r="S122" s="42">
        <v>0.58333333333333337</v>
      </c>
      <c r="T122" s="9">
        <v>1.464</v>
      </c>
      <c r="U122" s="9">
        <v>1.506</v>
      </c>
      <c r="V122" s="9">
        <v>1.5189999999999999</v>
      </c>
      <c r="W122" s="10">
        <v>1.476</v>
      </c>
      <c r="X122" s="10">
        <v>1.502</v>
      </c>
      <c r="Y122" s="10">
        <v>1.5189999999999999</v>
      </c>
      <c r="AA122" s="37">
        <v>0.89564814814814808</v>
      </c>
      <c r="AB122" s="9">
        <v>1.4770000000000001</v>
      </c>
      <c r="AC122" s="9">
        <v>1.52</v>
      </c>
      <c r="AD122" s="9">
        <v>1.522</v>
      </c>
      <c r="AE122" s="10">
        <v>1.472</v>
      </c>
      <c r="AF122" s="10">
        <v>1.51</v>
      </c>
      <c r="AG122" s="10">
        <v>1.5349999999999999</v>
      </c>
    </row>
    <row r="123" spans="1:33" x14ac:dyDescent="0.25">
      <c r="A123" s="42">
        <v>0.59722222222222221</v>
      </c>
      <c r="B123" s="56">
        <v>0.31900000000000001</v>
      </c>
      <c r="C123" s="56">
        <v>0.378</v>
      </c>
      <c r="D123" s="56">
        <v>0.38400000000000001</v>
      </c>
      <c r="E123" s="57">
        <v>0.20799999999999999</v>
      </c>
      <c r="F123" s="57">
        <v>0.16200000000000001</v>
      </c>
      <c r="G123" s="57">
        <v>0.158</v>
      </c>
      <c r="I123" s="42">
        <v>0.59722222222222221</v>
      </c>
      <c r="J123" s="43">
        <v>8.5000000000000006E-2</v>
      </c>
      <c r="K123" s="56">
        <v>0.47099999999999997</v>
      </c>
      <c r="L123" s="56">
        <v>0.36899999999999999</v>
      </c>
      <c r="M123" s="56">
        <v>0.36399999999999999</v>
      </c>
      <c r="N123" s="57">
        <v>0.191</v>
      </c>
      <c r="O123" s="57">
        <v>0.19500000000000001</v>
      </c>
      <c r="P123" s="57">
        <v>0.19500000000000001</v>
      </c>
      <c r="S123" s="42">
        <v>0.59722222222222221</v>
      </c>
      <c r="T123" s="9">
        <v>1.464</v>
      </c>
      <c r="U123" s="9">
        <v>1.5049999999999999</v>
      </c>
      <c r="V123" s="9">
        <v>1.5189999999999999</v>
      </c>
      <c r="W123" s="10">
        <v>1.476</v>
      </c>
      <c r="X123" s="10">
        <v>1.502</v>
      </c>
      <c r="Y123" s="10">
        <v>1.52</v>
      </c>
      <c r="AA123" s="37">
        <v>0.91648148148148145</v>
      </c>
      <c r="AB123" s="9">
        <v>1.4770000000000001</v>
      </c>
      <c r="AC123" s="9">
        <v>1.5189999999999999</v>
      </c>
      <c r="AD123" s="9">
        <v>1.5229999999999999</v>
      </c>
      <c r="AE123" s="10">
        <v>1.472</v>
      </c>
      <c r="AF123" s="10">
        <v>1.51</v>
      </c>
      <c r="AG123" s="10">
        <v>1.536</v>
      </c>
    </row>
    <row r="124" spans="1:33" x14ac:dyDescent="0.25">
      <c r="A124" s="42">
        <v>0.61111111111111105</v>
      </c>
      <c r="B124" s="56">
        <v>0.35899999999999999</v>
      </c>
      <c r="C124" s="56">
        <v>0.41599999999999998</v>
      </c>
      <c r="D124" s="56">
        <v>0.42299999999999999</v>
      </c>
      <c r="E124" s="57">
        <v>0.23699999999999999</v>
      </c>
      <c r="F124" s="57">
        <v>0.182</v>
      </c>
      <c r="G124" s="57">
        <v>0.17499999999999999</v>
      </c>
      <c r="I124" s="42">
        <v>0.61111111111111105</v>
      </c>
      <c r="J124" s="43">
        <v>8.5000000000000006E-2</v>
      </c>
      <c r="K124" s="56">
        <v>0.46100000000000002</v>
      </c>
      <c r="L124" s="56">
        <v>0.49399999999999999</v>
      </c>
      <c r="M124" s="56">
        <v>0.39800000000000002</v>
      </c>
      <c r="N124" s="57">
        <v>0.216</v>
      </c>
      <c r="O124" s="57">
        <v>0.222</v>
      </c>
      <c r="P124" s="57">
        <v>0.222</v>
      </c>
      <c r="S124" s="42">
        <v>0.61111111111111105</v>
      </c>
      <c r="T124" s="9">
        <v>1.468</v>
      </c>
      <c r="U124" s="9">
        <v>1.5069999999999999</v>
      </c>
      <c r="V124" s="9">
        <v>1.52</v>
      </c>
      <c r="W124" s="10">
        <v>1.4770000000000001</v>
      </c>
      <c r="X124" s="10">
        <v>1.5029999999999999</v>
      </c>
      <c r="Y124" s="10">
        <v>1.52</v>
      </c>
      <c r="AA124" s="37">
        <v>0.93731481481481482</v>
      </c>
      <c r="AB124" s="9">
        <v>1.4770000000000001</v>
      </c>
      <c r="AC124" s="9">
        <v>1.518</v>
      </c>
      <c r="AD124" s="9">
        <v>1.5229999999999999</v>
      </c>
      <c r="AE124" s="10">
        <v>1.472</v>
      </c>
      <c r="AF124" s="10">
        <v>1.51</v>
      </c>
      <c r="AG124" s="10">
        <v>1.536</v>
      </c>
    </row>
    <row r="125" spans="1:33" x14ac:dyDescent="0.25">
      <c r="A125" s="42">
        <v>0.625</v>
      </c>
      <c r="B125" s="56">
        <v>0.40100000000000002</v>
      </c>
      <c r="C125" s="56">
        <v>0.45600000000000002</v>
      </c>
      <c r="D125" s="56">
        <v>0.46600000000000003</v>
      </c>
      <c r="E125" s="57">
        <v>0.26900000000000002</v>
      </c>
      <c r="F125" s="57">
        <v>0.20499999999999999</v>
      </c>
      <c r="G125" s="57">
        <v>0.19600000000000001</v>
      </c>
      <c r="I125" s="42">
        <v>0.625</v>
      </c>
      <c r="J125" s="43">
        <v>8.5000000000000006E-2</v>
      </c>
      <c r="K125" s="56">
        <v>0.438</v>
      </c>
      <c r="L125" s="56">
        <v>0.41899999999999998</v>
      </c>
      <c r="M125" s="56">
        <v>0.435</v>
      </c>
      <c r="N125" s="57">
        <v>0.246</v>
      </c>
      <c r="O125" s="57">
        <v>0.254</v>
      </c>
      <c r="P125" s="57">
        <v>0.251</v>
      </c>
      <c r="AA125" s="37">
        <v>0.95814814814814808</v>
      </c>
      <c r="AB125" s="9">
        <v>1.476</v>
      </c>
      <c r="AC125" s="9">
        <v>1.518</v>
      </c>
      <c r="AD125" s="9">
        <v>1.524</v>
      </c>
      <c r="AE125" s="10">
        <v>1.472</v>
      </c>
      <c r="AF125" s="10">
        <v>1.5109999999999999</v>
      </c>
      <c r="AG125" s="10">
        <v>1.536</v>
      </c>
    </row>
    <row r="126" spans="1:33" x14ac:dyDescent="0.25">
      <c r="A126" s="42">
        <v>0.63888888888888895</v>
      </c>
      <c r="B126" s="56">
        <v>0.443</v>
      </c>
      <c r="C126" s="56">
        <v>0.496</v>
      </c>
      <c r="D126" s="56">
        <v>0.50600000000000001</v>
      </c>
      <c r="E126" s="57">
        <v>0.30299999999999999</v>
      </c>
      <c r="F126" s="57">
        <v>0.23400000000000001</v>
      </c>
      <c r="G126" s="57">
        <v>0.222</v>
      </c>
      <c r="I126" s="42">
        <v>0.63888888888888895</v>
      </c>
      <c r="J126" s="43">
        <v>8.5000000000000006E-2</v>
      </c>
      <c r="K126" s="56">
        <v>0.47199999999999998</v>
      </c>
      <c r="L126" s="56">
        <v>0.44900000000000001</v>
      </c>
      <c r="M126" s="56">
        <v>0.47299999999999998</v>
      </c>
      <c r="N126" s="57">
        <v>0.27800000000000002</v>
      </c>
      <c r="O126" s="57">
        <v>0.29499999999999998</v>
      </c>
      <c r="P126" s="57">
        <v>0.28499999999999998</v>
      </c>
      <c r="AA126" s="37">
        <v>0.97898148148148145</v>
      </c>
      <c r="AB126" s="9">
        <v>1.4790000000000001</v>
      </c>
      <c r="AC126" s="9">
        <v>1.5169999999999999</v>
      </c>
      <c r="AD126" s="9">
        <v>1.524</v>
      </c>
      <c r="AE126" s="10">
        <v>1.472</v>
      </c>
      <c r="AF126" s="10">
        <v>1.5109999999999999</v>
      </c>
      <c r="AG126" s="10">
        <v>1.536</v>
      </c>
    </row>
    <row r="127" spans="1:33" x14ac:dyDescent="0.25">
      <c r="A127" s="42">
        <v>0.65277777777777779</v>
      </c>
      <c r="B127" s="56">
        <v>0.48699999999999999</v>
      </c>
      <c r="C127" s="56">
        <v>0.53600000000000003</v>
      </c>
      <c r="D127" s="56">
        <v>0.54500000000000004</v>
      </c>
      <c r="E127" s="57">
        <v>0.35499999999999998</v>
      </c>
      <c r="F127" s="57">
        <v>0.26700000000000002</v>
      </c>
      <c r="G127" s="57">
        <v>0.254</v>
      </c>
      <c r="I127" s="42">
        <v>0.65277777777777779</v>
      </c>
      <c r="J127" s="43">
        <v>8.5999999999999993E-2</v>
      </c>
      <c r="K127" s="56">
        <v>0.505</v>
      </c>
      <c r="L127" s="56">
        <v>0.48399999999999999</v>
      </c>
      <c r="M127" s="56">
        <v>0.51200000000000001</v>
      </c>
      <c r="N127" s="57">
        <v>0.317</v>
      </c>
      <c r="O127" s="57">
        <v>0.35599999999999998</v>
      </c>
      <c r="P127" s="57">
        <v>0.34899999999999998</v>
      </c>
      <c r="AA127" s="37">
        <v>0.99981481481481482</v>
      </c>
      <c r="AB127" s="9">
        <v>1.4790000000000001</v>
      </c>
      <c r="AC127" s="9">
        <v>1.5169999999999999</v>
      </c>
      <c r="AD127" s="9">
        <v>1.5249999999999999</v>
      </c>
      <c r="AE127" s="10">
        <v>1.472</v>
      </c>
      <c r="AF127" s="10">
        <v>1.512</v>
      </c>
      <c r="AG127" s="10">
        <v>1.536</v>
      </c>
    </row>
    <row r="128" spans="1:33" x14ac:dyDescent="0.25">
      <c r="A128" s="42">
        <v>0.66666666666666663</v>
      </c>
      <c r="B128" s="56">
        <v>0.53300000000000003</v>
      </c>
      <c r="C128" s="56">
        <v>0.57299999999999995</v>
      </c>
      <c r="D128" s="56">
        <v>0.58499999999999996</v>
      </c>
      <c r="E128" s="57">
        <v>0.47299999999999998</v>
      </c>
      <c r="F128" s="57">
        <v>0.30099999999999999</v>
      </c>
      <c r="G128" s="57">
        <v>0.28899999999999998</v>
      </c>
      <c r="I128" s="42">
        <v>0.66666666666666663</v>
      </c>
      <c r="J128" s="43">
        <v>8.5000000000000006E-2</v>
      </c>
      <c r="K128" s="56">
        <v>0.53900000000000003</v>
      </c>
      <c r="L128" s="56">
        <v>0.51800000000000002</v>
      </c>
      <c r="M128" s="56">
        <v>0.55000000000000004</v>
      </c>
      <c r="N128" s="57">
        <v>0.36599999999999999</v>
      </c>
      <c r="O128" s="57">
        <v>0.39500000000000002</v>
      </c>
      <c r="P128" s="57">
        <v>0.38</v>
      </c>
      <c r="AA128" s="39">
        <v>1.0206481481481482</v>
      </c>
      <c r="AB128" s="9">
        <v>1.4790000000000001</v>
      </c>
      <c r="AC128" s="9">
        <v>1.516</v>
      </c>
      <c r="AD128" s="9">
        <v>1.5249999999999999</v>
      </c>
      <c r="AE128" s="10">
        <v>1.4730000000000001</v>
      </c>
      <c r="AF128" s="10">
        <v>1.512</v>
      </c>
      <c r="AG128" s="10">
        <v>1.536</v>
      </c>
    </row>
    <row r="129" spans="1:33" x14ac:dyDescent="0.25">
      <c r="A129" s="42">
        <v>0.68055555555555547</v>
      </c>
      <c r="B129" s="56">
        <v>0.57599999999999996</v>
      </c>
      <c r="C129" s="56">
        <v>0.61599999999999999</v>
      </c>
      <c r="D129" s="56">
        <v>0.626</v>
      </c>
      <c r="E129" s="57">
        <v>0.4</v>
      </c>
      <c r="F129" s="57">
        <v>0.35</v>
      </c>
      <c r="G129" s="57">
        <v>0.32900000000000001</v>
      </c>
      <c r="I129" s="42">
        <v>0.68055555555555547</v>
      </c>
      <c r="J129" s="43">
        <v>8.5000000000000006E-2</v>
      </c>
      <c r="K129" s="56">
        <v>0.57499999999999996</v>
      </c>
      <c r="L129" s="56">
        <v>0.55200000000000005</v>
      </c>
      <c r="M129" s="56">
        <v>0.58799999999999997</v>
      </c>
      <c r="N129" s="57">
        <v>0.374</v>
      </c>
      <c r="O129" s="57">
        <v>0.38</v>
      </c>
      <c r="P129" s="57">
        <v>0.377</v>
      </c>
      <c r="AA129" s="39">
        <v>1.0414814814814815</v>
      </c>
      <c r="AB129" s="9">
        <v>1.478</v>
      </c>
      <c r="AC129" s="9">
        <v>1.5149999999999999</v>
      </c>
      <c r="AD129" s="9">
        <v>1.526</v>
      </c>
      <c r="AE129" s="10">
        <v>1.4730000000000001</v>
      </c>
      <c r="AF129" s="10">
        <v>1.5129999999999999</v>
      </c>
      <c r="AG129" s="10">
        <v>1.536</v>
      </c>
    </row>
    <row r="130" spans="1:33" x14ac:dyDescent="0.25">
      <c r="A130" s="42">
        <v>0.69444444444444453</v>
      </c>
      <c r="B130" s="56">
        <v>0.61599999999999999</v>
      </c>
      <c r="C130" s="56">
        <v>0.65400000000000003</v>
      </c>
      <c r="D130" s="56">
        <v>0.66300000000000003</v>
      </c>
      <c r="E130" s="57">
        <v>0.434</v>
      </c>
      <c r="F130" s="57">
        <v>0.40100000000000002</v>
      </c>
      <c r="G130" s="57">
        <v>0.39100000000000001</v>
      </c>
      <c r="I130" s="42">
        <v>0.69444444444444453</v>
      </c>
      <c r="J130" s="43">
        <v>8.5000000000000006E-2</v>
      </c>
      <c r="K130" s="56">
        <v>0.61</v>
      </c>
      <c r="L130" s="56">
        <v>0.58699999999999997</v>
      </c>
      <c r="M130" s="56">
        <v>0.625</v>
      </c>
      <c r="N130" s="57">
        <v>0.40200000000000002</v>
      </c>
      <c r="O130" s="57">
        <v>0.40699999999999997</v>
      </c>
      <c r="P130" s="57">
        <v>0.41</v>
      </c>
      <c r="AA130" s="39">
        <v>1.0623148148148147</v>
      </c>
      <c r="AB130" s="9">
        <v>1.4790000000000001</v>
      </c>
      <c r="AC130" s="9">
        <v>1.5149999999999999</v>
      </c>
      <c r="AD130" s="9">
        <v>1.526</v>
      </c>
      <c r="AE130" s="10">
        <v>1.474</v>
      </c>
      <c r="AF130" s="10">
        <v>1.5129999999999999</v>
      </c>
      <c r="AG130" s="10">
        <v>1.536</v>
      </c>
    </row>
    <row r="131" spans="1:33" x14ac:dyDescent="0.25">
      <c r="A131" s="42">
        <v>0.70833333333333337</v>
      </c>
      <c r="B131" s="56">
        <v>0.65400000000000003</v>
      </c>
      <c r="C131" s="56">
        <v>0.68700000000000006</v>
      </c>
      <c r="D131" s="56">
        <v>0.69299999999999995</v>
      </c>
      <c r="E131" s="57">
        <v>0.47</v>
      </c>
      <c r="F131" s="57">
        <v>0.39800000000000002</v>
      </c>
      <c r="G131" s="57">
        <v>0.38700000000000001</v>
      </c>
      <c r="I131" s="42">
        <v>0.70833333333333337</v>
      </c>
      <c r="J131" s="43">
        <v>8.5000000000000006E-2</v>
      </c>
      <c r="K131" s="56">
        <v>0.64</v>
      </c>
      <c r="L131" s="56">
        <v>0.62</v>
      </c>
      <c r="M131" s="56">
        <v>0.65700000000000003</v>
      </c>
      <c r="N131" s="57">
        <v>0.438</v>
      </c>
      <c r="O131" s="57">
        <v>0.442</v>
      </c>
      <c r="P131" s="57">
        <v>0.443</v>
      </c>
      <c r="AA131" s="39">
        <v>1.0831481481481482</v>
      </c>
      <c r="AB131" s="9">
        <v>1.4790000000000001</v>
      </c>
      <c r="AC131" s="9">
        <v>1.514</v>
      </c>
      <c r="AD131" s="9">
        <v>1.526</v>
      </c>
      <c r="AE131" s="10">
        <v>1.474</v>
      </c>
      <c r="AF131" s="10">
        <v>1.514</v>
      </c>
      <c r="AG131" s="10">
        <v>1.536</v>
      </c>
    </row>
    <row r="132" spans="1:33" x14ac:dyDescent="0.25">
      <c r="A132" s="42">
        <v>0.72222222222222221</v>
      </c>
      <c r="B132" s="56">
        <v>0.68899999999999995</v>
      </c>
      <c r="C132" s="56">
        <v>0.71699999999999997</v>
      </c>
      <c r="D132" s="56">
        <v>0.72</v>
      </c>
      <c r="E132" s="57">
        <v>0.50600000000000001</v>
      </c>
      <c r="F132" s="57">
        <v>0.432</v>
      </c>
      <c r="G132" s="57">
        <v>0.41899999999999998</v>
      </c>
      <c r="I132" s="42">
        <v>0.72222222222222221</v>
      </c>
      <c r="J132" s="43">
        <v>8.5000000000000006E-2</v>
      </c>
      <c r="K132" s="56">
        <v>0.66400000000000003</v>
      </c>
      <c r="L132" s="56">
        <v>0.65100000000000002</v>
      </c>
      <c r="M132" s="56">
        <v>0.68799999999999994</v>
      </c>
      <c r="N132" s="57">
        <v>0.47399999999999998</v>
      </c>
      <c r="O132" s="57">
        <v>0.47699999999999998</v>
      </c>
      <c r="P132" s="57">
        <v>0.47799999999999998</v>
      </c>
      <c r="AA132" s="39">
        <v>1.1039814814814815</v>
      </c>
      <c r="AB132" s="9">
        <v>1.4790000000000001</v>
      </c>
      <c r="AC132" s="9">
        <v>1.514</v>
      </c>
      <c r="AD132" s="9">
        <v>1.5269999999999999</v>
      </c>
      <c r="AE132" s="10">
        <v>1.474</v>
      </c>
      <c r="AF132" s="10">
        <v>1.514</v>
      </c>
      <c r="AG132" s="10">
        <v>1.536</v>
      </c>
    </row>
    <row r="133" spans="1:33" x14ac:dyDescent="0.25">
      <c r="A133" s="42">
        <v>0.73611111111111116</v>
      </c>
      <c r="B133" s="56">
        <v>0.71899999999999997</v>
      </c>
      <c r="C133" s="56">
        <v>0.74099999999999999</v>
      </c>
      <c r="D133" s="56">
        <v>0.74199999999999999</v>
      </c>
      <c r="E133" s="57">
        <v>0.54300000000000004</v>
      </c>
      <c r="F133" s="57">
        <v>0.46800000000000003</v>
      </c>
      <c r="G133" s="57">
        <v>0.45500000000000002</v>
      </c>
      <c r="I133" s="42">
        <v>0.73611111111111116</v>
      </c>
      <c r="J133" s="43">
        <v>8.5000000000000006E-2</v>
      </c>
      <c r="K133" s="56">
        <v>0.68500000000000005</v>
      </c>
      <c r="L133" s="56">
        <v>0.67700000000000005</v>
      </c>
      <c r="M133" s="56">
        <v>0.71299999999999997</v>
      </c>
      <c r="N133" s="57">
        <v>0.50900000000000001</v>
      </c>
      <c r="O133" s="57">
        <v>0.51100000000000001</v>
      </c>
      <c r="P133" s="57">
        <v>0.51100000000000001</v>
      </c>
      <c r="AA133" s="39">
        <v>1.1248148148148147</v>
      </c>
      <c r="AB133" s="9">
        <v>1.48</v>
      </c>
      <c r="AC133" s="9">
        <v>1.512</v>
      </c>
      <c r="AD133" s="9">
        <v>1.528</v>
      </c>
      <c r="AE133" s="10">
        <v>1.474</v>
      </c>
      <c r="AF133" s="10">
        <v>1.514</v>
      </c>
      <c r="AG133" s="10">
        <v>1.536</v>
      </c>
    </row>
    <row r="134" spans="1:33" x14ac:dyDescent="0.25">
      <c r="A134" s="42">
        <v>0.75</v>
      </c>
      <c r="B134" s="56">
        <v>0.745</v>
      </c>
      <c r="C134" s="56">
        <v>0.76300000000000001</v>
      </c>
      <c r="D134" s="56">
        <v>0.76100000000000001</v>
      </c>
      <c r="E134" s="57">
        <v>0.57899999999999996</v>
      </c>
      <c r="F134" s="57">
        <v>0.505</v>
      </c>
      <c r="G134" s="57">
        <v>0.49199999999999999</v>
      </c>
      <c r="I134" s="42">
        <v>0.75</v>
      </c>
      <c r="J134" s="43">
        <v>8.5999999999999993E-2</v>
      </c>
      <c r="K134" s="56">
        <v>0.70499999999999996</v>
      </c>
      <c r="L134" s="56">
        <v>0.70099999999999996</v>
      </c>
      <c r="M134" s="56">
        <v>0.73499999999999999</v>
      </c>
      <c r="N134" s="57">
        <v>0.54400000000000004</v>
      </c>
      <c r="O134" s="57">
        <v>0.54500000000000004</v>
      </c>
      <c r="P134" s="57">
        <v>0.54200000000000004</v>
      </c>
      <c r="AA134" s="39">
        <v>1.1456481481481482</v>
      </c>
      <c r="AB134" s="9">
        <v>1.48</v>
      </c>
      <c r="AC134" s="9">
        <v>1.51</v>
      </c>
      <c r="AD134" s="9">
        <v>1.528</v>
      </c>
      <c r="AE134" s="10">
        <v>1.474</v>
      </c>
      <c r="AF134" s="10">
        <v>1.514</v>
      </c>
      <c r="AG134" s="10">
        <v>1.536</v>
      </c>
    </row>
    <row r="135" spans="1:33" x14ac:dyDescent="0.25">
      <c r="A135" s="42">
        <v>0.76388888888888884</v>
      </c>
      <c r="B135" s="56">
        <v>0.76700000000000002</v>
      </c>
      <c r="C135" s="56">
        <v>0.78200000000000003</v>
      </c>
      <c r="D135" s="56">
        <v>0.77800000000000002</v>
      </c>
      <c r="E135" s="57">
        <v>0.61499999999999999</v>
      </c>
      <c r="F135" s="57">
        <v>0.54200000000000004</v>
      </c>
      <c r="G135" s="57">
        <v>0.52900000000000003</v>
      </c>
      <c r="I135" s="42">
        <v>0.76388888888888884</v>
      </c>
      <c r="J135" s="43">
        <v>8.5999999999999993E-2</v>
      </c>
      <c r="K135" s="56">
        <v>0.72199999999999998</v>
      </c>
      <c r="L135" s="56">
        <v>0.72099999999999997</v>
      </c>
      <c r="M135" s="56">
        <v>0.753</v>
      </c>
      <c r="N135" s="57">
        <v>0.57899999999999996</v>
      </c>
      <c r="O135" s="57">
        <v>0.58199999999999996</v>
      </c>
      <c r="P135" s="57">
        <v>0.57199999999999995</v>
      </c>
      <c r="AA135" s="39">
        <v>1.1664814814814815</v>
      </c>
      <c r="AB135" s="9">
        <v>1.48</v>
      </c>
      <c r="AC135" s="9">
        <v>1.5089999999999999</v>
      </c>
      <c r="AD135" s="9">
        <v>1.528</v>
      </c>
      <c r="AE135" s="10">
        <v>1.474</v>
      </c>
      <c r="AF135" s="10">
        <v>1.5149999999999999</v>
      </c>
      <c r="AG135" s="10">
        <v>1.5369999999999999</v>
      </c>
    </row>
    <row r="136" spans="1:33" x14ac:dyDescent="0.25">
      <c r="A136" s="42">
        <v>0.77777777777777779</v>
      </c>
      <c r="B136" s="56">
        <v>0.79</v>
      </c>
      <c r="C136" s="56">
        <v>0.8</v>
      </c>
      <c r="D136" s="56">
        <v>0.79100000000000004</v>
      </c>
      <c r="E136" s="57">
        <v>0.65200000000000002</v>
      </c>
      <c r="F136" s="57">
        <v>0.57999999999999996</v>
      </c>
      <c r="G136" s="57">
        <v>0.56699999999999995</v>
      </c>
      <c r="I136" s="42">
        <v>0.77777777777777779</v>
      </c>
      <c r="J136" s="43">
        <v>8.5000000000000006E-2</v>
      </c>
      <c r="K136" s="56">
        <v>0.73699999999999999</v>
      </c>
      <c r="L136" s="56">
        <v>0.74</v>
      </c>
      <c r="M136" s="56">
        <v>0.77100000000000002</v>
      </c>
      <c r="N136" s="57">
        <v>0.61199999999999999</v>
      </c>
      <c r="O136" s="57">
        <v>0.61499999999999999</v>
      </c>
      <c r="P136" s="57">
        <v>0.60199999999999998</v>
      </c>
      <c r="AA136" s="39">
        <v>1.1873148148148147</v>
      </c>
      <c r="AB136" s="9">
        <v>1.48</v>
      </c>
      <c r="AC136" s="9">
        <v>1.5069999999999999</v>
      </c>
      <c r="AD136" s="9">
        <v>1.5289999999999999</v>
      </c>
      <c r="AE136" s="10">
        <v>1.474</v>
      </c>
      <c r="AF136" s="10">
        <v>1.5149999999999999</v>
      </c>
      <c r="AG136" s="10">
        <v>1.538</v>
      </c>
    </row>
    <row r="137" spans="1:33" x14ac:dyDescent="0.25">
      <c r="A137" s="42">
        <v>0.79166666666666663</v>
      </c>
      <c r="B137" s="56">
        <v>0.81200000000000006</v>
      </c>
      <c r="C137" s="56">
        <v>0.81599999999999995</v>
      </c>
      <c r="D137" s="56">
        <v>0.80400000000000005</v>
      </c>
      <c r="E137" s="57">
        <v>0.68500000000000005</v>
      </c>
      <c r="F137" s="57">
        <v>0.61699999999999999</v>
      </c>
      <c r="G137" s="57">
        <v>0.60399999999999998</v>
      </c>
      <c r="I137" s="42">
        <v>0.79166666666666663</v>
      </c>
      <c r="J137" s="43">
        <v>8.5000000000000006E-2</v>
      </c>
      <c r="K137" s="56">
        <v>0.751</v>
      </c>
      <c r="L137" s="56">
        <v>0.75700000000000001</v>
      </c>
      <c r="M137" s="56">
        <v>0.78700000000000003</v>
      </c>
      <c r="N137" s="57">
        <v>0.64500000000000002</v>
      </c>
      <c r="O137" s="57">
        <v>0.64700000000000002</v>
      </c>
      <c r="P137" s="57">
        <v>0.63700000000000001</v>
      </c>
      <c r="AA137" s="39">
        <v>1.2081481481481482</v>
      </c>
      <c r="AB137" s="9">
        <v>1.4810000000000001</v>
      </c>
      <c r="AC137" s="9">
        <v>1.5049999999999999</v>
      </c>
      <c r="AD137" s="9">
        <v>1.5289999999999999</v>
      </c>
      <c r="AE137" s="10">
        <v>1.474</v>
      </c>
      <c r="AF137" s="10">
        <v>1.5149999999999999</v>
      </c>
      <c r="AG137" s="10">
        <v>1.538</v>
      </c>
    </row>
    <row r="138" spans="1:33" x14ac:dyDescent="0.25">
      <c r="A138" s="42">
        <v>0.80555555555555547</v>
      </c>
      <c r="B138" s="56">
        <v>0.83299999999999996</v>
      </c>
      <c r="C138" s="56">
        <v>0.83299999999999996</v>
      </c>
      <c r="D138" s="56">
        <v>0.81699999999999995</v>
      </c>
      <c r="E138" s="57">
        <v>0.71199999999999997</v>
      </c>
      <c r="F138" s="57">
        <v>0.65400000000000003</v>
      </c>
      <c r="G138" s="57">
        <v>0.64</v>
      </c>
      <c r="I138" s="42">
        <v>0.80555555555555547</v>
      </c>
      <c r="J138" s="43">
        <v>8.5000000000000006E-2</v>
      </c>
      <c r="K138" s="56">
        <v>0.76300000000000001</v>
      </c>
      <c r="L138" s="56">
        <v>0.77400000000000002</v>
      </c>
      <c r="M138" s="56">
        <v>0.80100000000000005</v>
      </c>
      <c r="N138" s="57">
        <v>0.67500000000000004</v>
      </c>
      <c r="O138" s="57">
        <v>0.67800000000000005</v>
      </c>
      <c r="P138" s="57">
        <v>0.67300000000000004</v>
      </c>
      <c r="AA138" s="39">
        <v>1.2289814814814815</v>
      </c>
      <c r="AB138" s="9">
        <v>1.4810000000000001</v>
      </c>
      <c r="AC138" s="9">
        <v>1.504</v>
      </c>
      <c r="AD138" s="9">
        <v>1.5289999999999999</v>
      </c>
      <c r="AE138" s="10">
        <v>1.474</v>
      </c>
      <c r="AF138" s="10">
        <v>1.5149999999999999</v>
      </c>
      <c r="AG138" s="10">
        <v>1.5369999999999999</v>
      </c>
    </row>
    <row r="139" spans="1:33" x14ac:dyDescent="0.25">
      <c r="A139" s="42">
        <v>0.81944444444444453</v>
      </c>
      <c r="B139" s="56">
        <v>0.85199999999999998</v>
      </c>
      <c r="C139" s="56">
        <v>0.84699999999999998</v>
      </c>
      <c r="D139" s="56">
        <v>0.82799999999999996</v>
      </c>
      <c r="E139" s="57">
        <v>0.73399999999999999</v>
      </c>
      <c r="F139" s="57">
        <v>0.68600000000000005</v>
      </c>
      <c r="G139" s="57">
        <v>0.67500000000000004</v>
      </c>
      <c r="I139" s="42">
        <v>0.81944444444444453</v>
      </c>
      <c r="J139" s="43">
        <v>8.5000000000000006E-2</v>
      </c>
      <c r="K139" s="56">
        <v>0.77500000000000002</v>
      </c>
      <c r="L139" s="56">
        <v>0.78800000000000003</v>
      </c>
      <c r="M139" s="56">
        <v>0.81399999999999995</v>
      </c>
      <c r="N139" s="57">
        <v>0.70199999999999996</v>
      </c>
      <c r="O139" s="57">
        <v>0.70599999999999996</v>
      </c>
      <c r="P139" s="57">
        <v>0.70199999999999996</v>
      </c>
      <c r="AA139" s="39">
        <v>1.2498148148148147</v>
      </c>
      <c r="AB139" s="9">
        <v>1.48</v>
      </c>
      <c r="AC139" s="9">
        <v>1.5</v>
      </c>
      <c r="AD139" s="9">
        <v>1.5289999999999999</v>
      </c>
      <c r="AE139" s="10">
        <v>1.474</v>
      </c>
      <c r="AF139" s="10">
        <v>1.5149999999999999</v>
      </c>
      <c r="AG139" s="10">
        <v>1.5369999999999999</v>
      </c>
    </row>
    <row r="140" spans="1:33" x14ac:dyDescent="0.25">
      <c r="A140" s="42">
        <v>0.83333333333333337</v>
      </c>
      <c r="B140" s="56">
        <v>0.86899999999999999</v>
      </c>
      <c r="C140" s="56">
        <v>0.86099999999999999</v>
      </c>
      <c r="D140" s="56">
        <v>0.83799999999999997</v>
      </c>
      <c r="E140" s="57">
        <v>0.754</v>
      </c>
      <c r="F140" s="57">
        <v>0.71299999999999997</v>
      </c>
      <c r="G140" s="57">
        <v>0.70599999999999996</v>
      </c>
      <c r="I140" s="42">
        <v>0.83333333333333337</v>
      </c>
      <c r="J140" s="43">
        <v>8.5000000000000006E-2</v>
      </c>
      <c r="K140" s="56">
        <v>0.78500000000000003</v>
      </c>
      <c r="L140" s="56">
        <v>0.80200000000000005</v>
      </c>
      <c r="M140" s="56">
        <v>0.82699999999999996</v>
      </c>
      <c r="N140" s="57">
        <v>0.72599999999999998</v>
      </c>
      <c r="O140" s="57">
        <v>0.73</v>
      </c>
      <c r="P140" s="57">
        <v>0.72599999999999998</v>
      </c>
      <c r="AA140" s="39">
        <v>1.2706481481481482</v>
      </c>
      <c r="AB140" s="9">
        <v>1.48</v>
      </c>
      <c r="AC140" s="9">
        <v>1.496</v>
      </c>
      <c r="AD140" s="9">
        <v>1.53</v>
      </c>
      <c r="AE140" s="10">
        <v>1.474</v>
      </c>
      <c r="AF140" s="10">
        <v>1.5149999999999999</v>
      </c>
      <c r="AG140" s="10">
        <v>1.5369999999999999</v>
      </c>
    </row>
    <row r="141" spans="1:33" x14ac:dyDescent="0.25">
      <c r="A141" s="42">
        <v>0.84722222222222221</v>
      </c>
      <c r="B141" s="56">
        <v>0.88600000000000001</v>
      </c>
      <c r="C141" s="56">
        <v>0.873</v>
      </c>
      <c r="D141" s="56">
        <v>0.84799999999999998</v>
      </c>
      <c r="E141" s="57">
        <v>0.77300000000000002</v>
      </c>
      <c r="F141" s="57">
        <v>0.73599999999999999</v>
      </c>
      <c r="G141" s="57">
        <v>0.73099999999999998</v>
      </c>
      <c r="AA141" s="39">
        <v>1.2914814814814815</v>
      </c>
      <c r="AB141" s="9">
        <v>1.4810000000000001</v>
      </c>
      <c r="AC141" s="9">
        <v>1.4930000000000001</v>
      </c>
      <c r="AD141" s="9">
        <v>1.53</v>
      </c>
      <c r="AE141" s="10">
        <v>1.474</v>
      </c>
      <c r="AF141" s="10">
        <v>1.5149999999999999</v>
      </c>
      <c r="AG141" s="10">
        <v>1.538</v>
      </c>
    </row>
    <row r="142" spans="1:33" x14ac:dyDescent="0.25">
      <c r="A142" s="42">
        <v>0.86111111111111116</v>
      </c>
      <c r="B142" s="56">
        <v>0.89900000000000002</v>
      </c>
      <c r="C142" s="56">
        <v>0.88500000000000001</v>
      </c>
      <c r="D142" s="56">
        <v>0.85799999999999998</v>
      </c>
      <c r="E142" s="57">
        <v>0.79100000000000004</v>
      </c>
      <c r="F142" s="57">
        <v>0.755</v>
      </c>
      <c r="G142" s="57">
        <v>0.752</v>
      </c>
      <c r="AA142" s="39">
        <v>1.3123148148148147</v>
      </c>
      <c r="AB142" s="9">
        <v>1.4810000000000001</v>
      </c>
      <c r="AC142" s="9">
        <v>1.4930000000000001</v>
      </c>
      <c r="AD142" s="9">
        <v>1.53</v>
      </c>
      <c r="AE142" s="10">
        <v>1.474</v>
      </c>
      <c r="AF142" s="10">
        <v>1.5149999999999999</v>
      </c>
      <c r="AG142" s="10">
        <v>1.5369999999999999</v>
      </c>
    </row>
    <row r="143" spans="1:33" x14ac:dyDescent="0.25">
      <c r="A143" s="42">
        <v>0.875</v>
      </c>
      <c r="B143" s="56">
        <v>0.91200000000000003</v>
      </c>
      <c r="C143" s="56">
        <v>0.89600000000000002</v>
      </c>
      <c r="D143" s="56">
        <v>0.86699999999999999</v>
      </c>
      <c r="E143" s="57">
        <v>0.80700000000000005</v>
      </c>
      <c r="F143" s="57">
        <v>0.77400000000000002</v>
      </c>
      <c r="G143" s="57">
        <v>0.77300000000000002</v>
      </c>
      <c r="AA143" s="39">
        <v>1.3331481481481482</v>
      </c>
      <c r="AB143" s="9">
        <v>1.4810000000000001</v>
      </c>
      <c r="AC143" s="9">
        <v>1.492</v>
      </c>
      <c r="AD143" s="9">
        <v>1.53</v>
      </c>
      <c r="AE143" s="10">
        <v>1.474</v>
      </c>
      <c r="AF143" s="10">
        <v>1.5149999999999999</v>
      </c>
      <c r="AG143" s="10">
        <v>1.538</v>
      </c>
    </row>
    <row r="144" spans="1:33" x14ac:dyDescent="0.25">
      <c r="A144" s="42">
        <v>0.88888888888888884</v>
      </c>
      <c r="B144" s="56">
        <v>0.92600000000000005</v>
      </c>
      <c r="C144" s="56">
        <v>0.90700000000000003</v>
      </c>
      <c r="D144" s="56">
        <v>0.877</v>
      </c>
      <c r="E144" s="57">
        <v>0.82199999999999995</v>
      </c>
      <c r="F144" s="57">
        <v>0.79200000000000004</v>
      </c>
      <c r="G144" s="57">
        <v>0.79400000000000004</v>
      </c>
      <c r="AA144" s="39">
        <v>1.3539814814814815</v>
      </c>
      <c r="AB144" s="9">
        <v>1.4810000000000001</v>
      </c>
      <c r="AC144" s="9">
        <v>1.4930000000000001</v>
      </c>
      <c r="AD144" s="9">
        <v>1.53</v>
      </c>
      <c r="AE144" s="10">
        <v>1.474</v>
      </c>
      <c r="AF144" s="10">
        <v>1.5149999999999999</v>
      </c>
      <c r="AG144" s="10">
        <v>1.5369999999999999</v>
      </c>
    </row>
    <row r="145" spans="1:33" x14ac:dyDescent="0.25">
      <c r="A145" s="42">
        <v>0.90277777777777779</v>
      </c>
      <c r="B145" s="56">
        <v>0.93600000000000005</v>
      </c>
      <c r="C145" s="56">
        <v>0.91600000000000004</v>
      </c>
      <c r="D145" s="56">
        <v>0.88400000000000001</v>
      </c>
      <c r="E145" s="57">
        <v>0.83399999999999996</v>
      </c>
      <c r="F145" s="57">
        <v>0.81100000000000005</v>
      </c>
      <c r="G145" s="57">
        <v>0.81299999999999994</v>
      </c>
      <c r="AA145" s="39">
        <v>1.3748148148148147</v>
      </c>
      <c r="AB145" s="9">
        <v>1.482</v>
      </c>
      <c r="AC145" s="9">
        <v>1.4930000000000001</v>
      </c>
      <c r="AD145" s="9">
        <v>1.53</v>
      </c>
      <c r="AE145" s="10">
        <v>1.4730000000000001</v>
      </c>
      <c r="AF145" s="10">
        <v>1.5149999999999999</v>
      </c>
      <c r="AG145" s="10">
        <v>1.538</v>
      </c>
    </row>
    <row r="146" spans="1:33" x14ac:dyDescent="0.25">
      <c r="A146" s="42">
        <v>0.91666666666666663</v>
      </c>
      <c r="B146" s="56">
        <v>0.94799999999999995</v>
      </c>
      <c r="C146" s="56">
        <v>0.92600000000000005</v>
      </c>
      <c r="D146" s="56">
        <v>0.89300000000000002</v>
      </c>
      <c r="E146" s="57">
        <v>0.84799999999999998</v>
      </c>
      <c r="F146" s="57">
        <v>0.82699999999999996</v>
      </c>
      <c r="G146" s="57">
        <v>0.83</v>
      </c>
      <c r="AA146" s="39">
        <v>1.3956481481481482</v>
      </c>
      <c r="AB146" s="9">
        <v>1.4810000000000001</v>
      </c>
      <c r="AC146" s="9">
        <v>1.494</v>
      </c>
      <c r="AD146" s="9">
        <v>1.53</v>
      </c>
      <c r="AE146" s="10">
        <v>1.4730000000000001</v>
      </c>
      <c r="AF146" s="10">
        <v>1.514</v>
      </c>
      <c r="AG146" s="10">
        <v>1.5369999999999999</v>
      </c>
    </row>
    <row r="147" spans="1:33" x14ac:dyDescent="0.25">
      <c r="A147" s="42">
        <v>0.93055555555555547</v>
      </c>
      <c r="B147" s="56">
        <v>0.95499999999999996</v>
      </c>
      <c r="C147" s="56">
        <v>0.93400000000000005</v>
      </c>
      <c r="D147" s="56">
        <v>0.89900000000000002</v>
      </c>
      <c r="E147" s="57">
        <v>0.86</v>
      </c>
      <c r="F147" s="57">
        <v>0.84199999999999997</v>
      </c>
      <c r="G147" s="57">
        <v>0.84699999999999998</v>
      </c>
      <c r="AA147" s="39">
        <v>1.4164814814814815</v>
      </c>
      <c r="AB147" s="9">
        <v>1.482</v>
      </c>
      <c r="AC147" s="9">
        <v>1.4930000000000001</v>
      </c>
      <c r="AD147" s="9">
        <v>1.5309999999999999</v>
      </c>
      <c r="AE147" s="10">
        <v>1.4730000000000001</v>
      </c>
      <c r="AF147" s="10">
        <v>1.514</v>
      </c>
      <c r="AG147" s="10">
        <v>1.5369999999999999</v>
      </c>
    </row>
    <row r="148" spans="1:33" x14ac:dyDescent="0.25">
      <c r="A148" s="42">
        <v>0.94444444444444453</v>
      </c>
      <c r="B148" s="56">
        <v>0.96599999999999997</v>
      </c>
      <c r="C148" s="56">
        <v>0.94399999999999995</v>
      </c>
      <c r="D148" s="56">
        <v>0.90700000000000003</v>
      </c>
      <c r="E148" s="57">
        <v>0.874</v>
      </c>
      <c r="F148" s="57">
        <v>0.85499999999999998</v>
      </c>
      <c r="G148" s="57">
        <v>0.86199999999999999</v>
      </c>
      <c r="AA148" s="39">
        <v>1.4373148148148147</v>
      </c>
      <c r="AB148" s="9">
        <v>1.4810000000000001</v>
      </c>
      <c r="AC148" s="9">
        <v>1.4930000000000001</v>
      </c>
      <c r="AD148" s="9">
        <v>1.5309999999999999</v>
      </c>
      <c r="AE148" s="10">
        <v>1.474</v>
      </c>
      <c r="AF148" s="10">
        <v>1.514</v>
      </c>
      <c r="AG148" s="10">
        <v>1.536</v>
      </c>
    </row>
    <row r="149" spans="1:33" x14ac:dyDescent="0.25">
      <c r="A149" s="42">
        <v>0.95833333333333337</v>
      </c>
      <c r="B149" s="56">
        <v>0.97199999999999998</v>
      </c>
      <c r="C149" s="56">
        <v>0.94899999999999995</v>
      </c>
      <c r="D149" s="56">
        <v>0.91300000000000003</v>
      </c>
      <c r="E149" s="57">
        <v>0.88300000000000001</v>
      </c>
      <c r="F149" s="57">
        <v>0.86699999999999999</v>
      </c>
      <c r="G149" s="57">
        <v>0.875</v>
      </c>
      <c r="AA149" s="39">
        <v>1.4581481481481482</v>
      </c>
      <c r="AB149" s="9">
        <v>1.4810000000000001</v>
      </c>
      <c r="AC149" s="9">
        <v>1.494</v>
      </c>
      <c r="AD149" s="9">
        <v>1.5309999999999999</v>
      </c>
      <c r="AE149" s="10">
        <v>1.4730000000000001</v>
      </c>
      <c r="AF149" s="10">
        <v>1.514</v>
      </c>
      <c r="AG149" s="10">
        <v>1.536</v>
      </c>
    </row>
    <row r="150" spans="1:33" x14ac:dyDescent="0.25">
      <c r="A150" s="42">
        <v>0.97222222222222221</v>
      </c>
      <c r="B150" s="56">
        <v>0.98099999999999998</v>
      </c>
      <c r="C150" s="56">
        <v>0.95799999999999996</v>
      </c>
      <c r="D150" s="56">
        <v>0.92</v>
      </c>
      <c r="E150" s="57">
        <v>0.89500000000000002</v>
      </c>
      <c r="F150" s="57">
        <v>0.88100000000000001</v>
      </c>
      <c r="G150" s="57">
        <v>0.88800000000000001</v>
      </c>
      <c r="AA150" s="39">
        <v>1.4789814814814815</v>
      </c>
      <c r="AB150" s="9">
        <v>1.4810000000000001</v>
      </c>
      <c r="AC150" s="9">
        <v>1.4910000000000001</v>
      </c>
      <c r="AD150" s="9">
        <v>1.5309999999999999</v>
      </c>
      <c r="AE150" s="10">
        <v>1.472</v>
      </c>
      <c r="AF150" s="10">
        <v>1.5129999999999999</v>
      </c>
      <c r="AG150" s="10">
        <v>1.536</v>
      </c>
    </row>
    <row r="151" spans="1:33" x14ac:dyDescent="0.25">
      <c r="A151" s="42">
        <v>0.98611111111111116</v>
      </c>
      <c r="B151" s="56">
        <v>0.98599999999999999</v>
      </c>
      <c r="C151" s="56">
        <v>0.96299999999999997</v>
      </c>
      <c r="D151" s="56">
        <v>0.92400000000000004</v>
      </c>
      <c r="E151" s="57">
        <v>0.90500000000000003</v>
      </c>
      <c r="F151" s="57">
        <v>0.89200000000000002</v>
      </c>
      <c r="G151" s="57">
        <v>0.90100000000000002</v>
      </c>
      <c r="AA151" s="39">
        <v>1.4998148148148147</v>
      </c>
      <c r="AB151" s="9">
        <v>1.4810000000000001</v>
      </c>
      <c r="AC151" s="9">
        <v>1.4930000000000001</v>
      </c>
      <c r="AD151" s="9">
        <v>1.53</v>
      </c>
      <c r="AE151" s="10">
        <v>1.472</v>
      </c>
      <c r="AF151" s="10">
        <v>1.5129999999999999</v>
      </c>
      <c r="AG151" s="10">
        <v>1.536</v>
      </c>
    </row>
    <row r="152" spans="1:33" x14ac:dyDescent="0.25">
      <c r="A152" s="53">
        <v>1</v>
      </c>
      <c r="B152" s="56">
        <v>0.99199999999999999</v>
      </c>
      <c r="C152" s="56">
        <v>0.97</v>
      </c>
      <c r="D152" s="56">
        <v>0.93100000000000005</v>
      </c>
      <c r="E152" s="43">
        <v>0.91700000000000004</v>
      </c>
      <c r="F152" s="43">
        <v>0.90600000000000003</v>
      </c>
      <c r="G152" s="43">
        <v>0.91300000000000003</v>
      </c>
      <c r="AA152" s="39">
        <v>1.5206481481481482</v>
      </c>
      <c r="AB152" s="9">
        <v>1.4810000000000001</v>
      </c>
      <c r="AC152" s="9">
        <v>1.4930000000000001</v>
      </c>
      <c r="AD152" s="9">
        <v>1.5309999999999999</v>
      </c>
      <c r="AE152" s="10">
        <v>1.472</v>
      </c>
      <c r="AF152" s="10">
        <v>1.514</v>
      </c>
      <c r="AG152" s="10">
        <v>1.536</v>
      </c>
    </row>
    <row r="153" spans="1:33" x14ac:dyDescent="0.25">
      <c r="AA153" s="39">
        <v>1.5414814814814815</v>
      </c>
      <c r="AB153" s="9">
        <v>1.48</v>
      </c>
      <c r="AC153" s="9">
        <v>1.4890000000000001</v>
      </c>
      <c r="AD153" s="9">
        <v>1.53</v>
      </c>
      <c r="AE153" s="10">
        <v>1.472</v>
      </c>
      <c r="AF153" s="10">
        <v>1.512</v>
      </c>
      <c r="AG153" s="10">
        <v>1.536</v>
      </c>
    </row>
    <row r="154" spans="1:33" x14ac:dyDescent="0.25">
      <c r="AA154" s="39">
        <v>1.5623148148148147</v>
      </c>
      <c r="AB154" s="9">
        <v>1.48</v>
      </c>
      <c r="AC154" s="9">
        <v>1.488</v>
      </c>
      <c r="AD154" s="9">
        <v>1.53</v>
      </c>
      <c r="AE154" s="10">
        <v>1.47</v>
      </c>
      <c r="AF154" s="10">
        <v>1.512</v>
      </c>
      <c r="AG154" s="10">
        <v>1.5349999999999999</v>
      </c>
    </row>
    <row r="155" spans="1:33" x14ac:dyDescent="0.25">
      <c r="AA155" s="39">
        <v>1.5831481481481482</v>
      </c>
      <c r="AB155" s="9">
        <v>1.4790000000000001</v>
      </c>
      <c r="AC155" s="9">
        <v>1.4870000000000001</v>
      </c>
      <c r="AD155" s="9">
        <v>1.53</v>
      </c>
      <c r="AE155" s="10">
        <v>1.47</v>
      </c>
      <c r="AF155" s="10">
        <v>1.512</v>
      </c>
      <c r="AG155" s="10">
        <v>1.5349999999999999</v>
      </c>
    </row>
    <row r="156" spans="1:33" x14ac:dyDescent="0.25">
      <c r="AA156" s="39">
        <v>1.6039814814814815</v>
      </c>
      <c r="AB156" s="9">
        <v>1.4790000000000001</v>
      </c>
      <c r="AC156" s="9">
        <v>1.4870000000000001</v>
      </c>
      <c r="AD156" s="9">
        <v>1.53</v>
      </c>
      <c r="AE156" s="10">
        <v>1.47</v>
      </c>
      <c r="AF156" s="10">
        <v>1.512</v>
      </c>
      <c r="AG156" s="10">
        <v>1.534</v>
      </c>
    </row>
    <row r="157" spans="1:33" x14ac:dyDescent="0.25">
      <c r="AA157" s="39">
        <v>1.6248148148148147</v>
      </c>
      <c r="AB157" s="9">
        <v>1.4790000000000001</v>
      </c>
      <c r="AC157" s="9">
        <v>1.4870000000000001</v>
      </c>
      <c r="AD157" s="9">
        <v>1.53</v>
      </c>
      <c r="AE157" s="10">
        <v>1.47</v>
      </c>
      <c r="AF157" s="10">
        <v>1.5109999999999999</v>
      </c>
      <c r="AG157" s="10">
        <v>1.534</v>
      </c>
    </row>
    <row r="158" spans="1:33" x14ac:dyDescent="0.25">
      <c r="AA158" s="39">
        <v>1.6456481481481482</v>
      </c>
      <c r="AB158" s="9">
        <v>1.478</v>
      </c>
      <c r="AC158" s="9">
        <v>1.486</v>
      </c>
      <c r="AD158" s="9">
        <v>1.53</v>
      </c>
      <c r="AE158" s="10">
        <v>1.4690000000000001</v>
      </c>
      <c r="AF158" s="10">
        <v>1.51</v>
      </c>
      <c r="AG158" s="10">
        <v>1.534</v>
      </c>
    </row>
    <row r="159" spans="1:33" x14ac:dyDescent="0.25">
      <c r="AA159" s="39">
        <v>1.6664814814814815</v>
      </c>
      <c r="AB159" s="9">
        <v>1.478</v>
      </c>
      <c r="AC159" s="9">
        <v>1.486</v>
      </c>
      <c r="AD159" s="9">
        <v>1.5289999999999999</v>
      </c>
      <c r="AE159" s="10">
        <v>1.4690000000000001</v>
      </c>
      <c r="AF159" s="10">
        <v>1.51</v>
      </c>
      <c r="AG159" s="10">
        <v>1.534</v>
      </c>
    </row>
    <row r="160" spans="1:33" x14ac:dyDescent="0.25">
      <c r="AA160" s="39">
        <v>1.6873148148148147</v>
      </c>
      <c r="AB160" s="9">
        <v>1.4770000000000001</v>
      </c>
      <c r="AC160" s="9">
        <v>1.4850000000000001</v>
      </c>
      <c r="AD160" s="9">
        <v>1.528</v>
      </c>
      <c r="AE160" s="10">
        <v>1.4690000000000001</v>
      </c>
      <c r="AF160" s="10">
        <v>1.51</v>
      </c>
      <c r="AG160" s="10">
        <v>1.5329999999999999</v>
      </c>
    </row>
    <row r="161" spans="27:33" x14ac:dyDescent="0.25">
      <c r="AA161" s="39">
        <v>1.7081481481481482</v>
      </c>
      <c r="AB161" s="9">
        <v>1.4770000000000001</v>
      </c>
      <c r="AC161" s="9">
        <v>1.4910000000000001</v>
      </c>
      <c r="AD161" s="9">
        <v>1.5289999999999999</v>
      </c>
      <c r="AE161" s="10">
        <v>1.468</v>
      </c>
      <c r="AF161" s="10">
        <v>1.5089999999999999</v>
      </c>
      <c r="AG161" s="10">
        <v>1.532</v>
      </c>
    </row>
    <row r="162" spans="27:33" x14ac:dyDescent="0.25">
      <c r="AA162" s="39">
        <v>1.7289814814814815</v>
      </c>
      <c r="AB162" s="9">
        <v>1.476</v>
      </c>
      <c r="AC162" s="9">
        <v>1.4850000000000001</v>
      </c>
      <c r="AD162" s="9">
        <v>1.528</v>
      </c>
      <c r="AE162" s="10">
        <v>1.4670000000000001</v>
      </c>
      <c r="AF162" s="10">
        <v>1.508</v>
      </c>
      <c r="AG162" s="10">
        <v>1.532</v>
      </c>
    </row>
    <row r="163" spans="27:33" x14ac:dyDescent="0.25">
      <c r="AA163" s="39">
        <v>1.7498148148148147</v>
      </c>
      <c r="AB163" s="9">
        <v>1.476</v>
      </c>
      <c r="AC163" s="9">
        <v>1.4850000000000001</v>
      </c>
      <c r="AD163" s="9">
        <v>1.528</v>
      </c>
      <c r="AE163" s="10">
        <v>1.466</v>
      </c>
      <c r="AF163" s="10">
        <v>1.508</v>
      </c>
      <c r="AG163" s="10">
        <v>1.5309999999999999</v>
      </c>
    </row>
    <row r="164" spans="27:33" x14ac:dyDescent="0.25">
      <c r="AA164" s="39">
        <v>1.7706481481481482</v>
      </c>
      <c r="AB164" s="9">
        <v>1.476</v>
      </c>
      <c r="AC164" s="9">
        <v>1.4850000000000001</v>
      </c>
      <c r="AD164" s="9">
        <v>1.528</v>
      </c>
      <c r="AE164" s="10">
        <v>1.466</v>
      </c>
      <c r="AF164" s="10">
        <v>1.508</v>
      </c>
      <c r="AG164" s="10">
        <v>1.5309999999999999</v>
      </c>
    </row>
    <row r="165" spans="27:33" x14ac:dyDescent="0.25">
      <c r="AA165" s="39">
        <v>1.7914814814814815</v>
      </c>
      <c r="AB165" s="9">
        <v>1.4750000000000001</v>
      </c>
      <c r="AC165" s="9">
        <v>1.4830000000000001</v>
      </c>
      <c r="AD165" s="9">
        <v>1.5269999999999999</v>
      </c>
      <c r="AE165" s="10">
        <v>1.466</v>
      </c>
      <c r="AF165" s="10">
        <v>1.506</v>
      </c>
      <c r="AG165" s="10">
        <v>1.53</v>
      </c>
    </row>
    <row r="166" spans="27:33" x14ac:dyDescent="0.25">
      <c r="AA166" s="39">
        <v>1.8123148148148147</v>
      </c>
      <c r="AB166" s="9">
        <v>1.4750000000000001</v>
      </c>
      <c r="AC166" s="9">
        <v>1.4830000000000001</v>
      </c>
      <c r="AD166" s="9">
        <v>1.5269999999999999</v>
      </c>
      <c r="AE166" s="10">
        <v>1.4650000000000001</v>
      </c>
      <c r="AF166" s="10">
        <v>1.506</v>
      </c>
      <c r="AG166" s="10">
        <v>1.53</v>
      </c>
    </row>
    <row r="167" spans="27:33" x14ac:dyDescent="0.25">
      <c r="AA167" s="39">
        <v>1.8331481481481482</v>
      </c>
      <c r="AB167" s="9">
        <v>1.474</v>
      </c>
      <c r="AC167" s="9">
        <v>1.4830000000000001</v>
      </c>
      <c r="AD167" s="9">
        <v>1.526</v>
      </c>
      <c r="AE167" s="10">
        <v>1.4650000000000001</v>
      </c>
      <c r="AF167" s="10">
        <v>1.506</v>
      </c>
      <c r="AG167" s="10">
        <v>1.5289999999999999</v>
      </c>
    </row>
    <row r="168" spans="27:33" x14ac:dyDescent="0.25">
      <c r="AA168" s="39">
        <v>1.8539814814814815</v>
      </c>
      <c r="AB168" s="9">
        <v>1.4730000000000001</v>
      </c>
      <c r="AC168" s="9">
        <v>1.482</v>
      </c>
      <c r="AD168" s="9">
        <v>1.526</v>
      </c>
      <c r="AE168" s="10">
        <v>1.464</v>
      </c>
      <c r="AF168" s="10">
        <v>1.5049999999999999</v>
      </c>
      <c r="AG168" s="10">
        <v>1.528</v>
      </c>
    </row>
    <row r="169" spans="27:33" x14ac:dyDescent="0.25">
      <c r="AA169" s="39">
        <v>1.8748148148148147</v>
      </c>
      <c r="AB169" s="9">
        <v>1.4730000000000001</v>
      </c>
      <c r="AC169" s="9">
        <v>1.4810000000000001</v>
      </c>
      <c r="AD169" s="9">
        <v>1.526</v>
      </c>
      <c r="AE169" s="10">
        <v>1.464</v>
      </c>
      <c r="AF169" s="10">
        <v>1.504</v>
      </c>
      <c r="AG169" s="10">
        <v>1.5289999999999999</v>
      </c>
    </row>
    <row r="170" spans="27:33" x14ac:dyDescent="0.25">
      <c r="AA170" s="39">
        <v>1.8956481481481482</v>
      </c>
      <c r="AB170" s="9">
        <v>1.472</v>
      </c>
      <c r="AC170" s="9">
        <v>1.486</v>
      </c>
      <c r="AD170" s="9">
        <v>1.5249999999999999</v>
      </c>
      <c r="AE170" s="10">
        <v>1.4630000000000001</v>
      </c>
      <c r="AF170" s="10">
        <v>1.5029999999999999</v>
      </c>
      <c r="AG170" s="10">
        <v>1.528</v>
      </c>
    </row>
    <row r="171" spans="27:33" x14ac:dyDescent="0.25">
      <c r="AA171" s="39">
        <v>1.9164814814814815</v>
      </c>
      <c r="AB171" s="9">
        <v>1.47</v>
      </c>
      <c r="AC171" s="9">
        <v>1.48</v>
      </c>
      <c r="AD171" s="9">
        <v>1.5249999999999999</v>
      </c>
      <c r="AE171" s="10">
        <v>1.462</v>
      </c>
      <c r="AF171" s="10">
        <v>1.502</v>
      </c>
      <c r="AG171" s="10">
        <v>1.5269999999999999</v>
      </c>
    </row>
    <row r="172" spans="27:33" x14ac:dyDescent="0.25">
      <c r="AA172" s="39">
        <v>1.9373148148148147</v>
      </c>
      <c r="AB172" s="9">
        <v>1.4710000000000001</v>
      </c>
      <c r="AC172" s="9">
        <v>1.4790000000000001</v>
      </c>
      <c r="AD172" s="9">
        <v>1.524</v>
      </c>
      <c r="AE172" s="10">
        <v>1.462</v>
      </c>
      <c r="AF172" s="10">
        <v>1.502</v>
      </c>
      <c r="AG172" s="10">
        <v>1.526</v>
      </c>
    </row>
    <row r="173" spans="27:33" x14ac:dyDescent="0.25">
      <c r="AA173" s="39">
        <v>1.9581481481481482</v>
      </c>
      <c r="AB173" s="9">
        <v>1.472</v>
      </c>
      <c r="AC173" s="9">
        <v>1.4790000000000001</v>
      </c>
      <c r="AD173" s="9">
        <v>1.5229999999999999</v>
      </c>
      <c r="AE173" s="10">
        <v>1.4610000000000001</v>
      </c>
      <c r="AF173" s="10">
        <v>1.5009999999999999</v>
      </c>
      <c r="AG173" s="10">
        <v>1.526</v>
      </c>
    </row>
    <row r="174" spans="27:33" x14ac:dyDescent="0.25">
      <c r="AA174" s="39">
        <v>1.9789814814814815</v>
      </c>
      <c r="AB174" s="9">
        <v>1.472</v>
      </c>
      <c r="AC174" s="9">
        <v>1.478</v>
      </c>
      <c r="AD174" s="9">
        <v>1.5229999999999999</v>
      </c>
      <c r="AE174" s="10">
        <v>1.4610000000000001</v>
      </c>
      <c r="AF174" s="10">
        <v>1.5</v>
      </c>
      <c r="AG174" s="10">
        <v>1.526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20683-5981-42F9-B361-03B1776D0B8C}">
  <dimension ref="A1:AA43"/>
  <sheetViews>
    <sheetView topLeftCell="E1" workbookViewId="0">
      <selection activeCell="Q3" sqref="Q3"/>
    </sheetView>
  </sheetViews>
  <sheetFormatPr baseColWidth="10" defaultRowHeight="15" x14ac:dyDescent="0.25"/>
  <sheetData>
    <row r="1" spans="1:27" x14ac:dyDescent="0.25">
      <c r="A1" s="1" t="s">
        <v>0</v>
      </c>
      <c r="B1" s="1" t="s">
        <v>1</v>
      </c>
      <c r="E1" s="1" t="s">
        <v>0</v>
      </c>
      <c r="F1" s="1" t="s">
        <v>1</v>
      </c>
    </row>
    <row r="2" spans="1:27" x14ac:dyDescent="0.25">
      <c r="A2" s="1"/>
      <c r="B2" s="1" t="s">
        <v>2</v>
      </c>
      <c r="E2" s="1"/>
      <c r="F2" s="1" t="s">
        <v>2</v>
      </c>
    </row>
    <row r="7" spans="1:27" ht="25.5" x14ac:dyDescent="0.25">
      <c r="A7" s="33" t="s">
        <v>151</v>
      </c>
      <c r="B7" s="15"/>
      <c r="R7">
        <v>8640</v>
      </c>
      <c r="V7" t="s">
        <v>22</v>
      </c>
      <c r="Z7">
        <v>8640</v>
      </c>
      <c r="AA7" t="s">
        <v>22</v>
      </c>
    </row>
    <row r="8" spans="1:27" x14ac:dyDescent="0.25">
      <c r="C8">
        <v>100</v>
      </c>
      <c r="D8">
        <v>50</v>
      </c>
      <c r="E8">
        <v>25</v>
      </c>
      <c r="F8">
        <v>12.5</v>
      </c>
      <c r="G8">
        <v>6.25</v>
      </c>
      <c r="H8">
        <v>3.125</v>
      </c>
      <c r="I8">
        <v>1.56</v>
      </c>
      <c r="J8">
        <v>0.78</v>
      </c>
      <c r="K8">
        <v>0.39</v>
      </c>
      <c r="L8">
        <v>0.19</v>
      </c>
      <c r="M8">
        <v>9.7000000000000003E-2</v>
      </c>
      <c r="N8">
        <v>0</v>
      </c>
      <c r="Q8" t="s">
        <v>153</v>
      </c>
    </row>
    <row r="9" spans="1:27" x14ac:dyDescent="0.25">
      <c r="B9" s="5"/>
      <c r="C9" s="6">
        <v>1</v>
      </c>
      <c r="D9" s="6">
        <v>2</v>
      </c>
      <c r="E9" s="6">
        <v>3</v>
      </c>
      <c r="F9" s="6">
        <v>4</v>
      </c>
      <c r="G9" s="6">
        <v>5</v>
      </c>
      <c r="H9" s="6">
        <v>6</v>
      </c>
      <c r="I9" s="6">
        <v>7</v>
      </c>
      <c r="J9" s="6">
        <v>8</v>
      </c>
      <c r="K9" s="6">
        <v>9</v>
      </c>
      <c r="L9" s="6">
        <v>10</v>
      </c>
      <c r="M9" s="6">
        <v>11</v>
      </c>
      <c r="N9" s="6">
        <v>12</v>
      </c>
      <c r="Q9" s="34">
        <v>50</v>
      </c>
      <c r="R9">
        <v>303</v>
      </c>
      <c r="S9">
        <v>290</v>
      </c>
      <c r="T9">
        <v>292</v>
      </c>
      <c r="V9">
        <v>486</v>
      </c>
      <c r="W9">
        <v>511</v>
      </c>
      <c r="X9">
        <v>490</v>
      </c>
      <c r="Z9">
        <f>AVERAGE(R9:T9)</f>
        <v>295</v>
      </c>
      <c r="AA9">
        <f>AVERAGE(V9:X9)</f>
        <v>495.66666666666669</v>
      </c>
    </row>
    <row r="10" spans="1:27" x14ac:dyDescent="0.25">
      <c r="B10" s="6" t="s">
        <v>33</v>
      </c>
      <c r="C10" s="58">
        <v>0.13568287037037038</v>
      </c>
      <c r="D10" s="58">
        <v>0.21059027777777775</v>
      </c>
      <c r="E10" s="58">
        <v>0.1441435185185185</v>
      </c>
      <c r="F10" s="58">
        <v>0.13749999999999998</v>
      </c>
      <c r="G10" s="58">
        <v>0.13689814814814816</v>
      </c>
      <c r="H10" s="58">
        <v>0.13484953703703703</v>
      </c>
      <c r="I10" s="58">
        <v>0.13502314814814814</v>
      </c>
      <c r="J10" s="58">
        <v>0.13534722222222223</v>
      </c>
      <c r="K10" s="58">
        <v>0.13565972222222222</v>
      </c>
      <c r="L10" s="58">
        <v>0.1358449074074074</v>
      </c>
      <c r="M10" s="58">
        <v>0.13615740740740742</v>
      </c>
      <c r="N10" s="58">
        <v>0.13900462962962964</v>
      </c>
      <c r="O10" s="8" t="s">
        <v>151</v>
      </c>
      <c r="Q10" s="34">
        <v>25</v>
      </c>
      <c r="R10">
        <v>207</v>
      </c>
      <c r="S10">
        <v>211</v>
      </c>
      <c r="T10">
        <v>210</v>
      </c>
      <c r="V10">
        <v>266</v>
      </c>
      <c r="W10">
        <v>266</v>
      </c>
      <c r="X10">
        <v>267</v>
      </c>
      <c r="Z10">
        <f>AVERAGE(R10:T10)</f>
        <v>209.33333333333334</v>
      </c>
      <c r="AA10">
        <f>AVERAGE(V10:X10)</f>
        <v>266.33333333333331</v>
      </c>
    </row>
    <row r="11" spans="1:27" x14ac:dyDescent="0.25">
      <c r="A11" s="34">
        <v>8640</v>
      </c>
      <c r="B11" s="6" t="s">
        <v>34</v>
      </c>
      <c r="C11" s="58">
        <v>0.98564814814814816</v>
      </c>
      <c r="D11" s="58">
        <v>0.20157407407407404</v>
      </c>
      <c r="E11" s="58">
        <v>0.14694444444444446</v>
      </c>
      <c r="F11" s="58">
        <v>0.13747685185185185</v>
      </c>
      <c r="G11" s="58">
        <v>0.13680555555555554</v>
      </c>
      <c r="H11" s="58">
        <v>0.13620370370370369</v>
      </c>
      <c r="I11" s="58">
        <v>0.13569444444444445</v>
      </c>
      <c r="J11" s="58">
        <v>0.1365625</v>
      </c>
      <c r="K11" s="58">
        <v>0.13699074074074075</v>
      </c>
      <c r="L11" s="58">
        <v>0.13648148148148148</v>
      </c>
      <c r="M11" s="58">
        <v>0.13623842592592592</v>
      </c>
      <c r="N11" s="58">
        <v>0.13686342592592593</v>
      </c>
      <c r="O11" s="8" t="s">
        <v>151</v>
      </c>
      <c r="Q11" s="34">
        <v>12.5</v>
      </c>
      <c r="R11">
        <v>198</v>
      </c>
      <c r="S11">
        <v>197</v>
      </c>
      <c r="T11">
        <v>198</v>
      </c>
      <c r="V11">
        <v>250</v>
      </c>
      <c r="W11">
        <v>250</v>
      </c>
      <c r="X11">
        <v>250</v>
      </c>
      <c r="Z11">
        <f>AVERAGE(R11:T11)</f>
        <v>197.66666666666666</v>
      </c>
      <c r="AA11">
        <f>AVERAGE(V11:X11)</f>
        <v>250</v>
      </c>
    </row>
    <row r="12" spans="1:27" x14ac:dyDescent="0.25">
      <c r="B12" s="6" t="s">
        <v>35</v>
      </c>
      <c r="C12" s="58">
        <v>0.6856944444444445</v>
      </c>
      <c r="D12" s="58">
        <v>0.20307870370370371</v>
      </c>
      <c r="E12" s="58">
        <v>0.14587962962962964</v>
      </c>
      <c r="F12" s="58">
        <v>0.13810185185185184</v>
      </c>
      <c r="G12" s="58">
        <v>0.13756944444444444</v>
      </c>
      <c r="H12" s="58">
        <v>0.13621527777777778</v>
      </c>
      <c r="I12" s="58">
        <v>0.13674768518518518</v>
      </c>
      <c r="J12" s="58">
        <v>0.13701388888888888</v>
      </c>
      <c r="K12" s="58">
        <v>0.13774305555555555</v>
      </c>
      <c r="L12" s="58">
        <v>0.13763888888888889</v>
      </c>
      <c r="M12" s="58">
        <v>0.13740740740740739</v>
      </c>
      <c r="N12" s="58">
        <v>0.1371064814814815</v>
      </c>
      <c r="O12" s="8" t="s">
        <v>151</v>
      </c>
      <c r="Q12" s="34">
        <v>0</v>
      </c>
      <c r="R12">
        <v>200</v>
      </c>
      <c r="S12">
        <v>197</v>
      </c>
      <c r="T12">
        <v>197</v>
      </c>
      <c r="V12">
        <v>243</v>
      </c>
      <c r="W12">
        <v>244</v>
      </c>
      <c r="X12">
        <v>244</v>
      </c>
      <c r="Z12">
        <f>AVERAGE(R12:T12)</f>
        <v>198</v>
      </c>
      <c r="AA12">
        <f>AVERAGE(V12:X12)</f>
        <v>243.66666666666666</v>
      </c>
    </row>
    <row r="13" spans="1:27" x14ac:dyDescent="0.25">
      <c r="B13" s="6" t="s">
        <v>36</v>
      </c>
      <c r="C13" s="59">
        <v>2.0370370370370369E-2</v>
      </c>
      <c r="D13" s="59">
        <v>0.33791666666666664</v>
      </c>
      <c r="E13" s="59">
        <v>0.1852314814814815</v>
      </c>
      <c r="F13" s="59">
        <v>0.17399305555555555</v>
      </c>
      <c r="G13" s="59">
        <v>0.16927083333333334</v>
      </c>
      <c r="H13" s="59">
        <v>0.16775462962962961</v>
      </c>
      <c r="I13" s="59">
        <v>0.16877314814814814</v>
      </c>
      <c r="J13" s="59">
        <v>0.16769675925925928</v>
      </c>
      <c r="K13" s="59">
        <v>0.16862268518518519</v>
      </c>
      <c r="L13" s="59">
        <v>0.16744212962962965</v>
      </c>
      <c r="M13" s="59">
        <v>0.16878472222222221</v>
      </c>
      <c r="N13" s="59">
        <v>0.16881944444444444</v>
      </c>
      <c r="O13" s="8" t="s">
        <v>151</v>
      </c>
    </row>
    <row r="14" spans="1:27" x14ac:dyDescent="0.25">
      <c r="A14" s="35" t="s">
        <v>22</v>
      </c>
      <c r="B14" s="6" t="s">
        <v>37</v>
      </c>
      <c r="C14" s="59">
        <v>0.10328703703703705</v>
      </c>
      <c r="D14" s="59">
        <v>0.35496527777777781</v>
      </c>
      <c r="E14" s="59">
        <v>0.18509259259259259</v>
      </c>
      <c r="F14" s="59">
        <v>0.17368055555555553</v>
      </c>
      <c r="G14" s="59">
        <v>0.17090277777777776</v>
      </c>
      <c r="H14" s="59">
        <v>0.16951388888888888</v>
      </c>
      <c r="I14" s="59">
        <v>0.16961805555555556</v>
      </c>
      <c r="J14" s="59">
        <v>0.16968749999999999</v>
      </c>
      <c r="K14" s="59">
        <v>0.1695601851851852</v>
      </c>
      <c r="L14" s="59">
        <v>0.17016203703703703</v>
      </c>
      <c r="M14" s="59">
        <v>0.17114583333333333</v>
      </c>
      <c r="N14" s="59">
        <v>0.16998842592592592</v>
      </c>
      <c r="O14" s="8" t="s">
        <v>151</v>
      </c>
    </row>
    <row r="15" spans="1:27" x14ac:dyDescent="0.25">
      <c r="B15" s="6" t="s">
        <v>38</v>
      </c>
      <c r="C15" s="59">
        <v>0.44438657407407406</v>
      </c>
      <c r="D15" s="59">
        <v>0.34070601851851851</v>
      </c>
      <c r="E15" s="59">
        <v>0.1855324074074074</v>
      </c>
      <c r="F15" s="59">
        <v>0.1736226851851852</v>
      </c>
      <c r="G15" s="59">
        <v>0.17108796296296294</v>
      </c>
      <c r="H15" s="59">
        <v>0.17121527777777779</v>
      </c>
      <c r="I15" s="59">
        <v>0.17071759259259259</v>
      </c>
      <c r="J15" s="59">
        <v>0.17041666666666666</v>
      </c>
      <c r="K15" s="59">
        <v>0.16994212962962962</v>
      </c>
      <c r="L15" s="59">
        <v>0.16973379629629629</v>
      </c>
      <c r="M15" s="59">
        <v>0.16909722222222223</v>
      </c>
      <c r="N15" s="59">
        <v>0.16981481481481484</v>
      </c>
      <c r="O15" s="8" t="s">
        <v>151</v>
      </c>
    </row>
    <row r="16" spans="1:27" x14ac:dyDescent="0.25">
      <c r="B16" s="6" t="s">
        <v>39</v>
      </c>
      <c r="C16" s="37">
        <v>0.83709490740740744</v>
      </c>
      <c r="D16" s="37">
        <v>0.624537037037037</v>
      </c>
      <c r="E16" s="37">
        <v>0.59120370370370368</v>
      </c>
      <c r="F16" s="37">
        <v>0.78228009259259268</v>
      </c>
      <c r="G16" s="37">
        <v>0.23465277777777779</v>
      </c>
      <c r="H16" s="37">
        <v>0.39016203703703706</v>
      </c>
      <c r="I16" s="37">
        <v>0.37800925925925927</v>
      </c>
      <c r="J16" s="37">
        <v>0.23391203703703703</v>
      </c>
      <c r="K16" s="37">
        <v>0.43703703703703706</v>
      </c>
      <c r="L16" s="37">
        <v>0.34802083333333328</v>
      </c>
      <c r="M16" s="37">
        <v>0.9277777777777777</v>
      </c>
      <c r="N16" s="37">
        <v>0.80162037037037026</v>
      </c>
      <c r="O16" s="8" t="s">
        <v>151</v>
      </c>
    </row>
    <row r="17" spans="1:27" x14ac:dyDescent="0.25">
      <c r="B17" s="6" t="s">
        <v>40</v>
      </c>
      <c r="C17" s="37">
        <v>0.44840277777777776</v>
      </c>
      <c r="D17" s="37">
        <v>0.83703703703703702</v>
      </c>
      <c r="E17" s="37">
        <v>0.72453703703703709</v>
      </c>
      <c r="F17" s="37">
        <v>0.14239583333333333</v>
      </c>
      <c r="G17" s="37">
        <v>0.75900462962962967</v>
      </c>
      <c r="H17" s="37">
        <v>0.12453703703703704</v>
      </c>
      <c r="I17" s="37">
        <v>0.37263888888888891</v>
      </c>
      <c r="J17" s="37">
        <v>0.78773148148148142</v>
      </c>
      <c r="K17" s="37">
        <v>0.59991898148148148</v>
      </c>
      <c r="L17" s="37">
        <v>0.39915509259259258</v>
      </c>
      <c r="M17" s="37">
        <v>0.80787037037037035</v>
      </c>
      <c r="N17" s="38" t="s">
        <v>152</v>
      </c>
      <c r="O17" s="8" t="s">
        <v>151</v>
      </c>
    </row>
    <row r="20" spans="1:27" ht="25.5" x14ac:dyDescent="0.25">
      <c r="A20" s="33" t="s">
        <v>151</v>
      </c>
      <c r="B20" s="15"/>
      <c r="R20">
        <v>8640</v>
      </c>
      <c r="V20" t="s">
        <v>22</v>
      </c>
      <c r="Z20">
        <v>8640</v>
      </c>
      <c r="AA20" t="s">
        <v>22</v>
      </c>
    </row>
    <row r="21" spans="1:27" x14ac:dyDescent="0.25">
      <c r="C21">
        <v>100</v>
      </c>
      <c r="D21">
        <v>50</v>
      </c>
      <c r="E21">
        <v>25</v>
      </c>
      <c r="F21">
        <v>12.5</v>
      </c>
      <c r="G21">
        <v>6.25</v>
      </c>
      <c r="H21">
        <v>3.125</v>
      </c>
      <c r="I21">
        <v>1.56</v>
      </c>
      <c r="J21">
        <v>0.78</v>
      </c>
      <c r="K21">
        <v>0.39</v>
      </c>
      <c r="L21">
        <v>0.19</v>
      </c>
      <c r="M21">
        <v>9.7000000000000003E-2</v>
      </c>
      <c r="N21">
        <v>0</v>
      </c>
      <c r="Q21" t="s">
        <v>153</v>
      </c>
    </row>
    <row r="22" spans="1:27" x14ac:dyDescent="0.25">
      <c r="B22" s="5"/>
      <c r="C22" s="6">
        <v>1</v>
      </c>
      <c r="D22" s="6">
        <v>2</v>
      </c>
      <c r="E22" s="6">
        <v>3</v>
      </c>
      <c r="F22" s="6">
        <v>4</v>
      </c>
      <c r="G22" s="6">
        <v>5</v>
      </c>
      <c r="H22" s="6">
        <v>6</v>
      </c>
      <c r="I22" s="6">
        <v>7</v>
      </c>
      <c r="J22" s="6">
        <v>8</v>
      </c>
      <c r="K22" s="6">
        <v>9</v>
      </c>
      <c r="L22" s="6">
        <v>10</v>
      </c>
      <c r="M22" s="6">
        <v>11</v>
      </c>
      <c r="N22" s="6">
        <v>12</v>
      </c>
      <c r="Q22" s="34">
        <v>50</v>
      </c>
      <c r="R22">
        <v>264</v>
      </c>
      <c r="S22">
        <v>236</v>
      </c>
      <c r="T22">
        <v>281</v>
      </c>
      <c r="V22">
        <v>465</v>
      </c>
      <c r="W22">
        <v>383</v>
      </c>
      <c r="X22">
        <v>457</v>
      </c>
      <c r="Z22">
        <f>AVERAGE(R22:T22)</f>
        <v>260.33333333333331</v>
      </c>
      <c r="AA22">
        <f>AVERAGE(V22:X22)</f>
        <v>435</v>
      </c>
    </row>
    <row r="23" spans="1:27" x14ac:dyDescent="0.25">
      <c r="B23" s="6" t="s">
        <v>33</v>
      </c>
      <c r="C23" s="50" t="s">
        <v>152</v>
      </c>
      <c r="D23" s="58">
        <v>0.18393518518518517</v>
      </c>
      <c r="E23" s="58">
        <v>0.14858796296296298</v>
      </c>
      <c r="F23" s="58">
        <v>0.14115740740740743</v>
      </c>
      <c r="G23" s="58">
        <v>0.13870370370370369</v>
      </c>
      <c r="H23" s="58">
        <v>0.13758101851851853</v>
      </c>
      <c r="I23" s="58">
        <v>0.13817129629629629</v>
      </c>
      <c r="J23" s="58">
        <v>0.13783564814814817</v>
      </c>
      <c r="K23" s="58">
        <v>0.13749999999999998</v>
      </c>
      <c r="L23" s="58">
        <v>0.13784722222222223</v>
      </c>
      <c r="M23" s="58">
        <v>0.13774305555555555</v>
      </c>
      <c r="N23" s="58">
        <v>0.13939814814814813</v>
      </c>
      <c r="O23" s="8" t="s">
        <v>151</v>
      </c>
      <c r="Q23" s="34">
        <v>25</v>
      </c>
      <c r="R23">
        <v>213</v>
      </c>
      <c r="S23">
        <v>208</v>
      </c>
      <c r="T23">
        <v>214</v>
      </c>
      <c r="V23">
        <v>267</v>
      </c>
      <c r="W23">
        <v>274</v>
      </c>
      <c r="X23">
        <v>271</v>
      </c>
      <c r="Z23">
        <f>AVERAGE(R23:T23)</f>
        <v>211.66666666666666</v>
      </c>
      <c r="AA23">
        <f>AVERAGE(V23:X23)</f>
        <v>270.66666666666669</v>
      </c>
    </row>
    <row r="24" spans="1:27" x14ac:dyDescent="0.25">
      <c r="A24" s="34">
        <v>8640</v>
      </c>
      <c r="B24" s="6" t="s">
        <v>34</v>
      </c>
      <c r="C24" s="58">
        <v>0.75521990740740741</v>
      </c>
      <c r="D24" s="58">
        <v>0.16402777777777777</v>
      </c>
      <c r="E24" s="58">
        <v>0.14393518518518519</v>
      </c>
      <c r="F24" s="58">
        <v>0.13819444444444443</v>
      </c>
      <c r="G24" s="58">
        <v>0.13863425925925926</v>
      </c>
      <c r="H24" s="58">
        <v>0.13894675925925926</v>
      </c>
      <c r="I24" s="58">
        <v>0.13939814814814813</v>
      </c>
      <c r="J24" s="58">
        <v>0.13939814814814813</v>
      </c>
      <c r="K24" s="58">
        <v>0.13968749999999999</v>
      </c>
      <c r="L24" s="58">
        <v>0.1401273148148148</v>
      </c>
      <c r="M24" s="58">
        <v>0.13881944444444444</v>
      </c>
      <c r="N24" s="58">
        <v>0.13917824074074073</v>
      </c>
      <c r="O24" s="8" t="s">
        <v>151</v>
      </c>
      <c r="Q24" s="34">
        <v>12.5</v>
      </c>
      <c r="R24">
        <v>203</v>
      </c>
      <c r="S24">
        <v>199</v>
      </c>
      <c r="T24">
        <v>205</v>
      </c>
      <c r="V24">
        <v>255</v>
      </c>
      <c r="W24">
        <v>263</v>
      </c>
      <c r="X24">
        <v>260</v>
      </c>
      <c r="Z24">
        <f>AVERAGE(R24:T24)</f>
        <v>202.33333333333334</v>
      </c>
      <c r="AA24">
        <f>AVERAGE(V24:X24)</f>
        <v>259.33333333333331</v>
      </c>
    </row>
    <row r="25" spans="1:27" x14ac:dyDescent="0.25">
      <c r="B25" s="6" t="s">
        <v>35</v>
      </c>
      <c r="C25" s="58">
        <v>0.80509259259259258</v>
      </c>
      <c r="D25" s="58">
        <v>0.19533564814814816</v>
      </c>
      <c r="E25" s="58">
        <v>0.1492013888888889</v>
      </c>
      <c r="F25" s="58">
        <v>0.14258101851851854</v>
      </c>
      <c r="G25" s="58">
        <v>0.13943287037037036</v>
      </c>
      <c r="H25" s="58">
        <v>0.1383449074074074</v>
      </c>
      <c r="I25" s="58">
        <v>0.13871527777777778</v>
      </c>
      <c r="J25" s="58">
        <v>0.13869212962962962</v>
      </c>
      <c r="K25" s="58">
        <v>0.13921296296296296</v>
      </c>
      <c r="L25" s="58">
        <v>0.13953703703703704</v>
      </c>
      <c r="M25" s="58">
        <v>0.13988425925925926</v>
      </c>
      <c r="N25" s="58">
        <v>0.13795138888888889</v>
      </c>
      <c r="O25" s="8" t="s">
        <v>151</v>
      </c>
      <c r="Q25" s="34">
        <v>0</v>
      </c>
      <c r="R25">
        <v>200</v>
      </c>
      <c r="S25">
        <v>200</v>
      </c>
      <c r="T25">
        <v>198</v>
      </c>
      <c r="V25">
        <v>247</v>
      </c>
      <c r="W25">
        <v>250</v>
      </c>
      <c r="X25">
        <v>249</v>
      </c>
      <c r="Z25">
        <f>AVERAGE(R25:T25)</f>
        <v>199.33333333333334</v>
      </c>
      <c r="AA25">
        <f>AVERAGE(V25:X25)</f>
        <v>248.66666666666666</v>
      </c>
    </row>
    <row r="26" spans="1:27" x14ac:dyDescent="0.25">
      <c r="B26" s="6" t="s">
        <v>36</v>
      </c>
      <c r="C26" s="59">
        <v>0.68062500000000004</v>
      </c>
      <c r="D26" s="59">
        <v>0.32300925925925927</v>
      </c>
      <c r="E26" s="59">
        <v>0.18569444444444447</v>
      </c>
      <c r="F26" s="59">
        <v>0.17731481481481481</v>
      </c>
      <c r="G26" s="59">
        <v>0.17108796296296294</v>
      </c>
      <c r="H26" s="59">
        <v>0.17116898148148149</v>
      </c>
      <c r="I26" s="59">
        <v>0.17167824074074076</v>
      </c>
      <c r="J26" s="59">
        <v>0.17114583333333333</v>
      </c>
      <c r="K26" s="59">
        <v>0.17181712962962961</v>
      </c>
      <c r="L26" s="59">
        <v>0.17175925925925925</v>
      </c>
      <c r="M26" s="59">
        <v>0.17215277777777779</v>
      </c>
      <c r="N26" s="59">
        <v>0.17172453703703705</v>
      </c>
      <c r="O26" s="8" t="s">
        <v>151</v>
      </c>
    </row>
    <row r="27" spans="1:27" x14ac:dyDescent="0.25">
      <c r="A27" s="35" t="s">
        <v>22</v>
      </c>
      <c r="B27" s="6" t="s">
        <v>37</v>
      </c>
      <c r="C27" s="59">
        <v>0.8037037037037037</v>
      </c>
      <c r="D27" s="59">
        <v>0.26609953703703704</v>
      </c>
      <c r="E27" s="59">
        <v>0.19084490740740742</v>
      </c>
      <c r="F27" s="59">
        <v>0.18277777777777779</v>
      </c>
      <c r="G27" s="59">
        <v>0.17631944444444445</v>
      </c>
      <c r="H27" s="59">
        <v>0.17254629629629628</v>
      </c>
      <c r="I27" s="59">
        <v>0.17173611111111112</v>
      </c>
      <c r="J27" s="59">
        <v>0.17067129629629629</v>
      </c>
      <c r="K27" s="59">
        <v>0.17043981481481482</v>
      </c>
      <c r="L27" s="59">
        <v>0.16480324074074074</v>
      </c>
      <c r="M27" s="59">
        <v>0.17194444444444446</v>
      </c>
      <c r="N27" s="59">
        <v>0.17372685185185185</v>
      </c>
      <c r="O27" s="8" t="s">
        <v>151</v>
      </c>
    </row>
    <row r="28" spans="1:27" x14ac:dyDescent="0.25">
      <c r="B28" s="6" t="s">
        <v>38</v>
      </c>
      <c r="C28" s="59">
        <v>0.69861111111111107</v>
      </c>
      <c r="D28" s="59">
        <v>0.3175694444444444</v>
      </c>
      <c r="E28" s="59">
        <v>0.18885416666666666</v>
      </c>
      <c r="F28" s="59">
        <v>0.1807175925925926</v>
      </c>
      <c r="G28" s="59">
        <v>0.17300925925925925</v>
      </c>
      <c r="H28" s="59">
        <v>0.17193287037037039</v>
      </c>
      <c r="I28" s="59">
        <v>0.17258101851851851</v>
      </c>
      <c r="J28" s="59">
        <v>0.17167824074074076</v>
      </c>
      <c r="K28" s="59">
        <v>0.17172453703703705</v>
      </c>
      <c r="L28" s="59">
        <v>0.17148148148148148</v>
      </c>
      <c r="M28" s="59">
        <v>0.1734259259259259</v>
      </c>
      <c r="N28" s="59">
        <v>0.17248842592592592</v>
      </c>
      <c r="O28" s="8" t="s">
        <v>151</v>
      </c>
    </row>
    <row r="29" spans="1:27" x14ac:dyDescent="0.25">
      <c r="B29" s="6" t="s">
        <v>39</v>
      </c>
      <c r="C29" s="37">
        <v>0.85667824074074073</v>
      </c>
      <c r="D29" s="37">
        <v>0.52037037037037037</v>
      </c>
      <c r="E29" s="37">
        <v>0.40862268518518513</v>
      </c>
      <c r="F29" s="37">
        <v>0.22680555555555557</v>
      </c>
      <c r="G29" s="37">
        <v>0.32453703703703701</v>
      </c>
      <c r="H29" s="37">
        <v>8.2870370370370372E-2</v>
      </c>
      <c r="I29" s="37">
        <v>0.14074074074074075</v>
      </c>
      <c r="J29" s="37">
        <v>0.77037037037037026</v>
      </c>
      <c r="K29" s="37">
        <v>0.68287037037037035</v>
      </c>
      <c r="L29" s="37">
        <v>0.11412037037037037</v>
      </c>
      <c r="M29" s="37">
        <v>0.54953703703703705</v>
      </c>
      <c r="N29" s="37">
        <v>8.9814814814814806E-2</v>
      </c>
      <c r="O29" s="8" t="s">
        <v>151</v>
      </c>
    </row>
    <row r="30" spans="1:27" x14ac:dyDescent="0.25">
      <c r="B30" s="6" t="s">
        <v>40</v>
      </c>
      <c r="C30" s="37">
        <v>0.72710648148148149</v>
      </c>
      <c r="D30" s="37">
        <v>0.26689814814814816</v>
      </c>
      <c r="E30" s="37">
        <v>0.857488425925926</v>
      </c>
      <c r="F30" s="37">
        <v>0.13703703703703704</v>
      </c>
      <c r="G30" s="37">
        <v>0.31203703703703706</v>
      </c>
      <c r="H30" s="37">
        <v>0.593287037037037</v>
      </c>
      <c r="I30" s="37">
        <v>0.86561342592592594</v>
      </c>
      <c r="J30" s="37">
        <v>0.13778935185185184</v>
      </c>
      <c r="K30" s="37">
        <v>0.21733796296296296</v>
      </c>
      <c r="L30" s="37">
        <v>0.32824074074074078</v>
      </c>
      <c r="M30" s="37">
        <v>0.1567361111111111</v>
      </c>
      <c r="N30" s="37">
        <v>0.14074074074074075</v>
      </c>
      <c r="O30" s="8" t="s">
        <v>151</v>
      </c>
    </row>
    <row r="33" spans="1:27" ht="25.5" x14ac:dyDescent="0.25">
      <c r="A33" s="33" t="s">
        <v>151</v>
      </c>
      <c r="B33" s="15"/>
      <c r="R33">
        <v>8640</v>
      </c>
      <c r="V33" t="s">
        <v>22</v>
      </c>
      <c r="Z33">
        <v>8640</v>
      </c>
      <c r="AA33" t="s">
        <v>22</v>
      </c>
    </row>
    <row r="34" spans="1:27" x14ac:dyDescent="0.25">
      <c r="C34" s="34">
        <v>100</v>
      </c>
      <c r="D34" s="34">
        <v>50</v>
      </c>
      <c r="E34" s="34">
        <v>25</v>
      </c>
      <c r="F34" s="34">
        <v>12.5</v>
      </c>
      <c r="G34" s="34">
        <v>6.25</v>
      </c>
      <c r="H34" s="34">
        <v>3.125</v>
      </c>
      <c r="I34" s="34">
        <v>1.56</v>
      </c>
      <c r="J34" s="34">
        <v>0.78</v>
      </c>
      <c r="K34" s="34">
        <v>0.39</v>
      </c>
      <c r="L34" s="34">
        <v>0.19</v>
      </c>
      <c r="M34" s="34">
        <v>9.7000000000000003E-2</v>
      </c>
      <c r="N34" s="34">
        <v>0</v>
      </c>
      <c r="Q34" t="s">
        <v>153</v>
      </c>
    </row>
    <row r="35" spans="1:27" x14ac:dyDescent="0.25">
      <c r="B35" s="5"/>
      <c r="C35" s="6">
        <v>1</v>
      </c>
      <c r="D35" s="6">
        <v>2</v>
      </c>
      <c r="E35" s="6">
        <v>3</v>
      </c>
      <c r="F35" s="6">
        <v>4</v>
      </c>
      <c r="G35" s="6">
        <v>5</v>
      </c>
      <c r="H35" s="6">
        <v>6</v>
      </c>
      <c r="I35" s="6">
        <v>7</v>
      </c>
      <c r="J35" s="6">
        <v>8</v>
      </c>
      <c r="K35" s="6">
        <v>9</v>
      </c>
      <c r="L35" s="6">
        <v>10</v>
      </c>
      <c r="M35" s="6">
        <v>11</v>
      </c>
      <c r="N35" s="6">
        <v>12</v>
      </c>
      <c r="Q35" s="34">
        <v>50</v>
      </c>
      <c r="R35">
        <v>359</v>
      </c>
      <c r="S35">
        <v>326</v>
      </c>
      <c r="T35">
        <v>339</v>
      </c>
      <c r="V35">
        <v>592</v>
      </c>
      <c r="W35">
        <v>563</v>
      </c>
      <c r="X35">
        <v>598</v>
      </c>
      <c r="Z35">
        <f>AVERAGE(R35:T35)</f>
        <v>341.33333333333331</v>
      </c>
      <c r="AA35">
        <f>AVERAGE(V35:X35)</f>
        <v>584.33333333333337</v>
      </c>
    </row>
    <row r="36" spans="1:27" x14ac:dyDescent="0.25">
      <c r="B36" s="6" t="s">
        <v>33</v>
      </c>
      <c r="C36" s="58">
        <v>0.66025462962962966</v>
      </c>
      <c r="D36" s="58">
        <v>0.24965277777777781</v>
      </c>
      <c r="E36" s="58">
        <v>0.15326388888888889</v>
      </c>
      <c r="F36" s="58">
        <v>0.1424074074074074</v>
      </c>
      <c r="G36" s="58">
        <v>0.14186342592592593</v>
      </c>
      <c r="H36" s="58">
        <v>0.14200231481481482</v>
      </c>
      <c r="I36" s="58">
        <v>0.1416435185185185</v>
      </c>
      <c r="J36" s="58">
        <v>0.14222222222222222</v>
      </c>
      <c r="K36" s="58">
        <v>0.14258101851851854</v>
      </c>
      <c r="L36" s="58">
        <v>0.1423611111111111</v>
      </c>
      <c r="M36" s="58">
        <v>0.14364583333333333</v>
      </c>
      <c r="N36" s="58">
        <v>0.14703703703703705</v>
      </c>
      <c r="O36" s="8" t="s">
        <v>151</v>
      </c>
      <c r="Q36" s="34">
        <v>25</v>
      </c>
      <c r="R36">
        <v>220</v>
      </c>
      <c r="S36">
        <v>220</v>
      </c>
      <c r="T36">
        <v>215</v>
      </c>
      <c r="V36">
        <v>306</v>
      </c>
      <c r="W36">
        <v>304</v>
      </c>
      <c r="X36">
        <v>303</v>
      </c>
      <c r="Z36">
        <f>AVERAGE(R36:T36)</f>
        <v>218.33333333333334</v>
      </c>
      <c r="AA36">
        <f>AVERAGE(V36:X36)</f>
        <v>304.33333333333331</v>
      </c>
    </row>
    <row r="37" spans="1:27" x14ac:dyDescent="0.25">
      <c r="B37" s="6" t="s">
        <v>34</v>
      </c>
      <c r="C37" s="58">
        <v>0.33127314814814818</v>
      </c>
      <c r="D37" s="58">
        <v>0.2270486111111111</v>
      </c>
      <c r="E37" s="58">
        <v>0.15287037037037035</v>
      </c>
      <c r="F37" s="58">
        <v>0.14359953703703704</v>
      </c>
      <c r="G37" s="58">
        <v>0.14238425925925927</v>
      </c>
      <c r="H37" s="58">
        <v>0.14254629629629631</v>
      </c>
      <c r="I37" s="58">
        <v>0.1429398148148148</v>
      </c>
      <c r="J37" s="58">
        <v>0.14303240740740741</v>
      </c>
      <c r="K37" s="58">
        <v>0.14350694444444445</v>
      </c>
      <c r="L37" s="58">
        <v>0.14238425925925927</v>
      </c>
      <c r="M37" s="58">
        <v>0.14378472222222222</v>
      </c>
      <c r="N37" s="58">
        <v>0.14597222222222223</v>
      </c>
      <c r="O37" s="8" t="s">
        <v>151</v>
      </c>
      <c r="Q37" s="34">
        <v>12.5</v>
      </c>
      <c r="R37">
        <v>205</v>
      </c>
      <c r="S37">
        <v>206</v>
      </c>
      <c r="T37">
        <v>206</v>
      </c>
      <c r="V37">
        <v>252</v>
      </c>
      <c r="W37">
        <v>251</v>
      </c>
      <c r="X37">
        <v>251</v>
      </c>
      <c r="Z37">
        <f>AVERAGE(R37:T37)</f>
        <v>205.66666666666666</v>
      </c>
      <c r="AA37">
        <f>AVERAGE(V37:X37)</f>
        <v>251.33333333333334</v>
      </c>
    </row>
    <row r="38" spans="1:27" x14ac:dyDescent="0.25">
      <c r="B38" s="6" t="s">
        <v>35</v>
      </c>
      <c r="C38" s="58">
        <v>2.5995370370370367E-2</v>
      </c>
      <c r="D38" s="58">
        <v>0.23560185185185187</v>
      </c>
      <c r="E38" s="58">
        <v>0.14979166666666668</v>
      </c>
      <c r="F38" s="58">
        <v>0.14357638888888888</v>
      </c>
      <c r="G38" s="58">
        <v>0.14131944444444444</v>
      </c>
      <c r="H38" s="58">
        <v>0.14245370370370369</v>
      </c>
      <c r="I38" s="58">
        <v>0.14245370370370369</v>
      </c>
      <c r="J38" s="58">
        <v>0.14228009259259258</v>
      </c>
      <c r="K38" s="58">
        <v>0.14450231481481482</v>
      </c>
      <c r="L38" s="58">
        <v>0.14364583333333333</v>
      </c>
      <c r="M38" s="58">
        <v>0.14398148148148149</v>
      </c>
      <c r="N38" s="58">
        <v>0.1458912037037037</v>
      </c>
      <c r="O38" s="8" t="s">
        <v>151</v>
      </c>
      <c r="Q38" s="34">
        <v>0</v>
      </c>
      <c r="R38">
        <v>211</v>
      </c>
      <c r="S38">
        <v>210</v>
      </c>
      <c r="T38">
        <v>210</v>
      </c>
      <c r="V38">
        <v>248</v>
      </c>
      <c r="W38">
        <v>249</v>
      </c>
      <c r="X38">
        <v>253</v>
      </c>
      <c r="Z38">
        <f>AVERAGE(R38:T38)</f>
        <v>210.33333333333334</v>
      </c>
      <c r="AA38">
        <f>AVERAGE(V38:X38)</f>
        <v>250</v>
      </c>
    </row>
    <row r="39" spans="1:27" x14ac:dyDescent="0.25">
      <c r="B39" s="6" t="s">
        <v>36</v>
      </c>
      <c r="C39" s="59">
        <v>0.39285879629629633</v>
      </c>
      <c r="D39" s="59">
        <v>0.41135416666666669</v>
      </c>
      <c r="E39" s="59">
        <v>0.18520833333333334</v>
      </c>
      <c r="F39" s="59">
        <v>0.17519675925925926</v>
      </c>
      <c r="G39" s="59">
        <v>0.17402777777777778</v>
      </c>
      <c r="H39" s="59">
        <v>0.17218750000000002</v>
      </c>
      <c r="I39" s="59">
        <v>0.17079861111111114</v>
      </c>
      <c r="J39" s="59">
        <v>0.17021990740740742</v>
      </c>
      <c r="K39" s="59">
        <v>0.16769675925925928</v>
      </c>
      <c r="L39" s="59">
        <v>0.16864583333333336</v>
      </c>
      <c r="M39" s="59">
        <v>0.16913194444444446</v>
      </c>
      <c r="N39" s="59">
        <v>0.17271990740740739</v>
      </c>
      <c r="O39" s="8" t="s">
        <v>151</v>
      </c>
    </row>
    <row r="40" spans="1:27" x14ac:dyDescent="0.25">
      <c r="B40" s="6" t="s">
        <v>37</v>
      </c>
      <c r="C40" s="59">
        <v>0.42141203703703706</v>
      </c>
      <c r="D40" s="59">
        <v>0.39152777777777775</v>
      </c>
      <c r="E40" s="59">
        <v>0.18399305555555556</v>
      </c>
      <c r="F40" s="59">
        <v>0.17476851851851852</v>
      </c>
      <c r="G40" s="59">
        <v>0.17386574074074077</v>
      </c>
      <c r="H40" s="59">
        <v>0.17208333333333334</v>
      </c>
      <c r="I40" s="59">
        <v>0.17153935185185185</v>
      </c>
      <c r="J40" s="59">
        <v>0.16983796296296297</v>
      </c>
      <c r="K40" s="59">
        <v>0.16811342592592593</v>
      </c>
      <c r="L40" s="59">
        <v>0.17</v>
      </c>
      <c r="M40" s="59">
        <v>0.16935185185185186</v>
      </c>
      <c r="N40" s="59">
        <v>0.17354166666666668</v>
      </c>
      <c r="O40" s="8" t="s">
        <v>151</v>
      </c>
    </row>
    <row r="41" spans="1:27" x14ac:dyDescent="0.25">
      <c r="B41" s="6" t="s">
        <v>38</v>
      </c>
      <c r="C41" s="59">
        <v>0.75548611111111119</v>
      </c>
      <c r="D41" s="59">
        <v>0.41549768518518521</v>
      </c>
      <c r="E41" s="59">
        <v>0.18322916666666667</v>
      </c>
      <c r="F41" s="59">
        <v>0.17484953703703701</v>
      </c>
      <c r="G41" s="59">
        <v>0.17328703703703704</v>
      </c>
      <c r="H41" s="59">
        <v>0.17120370370370372</v>
      </c>
      <c r="I41" s="59">
        <v>0.17134259259259257</v>
      </c>
      <c r="J41" s="59">
        <v>0.16888888888888889</v>
      </c>
      <c r="K41" s="59">
        <v>0.16803240740740741</v>
      </c>
      <c r="L41" s="59">
        <v>0.16792824074074075</v>
      </c>
      <c r="M41" s="59">
        <v>0.16899305555555555</v>
      </c>
      <c r="N41" s="59">
        <v>0.17586805555555554</v>
      </c>
      <c r="O41" s="8" t="s">
        <v>151</v>
      </c>
    </row>
    <row r="42" spans="1:27" x14ac:dyDescent="0.25">
      <c r="B42" s="6" t="s">
        <v>39</v>
      </c>
      <c r="C42" s="37">
        <v>0.65673611111111108</v>
      </c>
      <c r="D42" s="37">
        <v>0.47870370370370369</v>
      </c>
      <c r="E42" s="37">
        <v>0.45092592592592595</v>
      </c>
      <c r="F42" s="38" t="s">
        <v>152</v>
      </c>
      <c r="G42" s="37">
        <v>0.86759259259259258</v>
      </c>
      <c r="H42" s="37">
        <v>0.5805555555555556</v>
      </c>
      <c r="I42" s="37">
        <v>0.52870370370370368</v>
      </c>
      <c r="J42" s="37">
        <v>3.6574074074074071E-2</v>
      </c>
      <c r="K42" s="37">
        <v>0.22549768518518518</v>
      </c>
      <c r="L42" s="37">
        <v>0.765162037037037</v>
      </c>
      <c r="M42" s="37">
        <v>0.40429398148148149</v>
      </c>
      <c r="N42" s="37">
        <v>0.52500000000000002</v>
      </c>
      <c r="O42" s="8" t="s">
        <v>151</v>
      </c>
    </row>
    <row r="43" spans="1:27" x14ac:dyDescent="0.25">
      <c r="B43" s="6" t="s">
        <v>40</v>
      </c>
      <c r="C43" s="37">
        <v>0.63495370370370374</v>
      </c>
      <c r="D43" s="37">
        <v>0.2991435185185185</v>
      </c>
      <c r="E43" s="37">
        <v>0.73167824074074073</v>
      </c>
      <c r="F43" s="37">
        <v>0.58287037037037037</v>
      </c>
      <c r="G43" s="37">
        <v>0.74358796296296292</v>
      </c>
      <c r="H43" s="37">
        <v>0.92215277777777782</v>
      </c>
      <c r="I43" s="37">
        <v>0.72349537037037026</v>
      </c>
      <c r="J43" s="37">
        <v>0.5650115740740741</v>
      </c>
      <c r="K43" s="37">
        <v>0.25648148148148148</v>
      </c>
      <c r="L43" s="37">
        <v>0.75548611111111119</v>
      </c>
      <c r="M43" s="37">
        <v>0.749537037037037</v>
      </c>
      <c r="N43" s="37">
        <v>0.92037037037037039</v>
      </c>
      <c r="O43" s="8" t="s">
        <v>151</v>
      </c>
    </row>
  </sheetData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B6B25-813B-41C9-AEC9-15B28BBFA45F}">
  <dimension ref="A1:AN64"/>
  <sheetViews>
    <sheetView zoomScale="90" zoomScaleNormal="90" workbookViewId="0">
      <selection activeCell="R39" sqref="R39"/>
    </sheetView>
  </sheetViews>
  <sheetFormatPr baseColWidth="10" defaultRowHeight="15" x14ac:dyDescent="0.25"/>
  <sheetData>
    <row r="1" spans="1:38" x14ac:dyDescent="0.25">
      <c r="A1" s="1" t="s">
        <v>0</v>
      </c>
      <c r="B1" s="1" t="s">
        <v>154</v>
      </c>
      <c r="C1" s="1"/>
    </row>
    <row r="2" spans="1:38" x14ac:dyDescent="0.25">
      <c r="A2" s="1"/>
      <c r="B2" s="1" t="s">
        <v>155</v>
      </c>
      <c r="C2" s="1"/>
    </row>
    <row r="7" spans="1:38" x14ac:dyDescent="0.25">
      <c r="A7" s="1" t="s">
        <v>162</v>
      </c>
      <c r="C7">
        <v>8640</v>
      </c>
      <c r="G7" t="s">
        <v>22</v>
      </c>
      <c r="V7" s="1" t="s">
        <v>161</v>
      </c>
      <c r="X7">
        <v>8640</v>
      </c>
      <c r="AB7" t="s">
        <v>22</v>
      </c>
    </row>
    <row r="10" spans="1:38" x14ac:dyDescent="0.25">
      <c r="C10" s="1" t="s">
        <v>156</v>
      </c>
      <c r="X10" s="1" t="s">
        <v>158</v>
      </c>
    </row>
    <row r="12" spans="1:38" x14ac:dyDescent="0.25">
      <c r="A12" s="60" t="s">
        <v>79</v>
      </c>
      <c r="C12">
        <v>1</v>
      </c>
      <c r="D12">
        <v>2</v>
      </c>
      <c r="E12">
        <v>3</v>
      </c>
      <c r="G12">
        <v>1</v>
      </c>
      <c r="H12">
        <v>2</v>
      </c>
      <c r="I12">
        <v>3</v>
      </c>
      <c r="L12">
        <v>8640</v>
      </c>
      <c r="P12" t="s">
        <v>22</v>
      </c>
      <c r="V12" s="60" t="s">
        <v>79</v>
      </c>
      <c r="X12">
        <v>1</v>
      </c>
      <c r="Y12">
        <v>2</v>
      </c>
      <c r="Z12">
        <v>3</v>
      </c>
      <c r="AB12">
        <v>1</v>
      </c>
      <c r="AC12">
        <v>2</v>
      </c>
      <c r="AD12">
        <v>3</v>
      </c>
      <c r="AH12">
        <v>8640</v>
      </c>
      <c r="AL12" t="s">
        <v>22</v>
      </c>
    </row>
    <row r="13" spans="1:38" x14ac:dyDescent="0.25">
      <c r="C13">
        <f>35.619-18.997</f>
        <v>16.622</v>
      </c>
      <c r="D13">
        <f>33.245-14.248</f>
        <v>18.997</v>
      </c>
      <c r="E13">
        <f>16.622-2.375</f>
        <v>14.247</v>
      </c>
      <c r="G13">
        <f>26.121-9.499</f>
        <v>16.622</v>
      </c>
      <c r="H13">
        <f>28.496-9.499</f>
        <v>18.997</v>
      </c>
      <c r="I13">
        <f>33.245-16.623</f>
        <v>16.621999999999996</v>
      </c>
      <c r="X13">
        <f>37.995-11.873</f>
        <v>26.122</v>
      </c>
      <c r="Y13">
        <f>61.743-30.872</f>
        <v>30.871000000000002</v>
      </c>
      <c r="Z13">
        <f>42.746-16.624</f>
        <v>26.122000000000003</v>
      </c>
      <c r="AB13">
        <f>30.871-4.749</f>
        <v>26.122</v>
      </c>
      <c r="AC13">
        <f>33.249-11.875</f>
        <v>21.374000000000002</v>
      </c>
      <c r="AD13">
        <f>42.745-14.248</f>
        <v>28.497</v>
      </c>
    </row>
    <row r="14" spans="1:38" x14ac:dyDescent="0.25">
      <c r="C14">
        <f>52.241-35.619</f>
        <v>16.622</v>
      </c>
      <c r="D14">
        <f>49.867-33.245</f>
        <v>16.622</v>
      </c>
      <c r="E14">
        <f>33.244-16.622</f>
        <v>16.622</v>
      </c>
      <c r="G14">
        <f>45.119-26.121</f>
        <v>18.998000000000001</v>
      </c>
      <c r="H14">
        <f>47.494-28.496</f>
        <v>18.998000000000001</v>
      </c>
      <c r="I14">
        <f>49.868-33.245</f>
        <v>16.623000000000005</v>
      </c>
      <c r="X14">
        <f>66.491-37.995</f>
        <v>28.496000000000002</v>
      </c>
      <c r="Y14">
        <f>94.989-61.743</f>
        <v>33.246000000000002</v>
      </c>
      <c r="Z14">
        <f>71.244-42.746</f>
        <v>28.497999999999998</v>
      </c>
      <c r="AB14">
        <f>59.871-30.871</f>
        <v>29.000000000000004</v>
      </c>
      <c r="AC14">
        <f>56.998-33.249</f>
        <v>23.748999999999995</v>
      </c>
      <c r="AD14">
        <f>73.616-42.745</f>
        <v>30.871000000000002</v>
      </c>
    </row>
    <row r="15" spans="1:38" x14ac:dyDescent="0.25">
      <c r="C15">
        <f>71.238-52.241</f>
        <v>18.997</v>
      </c>
      <c r="D15">
        <f>68.864-49.867</f>
        <v>18.997000000000007</v>
      </c>
      <c r="E15">
        <f>52.24-33.244</f>
        <v>18.996000000000002</v>
      </c>
      <c r="G15">
        <f>61.741-45.119</f>
        <v>16.622</v>
      </c>
      <c r="H15">
        <f>66.491-47.494</f>
        <v>18.997</v>
      </c>
      <c r="I15">
        <f>66.491-49.868</f>
        <v>16.622999999999998</v>
      </c>
      <c r="L15" s="1" t="s">
        <v>159</v>
      </c>
      <c r="X15">
        <f>92.613-66.491</f>
        <v>26.122</v>
      </c>
      <c r="Y15">
        <f>123.486-94.989</f>
        <v>28.497</v>
      </c>
      <c r="Z15">
        <f>97.367-71.244</f>
        <v>26.123000000000005</v>
      </c>
      <c r="AB15">
        <f>90.237-59.367</f>
        <v>30.869999999999997</v>
      </c>
      <c r="AC15">
        <f>78.372-56.998</f>
        <v>21.374000000000002</v>
      </c>
      <c r="AD15">
        <f>99.738-73.616</f>
        <v>26.122</v>
      </c>
      <c r="AH15" s="1" t="s">
        <v>159</v>
      </c>
    </row>
    <row r="16" spans="1:38" x14ac:dyDescent="0.25">
      <c r="B16" s="2" t="s">
        <v>9</v>
      </c>
      <c r="C16" s="2">
        <f>AVERAGE(C13:C15)</f>
        <v>17.413666666666668</v>
      </c>
      <c r="D16" s="2">
        <f>AVERAGE(D13:D15)</f>
        <v>18.205333333333336</v>
      </c>
      <c r="E16" s="2">
        <f>AVERAGE(E13:E15)</f>
        <v>16.621666666666666</v>
      </c>
      <c r="G16" s="2">
        <f>AVERAGE(G13:G15)</f>
        <v>17.414000000000001</v>
      </c>
      <c r="H16" s="2">
        <f>AVERAGE(H13:H15)</f>
        <v>18.997333333333334</v>
      </c>
      <c r="I16" s="2">
        <f>AVERAGE(I13:I15)</f>
        <v>16.622666666666667</v>
      </c>
      <c r="W16" s="2" t="s">
        <v>9</v>
      </c>
      <c r="X16" s="2">
        <f>AVERAGE(X13:X15)</f>
        <v>26.913333333333338</v>
      </c>
      <c r="Y16" s="2">
        <f>AVERAGE(Y13:Y15)</f>
        <v>30.871333333333336</v>
      </c>
      <c r="Z16" s="2">
        <f>AVERAGE(Z13:Z15)</f>
        <v>26.914333333333335</v>
      </c>
      <c r="AB16" s="2">
        <f>AVERAGE(AB13:AB15)</f>
        <v>28.663999999999998</v>
      </c>
      <c r="AC16" s="2">
        <f>AVERAGE(AC13:AC15)</f>
        <v>22.165666666666667</v>
      </c>
      <c r="AD16" s="2">
        <f>AVERAGE(AD13:AD15)</f>
        <v>28.49666666666667</v>
      </c>
    </row>
    <row r="17" spans="1:40" x14ac:dyDescent="0.25">
      <c r="K17" s="63" t="s">
        <v>9</v>
      </c>
      <c r="L17">
        <v>1</v>
      </c>
      <c r="M17">
        <v>2</v>
      </c>
      <c r="N17">
        <v>3</v>
      </c>
      <c r="O17" s="63" t="s">
        <v>9</v>
      </c>
      <c r="P17">
        <v>1</v>
      </c>
      <c r="Q17">
        <v>2</v>
      </c>
      <c r="R17">
        <v>3</v>
      </c>
      <c r="AG17" s="63" t="s">
        <v>9</v>
      </c>
      <c r="AH17">
        <v>1</v>
      </c>
      <c r="AI17">
        <v>2</v>
      </c>
      <c r="AJ17">
        <v>3</v>
      </c>
      <c r="AK17" s="63" t="s">
        <v>9</v>
      </c>
      <c r="AL17">
        <v>1</v>
      </c>
      <c r="AM17">
        <v>2</v>
      </c>
      <c r="AN17">
        <v>3</v>
      </c>
    </row>
    <row r="18" spans="1:40" x14ac:dyDescent="0.25">
      <c r="C18" s="61"/>
      <c r="D18" s="61"/>
      <c r="K18" s="64">
        <f>AVERAGE(L18:N18)</f>
        <v>2951.4166666666665</v>
      </c>
      <c r="L18">
        <f>(4129+4860+4883+5125)/4</f>
        <v>4749.25</v>
      </c>
      <c r="M18">
        <f>(2853+2829+2423+1735)/4</f>
        <v>2460</v>
      </c>
      <c r="N18">
        <v>1645</v>
      </c>
      <c r="O18" s="64">
        <f>AVERAGE(P18:R18)</f>
        <v>2333.8333333333335</v>
      </c>
      <c r="P18">
        <f>(1490+1601+1517+1427)/4</f>
        <v>1508.75</v>
      </c>
      <c r="Q18">
        <f>(1803+2043+1697+1564)/4</f>
        <v>1776.75</v>
      </c>
      <c r="R18">
        <v>3716</v>
      </c>
      <c r="X18" s="61"/>
      <c r="Y18" s="61"/>
      <c r="AF18">
        <v>1</v>
      </c>
      <c r="AG18" s="64">
        <f>AVERAGE(AH18:AJ18)</f>
        <v>4536.666666666667</v>
      </c>
      <c r="AH18">
        <f>(3129+3239+3248+3281)/4</f>
        <v>3224.25</v>
      </c>
      <c r="AI18">
        <f>(5960+5819+5345+5233)/4</f>
        <v>5589.25</v>
      </c>
      <c r="AJ18">
        <f>(5221+5207+3864+4894)/4</f>
        <v>4796.5</v>
      </c>
      <c r="AK18" s="64">
        <f>AVERAGE(AL18:AN18)</f>
        <v>3997.8333333333335</v>
      </c>
      <c r="AL18">
        <f>(2548+2596+2499+2817)/4</f>
        <v>2615</v>
      </c>
      <c r="AM18">
        <f>(6668+5728+6181+6557)/4</f>
        <v>6283.5</v>
      </c>
      <c r="AN18">
        <f>(3207+3170+3035+2968)/4</f>
        <v>3095</v>
      </c>
    </row>
    <row r="19" spans="1:40" x14ac:dyDescent="0.25">
      <c r="C19" s="61"/>
      <c r="D19" s="61"/>
      <c r="K19" s="64">
        <f>AVERAGE(L19:N19)</f>
        <v>3492.0833333333335</v>
      </c>
      <c r="L19">
        <f>(2988+3338+3493+3760)/4</f>
        <v>3394.75</v>
      </c>
      <c r="M19">
        <f>(2969+2211+1649+2604)/4</f>
        <v>2358.25</v>
      </c>
      <c r="N19">
        <f>(4357+4563+4831+5142)/4</f>
        <v>4723.25</v>
      </c>
      <c r="O19" s="64">
        <f>AVERAGE(P19:R19)</f>
        <v>5951.333333333333</v>
      </c>
      <c r="P19">
        <f>(12512+12952+11335+9579)/4</f>
        <v>11594.5</v>
      </c>
      <c r="Q19">
        <f>(3197+3089+3616+3327)/4</f>
        <v>3307.25</v>
      </c>
      <c r="R19">
        <f>(2813+2737+3253+3006)/4</f>
        <v>2952.25</v>
      </c>
      <c r="X19" s="61"/>
      <c r="Y19" s="61"/>
      <c r="AF19">
        <v>2</v>
      </c>
      <c r="AG19" s="64">
        <f>AVERAGE(AH19:AJ19)</f>
        <v>3165.5</v>
      </c>
      <c r="AH19">
        <f>(2065+1895+2179+1965)/4</f>
        <v>2026</v>
      </c>
      <c r="AI19">
        <f>(4606+4275+4625+4774)/4</f>
        <v>4570</v>
      </c>
      <c r="AJ19">
        <f>(2980+2583+2912+3127)/4</f>
        <v>2900.5</v>
      </c>
      <c r="AK19" s="64">
        <f>AVERAGE(AL19:AN19)</f>
        <v>4388.833333333333</v>
      </c>
      <c r="AL19">
        <f>(3023+3127+3199+3113)/4</f>
        <v>3115.5</v>
      </c>
      <c r="AM19">
        <f>(3165+3257+3199+3206)/4</f>
        <v>3206.75</v>
      </c>
      <c r="AN19">
        <f>(7048+7041+7380+5908)/4</f>
        <v>6844.25</v>
      </c>
    </row>
    <row r="20" spans="1:40" x14ac:dyDescent="0.25">
      <c r="B20" s="62" t="s">
        <v>157</v>
      </c>
      <c r="C20" s="61"/>
      <c r="D20" s="61"/>
      <c r="K20" s="64">
        <f>AVERAGE(L20:N20)</f>
        <v>2583</v>
      </c>
      <c r="L20">
        <f>(3589+3779+3305+3571)/4</f>
        <v>3561</v>
      </c>
      <c r="M20">
        <f>(1959+2605+2810+2042)/4</f>
        <v>2354</v>
      </c>
      <c r="N20">
        <f>(1966+1895+1571+1904)/4</f>
        <v>1834</v>
      </c>
      <c r="O20" s="64">
        <f>AVERAGE(P20:R20)</f>
        <v>4589.833333333333</v>
      </c>
      <c r="P20">
        <f>(1924+2135+2147+2113)/4</f>
        <v>2079.75</v>
      </c>
      <c r="Q20">
        <f>(7756+7052+6295+6711)/4</f>
        <v>6953.5</v>
      </c>
      <c r="R20">
        <f>(4624+4577+4924+4820)/4</f>
        <v>4736.25</v>
      </c>
      <c r="W20" s="62" t="s">
        <v>157</v>
      </c>
      <c r="X20" s="61"/>
      <c r="Y20" s="61"/>
      <c r="AF20">
        <v>3</v>
      </c>
      <c r="AG20" s="64">
        <f>AVERAGE(AH20:AJ20)</f>
        <v>2648.5833333333335</v>
      </c>
      <c r="AH20">
        <f>(2519+2887+2574+2658)/4</f>
        <v>2659.5</v>
      </c>
      <c r="AI20">
        <f>(2482+2514+2547+2413)/4</f>
        <v>2489</v>
      </c>
      <c r="AJ20">
        <f>(2839+2837+2610+2903)/4</f>
        <v>2797.25</v>
      </c>
      <c r="AK20" s="64">
        <f>AVERAGE(AL20:AN20)</f>
        <v>3619.3333333333335</v>
      </c>
      <c r="AL20">
        <f>(2511+2491+2593+2525)/4</f>
        <v>2530</v>
      </c>
      <c r="AM20">
        <f>(4068+4186+4363+4117)/4</f>
        <v>4183.5</v>
      </c>
      <c r="AN20">
        <f>(4142+4647+3786+4003)/4</f>
        <v>4144.5</v>
      </c>
    </row>
    <row r="21" spans="1:40" x14ac:dyDescent="0.25">
      <c r="B21" s="63" t="s">
        <v>9</v>
      </c>
      <c r="C21" s="61"/>
      <c r="D21" s="61"/>
      <c r="F21" s="63" t="s">
        <v>9</v>
      </c>
      <c r="K21" s="64">
        <f>AVERAGE(L21:N21)</f>
        <v>6771.75</v>
      </c>
      <c r="L21">
        <f>(5681+6274+6375+7016)/4</f>
        <v>6336.5</v>
      </c>
      <c r="M21">
        <f>(8578+8621+8312+7871)/4</f>
        <v>8345.5</v>
      </c>
      <c r="N21">
        <f>(5806+6067+5300+5360)/4</f>
        <v>5633.25</v>
      </c>
      <c r="O21" s="64">
        <f>AVERAGE(P21:R21)</f>
        <v>3845.6666666666665</v>
      </c>
      <c r="P21">
        <f>(2787+2863+2797+2730)/4</f>
        <v>2794.25</v>
      </c>
      <c r="Q21">
        <f>(5723+5078+5113+5843)/4</f>
        <v>5439.25</v>
      </c>
      <c r="R21">
        <f>(3333+3110+3391+3380)/4</f>
        <v>3303.5</v>
      </c>
      <c r="W21" s="63" t="s">
        <v>9</v>
      </c>
      <c r="X21" s="61"/>
      <c r="Y21" s="61"/>
      <c r="AA21" s="63" t="s">
        <v>9</v>
      </c>
    </row>
    <row r="22" spans="1:40" x14ac:dyDescent="0.25">
      <c r="B22" s="64">
        <f>AVERAGE(C22:E22)</f>
        <v>5.2647043124077895</v>
      </c>
      <c r="C22" s="65">
        <f>C16/SFig7A!L32</f>
        <v>3.9070376187270965</v>
      </c>
      <c r="D22" s="65">
        <f>D16/SFig7A!M32</f>
        <v>5.2224134633773192</v>
      </c>
      <c r="E22" s="65">
        <f>E16/SFig7A!N32</f>
        <v>6.6646618551189514</v>
      </c>
      <c r="F22" s="64">
        <f>AVERAGE(G22:I22)</f>
        <v>5.6792867496341692</v>
      </c>
      <c r="G22" s="66">
        <f>G16/SFig7A!P32</f>
        <v>4.1392916567625395</v>
      </c>
      <c r="H22" s="66">
        <f>H16/SFig7A!Q32</f>
        <v>8.0565450947130337</v>
      </c>
      <c r="I22" s="66">
        <f>I16/SFig7A!R32</f>
        <v>4.8420234974269354</v>
      </c>
      <c r="W22" s="64">
        <f>AVERAGE(X22:Z22)</f>
        <v>6.9358744667133019</v>
      </c>
      <c r="X22" s="65">
        <f>X16/SFig7A!AH33</f>
        <v>6.0697639452713883</v>
      </c>
      <c r="Y22" s="65">
        <f>Y16/SFig7A!AI33</f>
        <v>8.3143908788939758</v>
      </c>
      <c r="Z22" s="65">
        <f>Z16/SFig7A!AJ33</f>
        <v>6.4234685759745425</v>
      </c>
      <c r="AA22" s="64">
        <f>AVERAGE(AB22:AD22)</f>
        <v>7.57230026278976</v>
      </c>
      <c r="AB22" s="66">
        <f>AB16/SFig7A!AL33</f>
        <v>7.2038200552902731</v>
      </c>
      <c r="AC22" s="66">
        <f>AC16/SFig7A!AM33</f>
        <v>8.6314901349948077</v>
      </c>
      <c r="AD22" s="66">
        <f>AD16/SFig7A!AN33</f>
        <v>6.8815905980841992</v>
      </c>
    </row>
    <row r="23" spans="1:40" x14ac:dyDescent="0.25">
      <c r="K23" s="69">
        <f>AVERAGE(K18:K21)</f>
        <v>3949.5625</v>
      </c>
      <c r="O23" s="69">
        <f>AVERAGE(O18:O21)</f>
        <v>4180.166666666667</v>
      </c>
      <c r="P23" s="61"/>
      <c r="AG23" s="69">
        <f>AVERAGE(AG18:AG20)</f>
        <v>3450.25</v>
      </c>
      <c r="AK23" s="69">
        <f>AVERAGE(AK18:AK20)</f>
        <v>4002</v>
      </c>
      <c r="AL23" s="61"/>
    </row>
    <row r="25" spans="1:40" x14ac:dyDescent="0.25">
      <c r="G25" s="61"/>
      <c r="H25" s="61"/>
      <c r="AB25" s="61"/>
      <c r="AC25" s="61"/>
    </row>
    <row r="26" spans="1:40" x14ac:dyDescent="0.25">
      <c r="A26" s="60" t="s">
        <v>80</v>
      </c>
      <c r="C26">
        <v>1</v>
      </c>
      <c r="D26">
        <v>2</v>
      </c>
      <c r="E26">
        <v>3</v>
      </c>
      <c r="G26">
        <v>1</v>
      </c>
      <c r="H26">
        <v>2</v>
      </c>
      <c r="I26">
        <v>3</v>
      </c>
      <c r="L26">
        <v>8640</v>
      </c>
      <c r="P26" t="s">
        <v>22</v>
      </c>
      <c r="V26" s="60" t="s">
        <v>80</v>
      </c>
      <c r="X26">
        <v>1</v>
      </c>
      <c r="Y26">
        <v>2</v>
      </c>
      <c r="Z26">
        <v>3</v>
      </c>
      <c r="AB26">
        <v>1</v>
      </c>
      <c r="AC26">
        <v>2</v>
      </c>
      <c r="AD26">
        <v>3</v>
      </c>
    </row>
    <row r="27" spans="1:40" x14ac:dyDescent="0.25">
      <c r="C27">
        <f>16.662-4.749</f>
        <v>11.913</v>
      </c>
      <c r="D27">
        <f>33.246-16.623</f>
        <v>16.623000000000001</v>
      </c>
      <c r="E27">
        <f>28.497-11.874</f>
        <v>16.622999999999998</v>
      </c>
      <c r="G27">
        <f>21.371-4.749</f>
        <v>16.622</v>
      </c>
      <c r="H27">
        <f>26.12-9.498</f>
        <v>16.622</v>
      </c>
      <c r="I27">
        <f>26.12-9.498</f>
        <v>16.622</v>
      </c>
      <c r="X27">
        <f>40.368-7.124</f>
        <v>33.244</v>
      </c>
      <c r="Y27">
        <f>35.619-11.873</f>
        <v>23.746000000000002</v>
      </c>
      <c r="Z27">
        <f>35.62-7.124</f>
        <v>28.495999999999999</v>
      </c>
      <c r="AB27">
        <f>42.741-18.996</f>
        <v>23.745000000000001</v>
      </c>
      <c r="AC27">
        <f>28.495-4.749</f>
        <v>23.746000000000002</v>
      </c>
      <c r="AD27">
        <f>42.743-18.997</f>
        <v>23.746000000000002</v>
      </c>
      <c r="AH27">
        <v>8640</v>
      </c>
      <c r="AL27" t="s">
        <v>22</v>
      </c>
    </row>
    <row r="28" spans="1:40" x14ac:dyDescent="0.25">
      <c r="C28">
        <f>33.245-16.622</f>
        <v>16.622999999999998</v>
      </c>
      <c r="D28">
        <f>52.243-33.246</f>
        <v>18.997</v>
      </c>
      <c r="E28">
        <f>45.119-28.497</f>
        <v>16.622</v>
      </c>
      <c r="G28">
        <f>40.367-21.371</f>
        <v>18.995999999999999</v>
      </c>
      <c r="H28">
        <f>45.116-26.12</f>
        <v>18.995999999999999</v>
      </c>
      <c r="I28">
        <f>45.116-26.12</f>
        <v>18.995999999999999</v>
      </c>
      <c r="X28">
        <f>66.489-40.389</f>
        <v>26.1</v>
      </c>
      <c r="Y28">
        <f>56.99-35.619</f>
        <v>21.371000000000002</v>
      </c>
      <c r="Z28">
        <f>61.741-35.62</f>
        <v>26.121000000000002</v>
      </c>
      <c r="AB28">
        <f>64.112-42.741</f>
        <v>21.370999999999995</v>
      </c>
      <c r="AC28">
        <f>54.616-28.495</f>
        <v>26.120999999999999</v>
      </c>
      <c r="AD28">
        <f>99.734-42.743</f>
        <v>56.990999999999993</v>
      </c>
    </row>
    <row r="29" spans="1:40" x14ac:dyDescent="0.25">
      <c r="C29">
        <f>49.867-33.245</f>
        <v>16.622</v>
      </c>
      <c r="D29">
        <f>66.491-52.243</f>
        <v>14.247999999999998</v>
      </c>
      <c r="E29">
        <f>64.117-45.119</f>
        <v>18.998000000000005</v>
      </c>
      <c r="G29">
        <f>52.24-40.367</f>
        <v>11.873000000000005</v>
      </c>
      <c r="H29">
        <f>61.738-45.116</f>
        <v>16.622</v>
      </c>
      <c r="I29">
        <f>61.738-45.116</f>
        <v>16.622</v>
      </c>
      <c r="L29" s="1" t="s">
        <v>163</v>
      </c>
      <c r="X29">
        <f>90.234-66.489</f>
        <v>23.74499999999999</v>
      </c>
      <c r="Y29">
        <f>80.736-56.99</f>
        <v>23.746000000000002</v>
      </c>
      <c r="Z29">
        <f>90.237-61.741</f>
        <v>28.495999999999995</v>
      </c>
      <c r="AB29">
        <f>85.483-64.112</f>
        <v>21.371000000000009</v>
      </c>
      <c r="AC29">
        <f>78.362-54.616</f>
        <v>23.745999999999995</v>
      </c>
      <c r="AD29">
        <f>123.48-99.743</f>
        <v>23.737000000000009</v>
      </c>
    </row>
    <row r="30" spans="1:40" x14ac:dyDescent="0.25">
      <c r="B30" s="2" t="s">
        <v>9</v>
      </c>
      <c r="C30" s="2">
        <f>AVERAGE(C27:C29)</f>
        <v>15.052666666666667</v>
      </c>
      <c r="D30" s="2">
        <f>AVERAGE(D27:D29)</f>
        <v>16.622666666666667</v>
      </c>
      <c r="E30" s="2">
        <f>AVERAGE(E27:E29)</f>
        <v>17.414333333333335</v>
      </c>
      <c r="G30" s="2">
        <f>AVERAGE(G27:G29)</f>
        <v>15.830333333333334</v>
      </c>
      <c r="H30" s="2">
        <f>AVERAGE(H27:H29)</f>
        <v>17.41333333333333</v>
      </c>
      <c r="I30" s="2">
        <f>AVERAGE(I27:I29)</f>
        <v>17.41333333333333</v>
      </c>
      <c r="W30" s="2" t="s">
        <v>9</v>
      </c>
      <c r="X30" s="2">
        <f>AVERAGE(X27:X29)</f>
        <v>27.696333333333332</v>
      </c>
      <c r="Y30" s="2">
        <f>AVERAGE(Y27:Y29)</f>
        <v>22.954333333333334</v>
      </c>
      <c r="Z30" s="2">
        <f>AVERAGE(Z27:Z29)</f>
        <v>27.704333333333334</v>
      </c>
      <c r="AB30" s="2">
        <f>AVERAGE(AB27:AB29)</f>
        <v>22.162333333333336</v>
      </c>
      <c r="AC30" s="2">
        <f>AVERAGE(AC27:AC29)</f>
        <v>24.537666666666667</v>
      </c>
      <c r="AD30" s="2">
        <f>AVERAGE(AD27:AD29)</f>
        <v>34.824666666666666</v>
      </c>
      <c r="AH30" s="1" t="s">
        <v>160</v>
      </c>
    </row>
    <row r="31" spans="1:40" x14ac:dyDescent="0.25">
      <c r="K31" s="63" t="s">
        <v>9</v>
      </c>
      <c r="L31">
        <v>1</v>
      </c>
      <c r="M31">
        <v>2</v>
      </c>
      <c r="N31">
        <v>3</v>
      </c>
      <c r="O31" s="63" t="s">
        <v>9</v>
      </c>
      <c r="P31">
        <v>1</v>
      </c>
      <c r="Q31">
        <v>2</v>
      </c>
      <c r="R31">
        <v>3</v>
      </c>
    </row>
    <row r="32" spans="1:40" x14ac:dyDescent="0.25">
      <c r="C32" s="61"/>
      <c r="D32" s="61"/>
      <c r="K32" s="64">
        <f>AVERAGE(L32:N32)</f>
        <v>3.4789999999999996</v>
      </c>
      <c r="L32">
        <v>4.4569999999999999</v>
      </c>
      <c r="M32">
        <v>3.4860000000000002</v>
      </c>
      <c r="N32">
        <v>2.4940000000000002</v>
      </c>
      <c r="O32" s="64">
        <f>AVERAGE(P32:R32)</f>
        <v>3.3326666666666664</v>
      </c>
      <c r="P32">
        <v>4.2069999999999999</v>
      </c>
      <c r="Q32">
        <v>2.3580000000000001</v>
      </c>
      <c r="R32">
        <v>3.4329999999999998</v>
      </c>
      <c r="X32" s="61"/>
      <c r="Y32" s="61"/>
      <c r="AG32" s="63" t="s">
        <v>9</v>
      </c>
      <c r="AH32">
        <v>1</v>
      </c>
      <c r="AI32">
        <v>2</v>
      </c>
      <c r="AJ32">
        <v>3</v>
      </c>
      <c r="AK32" s="63" t="s">
        <v>9</v>
      </c>
      <c r="AL32">
        <v>1</v>
      </c>
      <c r="AM32">
        <v>2</v>
      </c>
      <c r="AN32">
        <v>3</v>
      </c>
    </row>
    <row r="33" spans="1:40" x14ac:dyDescent="0.25">
      <c r="C33" s="61"/>
      <c r="D33" s="61"/>
      <c r="K33" s="64">
        <f>AVERAGE(L33:N33)</f>
        <v>3.4843333333333333</v>
      </c>
      <c r="L33">
        <v>3.246</v>
      </c>
      <c r="M33">
        <v>2.72</v>
      </c>
      <c r="N33">
        <v>4.4870000000000001</v>
      </c>
      <c r="O33" s="64">
        <f>AVERAGE(P33:R33)</f>
        <v>3.4936666666666665</v>
      </c>
      <c r="P33">
        <v>3.5030000000000001</v>
      </c>
      <c r="Q33">
        <v>3.6320000000000001</v>
      </c>
      <c r="R33">
        <v>3.3460000000000001</v>
      </c>
      <c r="X33" s="61"/>
      <c r="Y33" s="61"/>
      <c r="AF33">
        <v>1</v>
      </c>
      <c r="AG33" s="64">
        <f>AVERAGE(AH33:AJ33)</f>
        <v>4.112333333333333</v>
      </c>
      <c r="AH33">
        <v>4.4340000000000002</v>
      </c>
      <c r="AI33">
        <v>3.7130000000000001</v>
      </c>
      <c r="AJ33">
        <v>4.1900000000000004</v>
      </c>
      <c r="AK33" s="64">
        <f>AVERAGE(AL33:AN33)</f>
        <v>3.5626666666666669</v>
      </c>
      <c r="AL33">
        <v>3.9790000000000001</v>
      </c>
      <c r="AM33">
        <v>2.5680000000000001</v>
      </c>
      <c r="AN33">
        <v>4.141</v>
      </c>
    </row>
    <row r="34" spans="1:40" x14ac:dyDescent="0.25">
      <c r="B34" s="62" t="s">
        <v>157</v>
      </c>
      <c r="C34" s="61"/>
      <c r="D34" s="61"/>
      <c r="K34" s="64">
        <f>AVERAGE(L34:N34)</f>
        <v>3.5813333333333333</v>
      </c>
      <c r="L34">
        <v>3.5710000000000002</v>
      </c>
      <c r="M34">
        <v>3.4420000000000002</v>
      </c>
      <c r="N34">
        <v>3.7309999999999999</v>
      </c>
      <c r="O34" s="64">
        <f>AVERAGE(P34:R34)</f>
        <v>3.4826666666666668</v>
      </c>
      <c r="P34">
        <v>3.4430000000000001</v>
      </c>
      <c r="Q34">
        <v>3.32</v>
      </c>
      <c r="R34">
        <v>3.6850000000000001</v>
      </c>
      <c r="W34" s="62" t="s">
        <v>157</v>
      </c>
      <c r="X34" s="61"/>
      <c r="Y34" s="61"/>
      <c r="AF34">
        <v>2</v>
      </c>
      <c r="AG34" s="64">
        <f>AVERAGE(AH34:AJ34)</f>
        <v>3.3843333333333336</v>
      </c>
      <c r="AH34">
        <v>3.819</v>
      </c>
      <c r="AI34">
        <v>3.0369999999999999</v>
      </c>
      <c r="AJ34">
        <v>3.2970000000000002</v>
      </c>
      <c r="AK34" s="64">
        <f>AVERAGE(AL34:AN34)</f>
        <v>3.1783333333333332</v>
      </c>
      <c r="AL34">
        <v>3.8580000000000001</v>
      </c>
      <c r="AM34">
        <v>3.0659999999999998</v>
      </c>
      <c r="AN34">
        <v>2.6110000000000002</v>
      </c>
    </row>
    <row r="35" spans="1:40" x14ac:dyDescent="0.25">
      <c r="B35" s="63" t="s">
        <v>9</v>
      </c>
      <c r="C35" s="61"/>
      <c r="D35" s="61"/>
      <c r="F35" s="63" t="s">
        <v>9</v>
      </c>
      <c r="K35" s="64">
        <f>AVERAGE(L35:N35)</f>
        <v>3.1660000000000004</v>
      </c>
      <c r="L35">
        <v>2.181</v>
      </c>
      <c r="M35">
        <v>3.3690000000000002</v>
      </c>
      <c r="N35">
        <v>3.948</v>
      </c>
      <c r="O35" s="64">
        <f>AVERAGE(P35:R35)</f>
        <v>3.2896666666666667</v>
      </c>
      <c r="P35">
        <v>3.0569999999999999</v>
      </c>
      <c r="Q35">
        <v>3.605</v>
      </c>
      <c r="R35">
        <v>3.2069999999999999</v>
      </c>
      <c r="W35" s="63" t="s">
        <v>9</v>
      </c>
      <c r="X35" s="61"/>
      <c r="Y35" s="61"/>
      <c r="AA35" s="63" t="s">
        <v>9</v>
      </c>
      <c r="AF35">
        <v>3</v>
      </c>
      <c r="AG35" s="64">
        <f>AVERAGE(AH35:AJ35)</f>
        <v>3.136333333333333</v>
      </c>
      <c r="AH35">
        <v>2.99</v>
      </c>
      <c r="AI35">
        <v>3.4169999999999998</v>
      </c>
      <c r="AJ35">
        <v>3.0019999999999998</v>
      </c>
      <c r="AK35" s="64">
        <f>AVERAGE(AL35:AN35)</f>
        <v>3.8513333333333328</v>
      </c>
      <c r="AL35">
        <v>3.2639999999999998</v>
      </c>
      <c r="AM35">
        <v>4.2560000000000002</v>
      </c>
      <c r="AN35">
        <v>4.0339999999999998</v>
      </c>
    </row>
    <row r="36" spans="1:40" x14ac:dyDescent="0.25">
      <c r="B36" s="64">
        <f>AVERAGE(C36:E36)</f>
        <v>4.8765451700218678</v>
      </c>
      <c r="C36" s="67">
        <f>C30/SFig7A!L33</f>
        <v>4.6372971862805503</v>
      </c>
      <c r="D36" s="67">
        <f>D30/SFig7A!M33</f>
        <v>6.1112745098039216</v>
      </c>
      <c r="E36" s="67">
        <f>E30/SFig7A!N33</f>
        <v>3.8810638139811311</v>
      </c>
      <c r="F36" s="64">
        <f>AVERAGE(G36:I36)</f>
        <v>4.8392409347968952</v>
      </c>
      <c r="G36" s="66">
        <f>G30/SFig7A!P33</f>
        <v>4.5190788847654391</v>
      </c>
      <c r="H36" s="66">
        <f>H30/SFig7A!Q33</f>
        <v>4.7944199706314237</v>
      </c>
      <c r="I36" s="66">
        <f>I30/SFig7A!R33</f>
        <v>5.2042239489938229</v>
      </c>
      <c r="W36" s="64">
        <f>AVERAGE(X36:Z36)</f>
        <v>7.737788457210967</v>
      </c>
      <c r="X36" s="67">
        <f>X30/SFig7A!AH34</f>
        <v>7.2522475342585313</v>
      </c>
      <c r="Y36" s="67">
        <f>Y30/SFig7A!AI34</f>
        <v>7.5582263198331692</v>
      </c>
      <c r="Z36" s="67">
        <f>Z30/SFig7A!AJ34</f>
        <v>8.4028915175411996</v>
      </c>
      <c r="AA36" s="64">
        <f>AVERAGE(AB36:AD36)</f>
        <v>9.0284467892587088</v>
      </c>
      <c r="AB36" s="66">
        <f>AB30/SFig7A!AL34</f>
        <v>5.744513564886816</v>
      </c>
      <c r="AC36" s="66">
        <f>AC30/SFig7A!AM34</f>
        <v>8.0031528593172432</v>
      </c>
      <c r="AD36" s="66">
        <f>AD30/SFig7A!AN34</f>
        <v>13.337673943572065</v>
      </c>
    </row>
    <row r="37" spans="1:40" x14ac:dyDescent="0.25">
      <c r="K37" s="69">
        <f>AVERAGE(K32:K35)</f>
        <v>3.4276666666666666</v>
      </c>
      <c r="O37" s="69">
        <f>AVERAGE(O32:O35)</f>
        <v>3.3996666666666666</v>
      </c>
    </row>
    <row r="38" spans="1:40" x14ac:dyDescent="0.25">
      <c r="AG38" s="69">
        <f>AVERAGE(AG33:AG36)</f>
        <v>3.5443333333333329</v>
      </c>
      <c r="AK38" s="69">
        <f>AVERAGE(AK33:AK36)</f>
        <v>3.5307777777777773</v>
      </c>
    </row>
    <row r="40" spans="1:40" x14ac:dyDescent="0.25">
      <c r="A40" s="60" t="s">
        <v>81</v>
      </c>
      <c r="C40">
        <v>1</v>
      </c>
      <c r="D40">
        <v>2</v>
      </c>
      <c r="E40">
        <v>3</v>
      </c>
      <c r="G40">
        <v>1</v>
      </c>
      <c r="H40">
        <v>2</v>
      </c>
      <c r="I40">
        <v>3</v>
      </c>
      <c r="V40" s="60" t="s">
        <v>81</v>
      </c>
      <c r="X40">
        <v>1</v>
      </c>
      <c r="Y40">
        <v>2</v>
      </c>
      <c r="Z40">
        <v>3</v>
      </c>
      <c r="AB40">
        <v>1</v>
      </c>
      <c r="AC40">
        <v>2</v>
      </c>
      <c r="AD40">
        <v>3</v>
      </c>
    </row>
    <row r="41" spans="1:40" x14ac:dyDescent="0.25">
      <c r="C41">
        <f>37.992-21.37</f>
        <v>16.621999999999996</v>
      </c>
      <c r="D41">
        <f>14.247-0</f>
        <v>14.247</v>
      </c>
      <c r="E41">
        <f>33.246-18.998</f>
        <v>14.248000000000001</v>
      </c>
      <c r="G41">
        <f>30.87-16.622</f>
        <v>14.248000000000001</v>
      </c>
      <c r="H41">
        <f>26.12-9.498</f>
        <v>16.622</v>
      </c>
      <c r="I41">
        <f>35.62-21.372</f>
        <v>14.247999999999998</v>
      </c>
      <c r="X41">
        <f>52.241-26.12</f>
        <v>26.120999999999999</v>
      </c>
      <c r="Y41">
        <f>37.995-11.873</f>
        <v>26.122</v>
      </c>
      <c r="Z41">
        <f>42.742-9.498</f>
        <v>33.244</v>
      </c>
      <c r="AB41">
        <f>40.37-16.623</f>
        <v>23.746999999999996</v>
      </c>
      <c r="AC41">
        <f>42.743-7.124</f>
        <v>35.619</v>
      </c>
      <c r="AD41">
        <f>33.245-4.749</f>
        <v>28.495999999999999</v>
      </c>
    </row>
    <row r="42" spans="1:40" x14ac:dyDescent="0.25">
      <c r="C42">
        <f>56.988-37.992</f>
        <v>18.996000000000002</v>
      </c>
      <c r="D42">
        <f>30.869-14.247</f>
        <v>16.622</v>
      </c>
      <c r="E42">
        <f>49.869-33.246</f>
        <v>16.622999999999998</v>
      </c>
      <c r="G42">
        <f>47.492-30.87</f>
        <v>16.621999999999996</v>
      </c>
      <c r="H42">
        <f>40.368-26.12</f>
        <v>14.248000000000001</v>
      </c>
      <c r="I42">
        <f>54.617-35.62</f>
        <v>18.997</v>
      </c>
      <c r="X42">
        <f>80.735-52.241</f>
        <v>28.494</v>
      </c>
      <c r="Y42">
        <f>59.367-37.995</f>
        <v>21.372</v>
      </c>
      <c r="Z42">
        <f>71.237-42.742</f>
        <v>28.494999999999997</v>
      </c>
      <c r="AB42">
        <f>61.742-40.37</f>
        <v>21.372</v>
      </c>
      <c r="AC42">
        <f>75.988-42.743</f>
        <v>33.244999999999997</v>
      </c>
      <c r="AD42">
        <f>61.74-33.245</f>
        <v>28.495000000000005</v>
      </c>
    </row>
    <row r="43" spans="1:40" x14ac:dyDescent="0.25">
      <c r="C43">
        <f>75.984-56.988</f>
        <v>18.995999999999995</v>
      </c>
      <c r="D43">
        <f>52.24-30.869</f>
        <v>21.371000000000002</v>
      </c>
      <c r="E43">
        <f>64.117-49.869</f>
        <v>14.248000000000005</v>
      </c>
      <c r="G43">
        <f>64.114-47.492</f>
        <v>16.622000000000007</v>
      </c>
      <c r="H43">
        <f>54.615-40.368</f>
        <v>14.247</v>
      </c>
      <c r="I43">
        <f>71.24-54.617</f>
        <v>16.622999999999998</v>
      </c>
      <c r="X43">
        <f>109.23-80.735</f>
        <v>28.495000000000005</v>
      </c>
      <c r="Y43">
        <f>87.863-59.367</f>
        <v>28.496000000000002</v>
      </c>
      <c r="Z43">
        <f>102.107-71.237</f>
        <v>30.870000000000005</v>
      </c>
      <c r="AB43">
        <f>87.864-61.742</f>
        <v>26.122000000000007</v>
      </c>
      <c r="AC43">
        <f>104.483-75.988</f>
        <v>28.495000000000005</v>
      </c>
      <c r="AD43">
        <f>90.235-61.74</f>
        <v>28.494999999999997</v>
      </c>
    </row>
    <row r="44" spans="1:40" x14ac:dyDescent="0.25">
      <c r="B44" s="2" t="s">
        <v>9</v>
      </c>
      <c r="C44" s="2">
        <f>AVERAGE(C41:C43)</f>
        <v>18.204666666666665</v>
      </c>
      <c r="D44" s="2">
        <f>AVERAGE(D41:D43)</f>
        <v>17.413333333333334</v>
      </c>
      <c r="E44" s="2">
        <f>AVERAGE(E41:E43)</f>
        <v>15.039666666666667</v>
      </c>
      <c r="G44" s="2">
        <f>AVERAGE(G41:G43)</f>
        <v>15.830666666666668</v>
      </c>
      <c r="H44" s="2">
        <f>AVERAGE(H41:H43)</f>
        <v>15.039000000000001</v>
      </c>
      <c r="I44" s="2">
        <f>AVERAGE(I41:I43)</f>
        <v>16.622666666666664</v>
      </c>
      <c r="W44" s="2" t="s">
        <v>9</v>
      </c>
      <c r="X44" s="2">
        <f>AVERAGE(X41:X43)</f>
        <v>27.703333333333333</v>
      </c>
      <c r="Y44" s="2">
        <f>AVERAGE(Y41:Y43)</f>
        <v>25.330000000000002</v>
      </c>
      <c r="Z44" s="2">
        <f>AVERAGE(Z41:Z43)</f>
        <v>30.869666666666671</v>
      </c>
      <c r="AB44" s="2">
        <f>AVERAGE(AB41:AB43)</f>
        <v>23.747000000000003</v>
      </c>
      <c r="AC44" s="2">
        <f>AVERAGE(AC41:AC43)</f>
        <v>32.453000000000003</v>
      </c>
      <c r="AD44" s="2">
        <f>AVERAGE(AD41:AD43)</f>
        <v>28.495333333333331</v>
      </c>
    </row>
    <row r="46" spans="1:40" x14ac:dyDescent="0.25">
      <c r="C46" s="61"/>
      <c r="D46" s="61"/>
      <c r="X46" s="61"/>
      <c r="Y46" s="61"/>
    </row>
    <row r="47" spans="1:40" x14ac:dyDescent="0.25">
      <c r="C47" s="61"/>
      <c r="D47" s="61"/>
      <c r="X47" s="61"/>
      <c r="Y47" s="61"/>
    </row>
    <row r="48" spans="1:40" x14ac:dyDescent="0.25">
      <c r="B48" s="62" t="s">
        <v>157</v>
      </c>
      <c r="C48" s="61"/>
      <c r="D48" s="61"/>
      <c r="W48" s="62" t="s">
        <v>157</v>
      </c>
      <c r="X48" s="61"/>
      <c r="Y48" s="61"/>
    </row>
    <row r="49" spans="1:30" x14ac:dyDescent="0.25">
      <c r="B49" s="63" t="s">
        <v>9</v>
      </c>
      <c r="C49" s="61"/>
      <c r="D49" s="61"/>
      <c r="F49" s="63" t="s">
        <v>9</v>
      </c>
      <c r="W49" s="63" t="s">
        <v>9</v>
      </c>
      <c r="X49" s="61"/>
      <c r="Y49" s="61"/>
      <c r="AA49" s="63" t="s">
        <v>9</v>
      </c>
    </row>
    <row r="50" spans="1:30" x14ac:dyDescent="0.25">
      <c r="B50" s="64">
        <f>AVERAGE(C50:E50)</f>
        <v>4.7293313724534691</v>
      </c>
      <c r="C50" s="67">
        <f>C44/SFig7A!L34</f>
        <v>5.0979184168766913</v>
      </c>
      <c r="D50" s="67">
        <f>D44/SFig7A!M34</f>
        <v>5.0590741816773193</v>
      </c>
      <c r="E50" s="67">
        <f>E44/SFig7A!N34</f>
        <v>4.0310015188063968</v>
      </c>
      <c r="F50" s="64">
        <f>AVERAGE(G50:I50)</f>
        <v>4.5462158285867362</v>
      </c>
      <c r="G50" s="68">
        <f>G44/SFig7A!P34</f>
        <v>4.5979281634233713</v>
      </c>
      <c r="H50" s="68">
        <f>H44/SFig7A!Q34</f>
        <v>4.5298192771084347</v>
      </c>
      <c r="I50" s="68">
        <f>I44/SFig7A!R34</f>
        <v>4.5109000452284027</v>
      </c>
      <c r="W50" s="64">
        <f>AVERAGE(X50:Z50)</f>
        <v>8.9870992435359014</v>
      </c>
      <c r="X50" s="67">
        <f>X44/SFig7A!AH35</f>
        <v>9.2653288740245259</v>
      </c>
      <c r="Y50" s="67">
        <f>Y44/SFig7A!AI35</f>
        <v>7.4129353233830857</v>
      </c>
      <c r="Z50" s="67">
        <f>Z44/SFig7A!AJ35</f>
        <v>10.283033533200092</v>
      </c>
      <c r="AA50" s="64">
        <f>AVERAGE(AB50:AD50)</f>
        <v>7.3214849976274214</v>
      </c>
      <c r="AB50" s="68">
        <f>AB44/SFig7A!AL35</f>
        <v>7.2754289215686292</v>
      </c>
      <c r="AC50" s="68">
        <f>AC44/SFig7A!AM35</f>
        <v>7.6252349624060152</v>
      </c>
      <c r="AD50" s="68">
        <f>AD44/SFig7A!AN35</f>
        <v>7.0637911089076182</v>
      </c>
    </row>
    <row r="54" spans="1:30" x14ac:dyDescent="0.25">
      <c r="A54" s="60" t="s">
        <v>82</v>
      </c>
      <c r="C54">
        <v>1</v>
      </c>
      <c r="D54">
        <v>2</v>
      </c>
      <c r="E54">
        <v>3</v>
      </c>
      <c r="G54">
        <v>1</v>
      </c>
      <c r="H54">
        <v>2</v>
      </c>
      <c r="I54">
        <v>3</v>
      </c>
    </row>
    <row r="55" spans="1:30" x14ac:dyDescent="0.25">
      <c r="C55">
        <f>25.671-8.557</f>
        <v>17.113999999999997</v>
      </c>
      <c r="D55">
        <f>25.476-8.492</f>
        <v>16.983999999999998</v>
      </c>
      <c r="E55">
        <f>31.298-14.227</f>
        <v>17.070999999999998</v>
      </c>
      <c r="G55">
        <f>25.603-8.534</f>
        <v>17.069000000000003</v>
      </c>
      <c r="H55">
        <f>31.477-17.169</f>
        <v>14.308</v>
      </c>
      <c r="I55">
        <f>20.018-5.719</f>
        <v>14.298999999999999</v>
      </c>
    </row>
    <row r="56" spans="1:30" x14ac:dyDescent="0.25">
      <c r="C56">
        <f>42.786-25.671</f>
        <v>17.115000000000002</v>
      </c>
      <c r="D56">
        <f>45.476-25.476</f>
        <v>20</v>
      </c>
      <c r="E56">
        <f>45.525-31.298</f>
        <v>14.227</v>
      </c>
      <c r="G56">
        <f>39.826-25.603</f>
        <v>14.222999999999999</v>
      </c>
      <c r="H56">
        <f>48.646-31.477</f>
        <v>17.169</v>
      </c>
      <c r="I56">
        <f>34.316-20.018</f>
        <v>14.298000000000002</v>
      </c>
    </row>
    <row r="57" spans="1:30" x14ac:dyDescent="0.25">
      <c r="C57">
        <f>57.048-42.786</f>
        <v>14.262</v>
      </c>
      <c r="D57">
        <f>59.444-45.291</f>
        <v>14.153000000000006</v>
      </c>
      <c r="E57">
        <f>62.597-45.525</f>
        <v>17.072000000000003</v>
      </c>
      <c r="G57">
        <f>56.895-39.826</f>
        <v>17.069000000000003</v>
      </c>
      <c r="H57">
        <f>62.954-48.646</f>
        <v>14.308</v>
      </c>
      <c r="I57">
        <f>48.615-34.316</f>
        <v>14.298999999999999</v>
      </c>
    </row>
    <row r="58" spans="1:30" x14ac:dyDescent="0.25">
      <c r="B58" s="2" t="s">
        <v>9</v>
      </c>
      <c r="C58" s="2">
        <f>AVERAGE(C55:C57)</f>
        <v>16.163666666666668</v>
      </c>
      <c r="D58" s="2">
        <f>AVERAGE(D55:D57)</f>
        <v>17.045666666666666</v>
      </c>
      <c r="E58" s="2">
        <f>AVERAGE(E55:E57)</f>
        <v>16.123333333333335</v>
      </c>
      <c r="G58" s="2">
        <f>AVERAGE(G55:G57)</f>
        <v>16.120333333333335</v>
      </c>
      <c r="H58" s="2">
        <f>AVERAGE(H55:H57)</f>
        <v>15.261666666666665</v>
      </c>
      <c r="I58" s="2">
        <f>AVERAGE(I55:I57)</f>
        <v>14.298666666666668</v>
      </c>
    </row>
    <row r="60" spans="1:30" x14ac:dyDescent="0.25">
      <c r="C60" s="61"/>
      <c r="D60" s="61"/>
    </row>
    <row r="61" spans="1:30" x14ac:dyDescent="0.25">
      <c r="C61" s="61"/>
      <c r="D61" s="61"/>
    </row>
    <row r="62" spans="1:30" x14ac:dyDescent="0.25">
      <c r="B62" s="62" t="s">
        <v>157</v>
      </c>
      <c r="C62" s="61"/>
      <c r="D62" s="61"/>
    </row>
    <row r="63" spans="1:30" x14ac:dyDescent="0.25">
      <c r="B63" s="63" t="s">
        <v>9</v>
      </c>
      <c r="C63" s="61"/>
      <c r="D63" s="61"/>
      <c r="F63" s="63" t="s">
        <v>9</v>
      </c>
    </row>
    <row r="64" spans="1:30" x14ac:dyDescent="0.25">
      <c r="B64" s="64">
        <f>AVERAGE(C64:E64)</f>
        <v>5.5182044746110535</v>
      </c>
      <c r="C64" s="65">
        <f>C58/SFig7A!L35</f>
        <v>7.4111263946202053</v>
      </c>
      <c r="D64" s="65">
        <f>D58/SFig7A!M35</f>
        <v>5.0595626793311563</v>
      </c>
      <c r="E64" s="65">
        <f>E58/SFig7A!N35</f>
        <v>4.083924349881797</v>
      </c>
      <c r="F64" s="64">
        <f>AVERAGE(G64:I64)</f>
        <v>4.6551016209875398</v>
      </c>
      <c r="G64" s="66">
        <f>G58/SFig7A!P35</f>
        <v>5.2732526442045584</v>
      </c>
      <c r="H64" s="66">
        <f>H58/SFig7A!Q35</f>
        <v>4.2334720295885342</v>
      </c>
      <c r="I64" s="66">
        <f>I58/SFig7A!R35</f>
        <v>4.4585801891695258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22</vt:i4>
      </vt:variant>
    </vt:vector>
  </HeadingPairs>
  <TitlesOfParts>
    <vt:vector size="22" baseType="lpstr">
      <vt:lpstr>Fig1A</vt:lpstr>
      <vt:lpstr>Fig1B</vt:lpstr>
      <vt:lpstr>Fig1C</vt:lpstr>
      <vt:lpstr>Fig1D</vt:lpstr>
      <vt:lpstr>Fig1E</vt:lpstr>
      <vt:lpstr>Fig2A</vt:lpstr>
      <vt:lpstr>Fig2B</vt:lpstr>
      <vt:lpstr>Fig2D</vt:lpstr>
      <vt:lpstr>Fig2E</vt:lpstr>
      <vt:lpstr>Fig3</vt:lpstr>
      <vt:lpstr>SFig1A</vt:lpstr>
      <vt:lpstr>SFig1B</vt:lpstr>
      <vt:lpstr>SFig2A</vt:lpstr>
      <vt:lpstr>SFig2B</vt:lpstr>
      <vt:lpstr>SFig3A</vt:lpstr>
      <vt:lpstr>SFig3B</vt:lpstr>
      <vt:lpstr>SFig4</vt:lpstr>
      <vt:lpstr>SFig5A</vt:lpstr>
      <vt:lpstr>SFig5B</vt:lpstr>
      <vt:lpstr>SFig5C</vt:lpstr>
      <vt:lpstr>SFig6A</vt:lpstr>
      <vt:lpstr>SFig7A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Braetz, Sebastian Jan</dc:creator>
  <cp:lastModifiedBy>Braetz, Sebastian Jan</cp:lastModifiedBy>
  <dcterms:created xsi:type="dcterms:W3CDTF">2026-03-04T10:59:58Z</dcterms:created>
  <dcterms:modified xsi:type="dcterms:W3CDTF">2026-07-08T08:29:39Z</dcterms:modified>
</cp:coreProperties>
</file>